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VENTAS 01\Desktop\"/>
    </mc:Choice>
  </mc:AlternateContent>
  <xr:revisionPtr revIDLastSave="0" documentId="8_{00EE3B7A-9E70-4F52-BA1E-D1839BC4BB26}" xr6:coauthVersionLast="47" xr6:coauthVersionMax="47" xr10:uidLastSave="{00000000-0000-0000-0000-000000000000}"/>
  <bookViews>
    <workbookView xWindow="-120" yWindow="-120" windowWidth="29040" windowHeight="15840" tabRatio="900" activeTab="1" xr2:uid="{00000000-000D-0000-FFFF-FFFF00000000}"/>
  </bookViews>
  <sheets>
    <sheet name="COT" sheetId="2" r:id="rId1"/>
    <sheet name="Precios Equipos" sheetId="5" r:id="rId2"/>
    <sheet name="Materiales" sheetId="17" r:id="rId3"/>
    <sheet name="Cobre por polos" sheetId="18" r:id="rId4"/>
    <sheet name="Cableado" sheetId="19" r:id="rId5"/>
    <sheet name="Borneras" sheetId="20" state="hidden" r:id="rId6"/>
    <sheet name="Empotrado " sheetId="12" state="hidden" r:id="rId7"/>
    <sheet name="Adosado" sheetId="21" r:id="rId8"/>
    <sheet name="Autosoportado" sheetId="14" r:id="rId9"/>
    <sheet name="M. Obra Autosoportado" sheetId="31" r:id="rId10"/>
    <sheet name="Cobre Autosoportado" sheetId="15" r:id="rId11"/>
    <sheet name="Hoja4" sheetId="33" r:id="rId12"/>
    <sheet name="Barras" sheetId="22" r:id="rId13"/>
    <sheet name="Hoja3" sheetId="32" r:id="rId14"/>
  </sheets>
  <definedNames>
    <definedName name="_xlnm._FilterDatabase" localSheetId="0" hidden="1">COT!$D$1:$D$2789</definedName>
    <definedName name="_xlnm.Print_Area" localSheetId="7">Adosado!$B$1:$H$85</definedName>
    <definedName name="_xlnm.Print_Area" localSheetId="8">Autosoportado!$B$1:$H$101</definedName>
    <definedName name="_xlnm.Print_Area" localSheetId="12">Barras!$A$1:$T$31</definedName>
    <definedName name="_xlnm.Print_Area" localSheetId="5">Borneras!$B$1:$G$39</definedName>
    <definedName name="_xlnm.Print_Area" localSheetId="4">Cableado!$B$1:$G$86</definedName>
    <definedName name="_xlnm.Print_Area" localSheetId="10">'Cobre Autosoportado'!$B$1:$H$177</definedName>
    <definedName name="_xlnm.Print_Area" localSheetId="3">'Cobre por polos'!$B$1:$G$100</definedName>
    <definedName name="_xlnm.Print_Area" localSheetId="0">COT!$B$1:$F$2937</definedName>
    <definedName name="_xlnm.Print_Area" localSheetId="6">'Empotrado '!$B$1:$H$83</definedName>
    <definedName name="_xlnm.Print_Area" localSheetId="9">'M. Obra Autosoportado'!$B$1:$J$103</definedName>
    <definedName name="_xlnm.Print_Area" localSheetId="2">Materiales!$B$1:$G$161</definedName>
    <definedName name="_xlnm.Print_Area" localSheetId="1">'Precios Equipos'!$B$1:$G$231</definedName>
    <definedName name="_xlnm.Print_Titles" localSheetId="0">COT!$1:$10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33" i="5" l="1"/>
  <c r="N38" i="5"/>
  <c r="N47" i="5"/>
  <c r="N52" i="5"/>
  <c r="N57" i="5"/>
  <c r="N59" i="5"/>
  <c r="N87" i="5"/>
  <c r="B14" i="5"/>
  <c r="B15" i="5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B34" i="5" s="1"/>
  <c r="B35" i="5" s="1"/>
  <c r="B36" i="5" s="1"/>
  <c r="B37" i="5" s="1"/>
  <c r="B39" i="5" s="1"/>
  <c r="B40" i="5" s="1"/>
  <c r="B41" i="5" s="1"/>
  <c r="B42" i="5" s="1"/>
  <c r="B43" i="5" s="1"/>
  <c r="B44" i="5" s="1"/>
  <c r="B45" i="5" s="1"/>
  <c r="B46" i="5" s="1"/>
  <c r="B48" i="5" s="1"/>
  <c r="B49" i="5" s="1"/>
  <c r="B50" i="5" s="1"/>
  <c r="B51" i="5" s="1"/>
  <c r="B53" i="5" s="1"/>
  <c r="B54" i="5" s="1"/>
  <c r="B55" i="5" s="1"/>
  <c r="B56" i="5" s="1"/>
  <c r="B58" i="5" s="1"/>
  <c r="B60" i="5" s="1"/>
  <c r="B61" i="5" s="1"/>
  <c r="B62" i="5" s="1"/>
  <c r="B63" i="5" s="1"/>
  <c r="B64" i="5" s="1"/>
  <c r="B65" i="5" s="1"/>
  <c r="B66" i="5" s="1"/>
  <c r="B67" i="5" s="1"/>
  <c r="B68" i="5" s="1"/>
  <c r="B69" i="5" s="1"/>
  <c r="B70" i="5" s="1"/>
  <c r="B71" i="5" s="1"/>
  <c r="B72" i="5" s="1"/>
  <c r="B73" i="5" s="1"/>
  <c r="B74" i="5" s="1"/>
  <c r="B75" i="5" s="1"/>
  <c r="B76" i="5" s="1"/>
  <c r="B77" i="5" s="1"/>
  <c r="B78" i="5" s="1"/>
  <c r="B79" i="5" s="1"/>
  <c r="B80" i="5" s="1"/>
  <c r="B81" i="5" s="1"/>
  <c r="B82" i="5" s="1"/>
  <c r="B83" i="5" s="1"/>
  <c r="B84" i="5" s="1"/>
  <c r="B85" i="5" s="1"/>
  <c r="B86" i="5" s="1"/>
  <c r="B88" i="5" s="1"/>
  <c r="B89" i="5" s="1"/>
  <c r="B90" i="5" s="1"/>
  <c r="B91" i="5" s="1"/>
  <c r="B92" i="5" s="1"/>
  <c r="B93" i="5" s="1"/>
  <c r="B94" i="5" s="1"/>
  <c r="B95" i="5" s="1"/>
  <c r="B96" i="5" s="1"/>
  <c r="B97" i="5" s="1"/>
  <c r="B98" i="5" s="1"/>
  <c r="B99" i="5" s="1"/>
  <c r="B100" i="5" s="1"/>
  <c r="B101" i="5" s="1"/>
  <c r="B102" i="5" s="1"/>
  <c r="B103" i="5" s="1"/>
  <c r="B104" i="5" s="1"/>
  <c r="B13" i="5"/>
  <c r="E145" i="2"/>
  <c r="F90" i="5"/>
  <c r="D2587" i="2" l="1"/>
  <c r="F185" i="5"/>
  <c r="C185" i="5"/>
  <c r="E62" i="21"/>
  <c r="E61" i="21"/>
  <c r="H2575" i="2" l="1"/>
  <c r="F176" i="5"/>
  <c r="C176" i="5"/>
  <c r="D2562" i="2" s="1"/>
  <c r="L2367" i="2" l="1"/>
  <c r="L2345" i="2"/>
  <c r="L2319" i="2"/>
  <c r="L2088" i="2"/>
  <c r="F128" i="5"/>
  <c r="F127" i="5"/>
  <c r="C129" i="5"/>
  <c r="L2266" i="2" s="1"/>
  <c r="C128" i="5"/>
  <c r="L2189" i="2" s="1"/>
  <c r="C127" i="5"/>
  <c r="L1957" i="2" s="1"/>
  <c r="F130" i="5"/>
  <c r="C130" i="5"/>
  <c r="B127" i="5"/>
  <c r="B128" i="5" s="1"/>
  <c r="G169" i="15"/>
  <c r="H169" i="15" s="1"/>
  <c r="G157" i="15"/>
  <c r="D168" i="15"/>
  <c r="D167" i="15"/>
  <c r="G167" i="15" s="1"/>
  <c r="D166" i="15"/>
  <c r="D156" i="15"/>
  <c r="G156" i="15" s="1"/>
  <c r="D155" i="15"/>
  <c r="D154" i="15"/>
  <c r="G145" i="15"/>
  <c r="H145" i="15" s="1"/>
  <c r="D144" i="15"/>
  <c r="D142" i="15"/>
  <c r="D143" i="15"/>
  <c r="G143" i="15" s="1"/>
  <c r="B174" i="15"/>
  <c r="H173" i="15"/>
  <c r="H172" i="15"/>
  <c r="H171" i="15"/>
  <c r="H170" i="15"/>
  <c r="E168" i="15"/>
  <c r="G168" i="15"/>
  <c r="E167" i="15"/>
  <c r="E166" i="15"/>
  <c r="G166" i="15"/>
  <c r="H166" i="15" s="1"/>
  <c r="B162" i="15"/>
  <c r="H161" i="15"/>
  <c r="H160" i="15"/>
  <c r="H159" i="15"/>
  <c r="H158" i="15"/>
  <c r="H157" i="15"/>
  <c r="E156" i="15"/>
  <c r="E155" i="15"/>
  <c r="G155" i="15"/>
  <c r="E154" i="15"/>
  <c r="G154" i="15"/>
  <c r="B150" i="15"/>
  <c r="H149" i="15"/>
  <c r="H148" i="15"/>
  <c r="H147" i="15"/>
  <c r="H146" i="15"/>
  <c r="E144" i="15"/>
  <c r="G144" i="15"/>
  <c r="E143" i="15"/>
  <c r="E142" i="15"/>
  <c r="G142" i="15"/>
  <c r="J101" i="15"/>
  <c r="J115" i="15"/>
  <c r="E5" i="21"/>
  <c r="C5" i="21"/>
  <c r="C182" i="5"/>
  <c r="D1959" i="2" s="1"/>
  <c r="E65" i="21"/>
  <c r="F182" i="5" s="1"/>
  <c r="D2524" i="2"/>
  <c r="D2499" i="2"/>
  <c r="D2474" i="2"/>
  <c r="D2448" i="2"/>
  <c r="D2423" i="2"/>
  <c r="D2398" i="2"/>
  <c r="D2373" i="2"/>
  <c r="D2347" i="2"/>
  <c r="D2322" i="2"/>
  <c r="D2297" i="2"/>
  <c r="D2272" i="2"/>
  <c r="D2247" i="2"/>
  <c r="D2222" i="2"/>
  <c r="D2196" i="2"/>
  <c r="D2171" i="2"/>
  <c r="D2146" i="2"/>
  <c r="D2120" i="2"/>
  <c r="D2095" i="2"/>
  <c r="D2069" i="2"/>
  <c r="D2044" i="2"/>
  <c r="D2017" i="2"/>
  <c r="D1992" i="2"/>
  <c r="D1967" i="2"/>
  <c r="D1942" i="2"/>
  <c r="L2037" i="2" l="1"/>
  <c r="L2059" i="2"/>
  <c r="L2295" i="2"/>
  <c r="L2396" i="2"/>
  <c r="L2420" i="2"/>
  <c r="L2496" i="2"/>
  <c r="L1982" i="2"/>
  <c r="L2009" i="2"/>
  <c r="L2113" i="2"/>
  <c r="L2138" i="2"/>
  <c r="L2446" i="2"/>
  <c r="L2164" i="2"/>
  <c r="L2470" i="2"/>
  <c r="L2215" i="2"/>
  <c r="L1932" i="2"/>
  <c r="L2240" i="2"/>
  <c r="L2522" i="2"/>
  <c r="D2314" i="2"/>
  <c r="H167" i="15"/>
  <c r="D2364" i="2"/>
  <c r="D2086" i="2"/>
  <c r="D2390" i="2"/>
  <c r="D2112" i="2"/>
  <c r="D2415" i="2"/>
  <c r="D2137" i="2"/>
  <c r="D2440" i="2"/>
  <c r="D2163" i="2"/>
  <c r="D2465" i="2"/>
  <c r="D2188" i="2"/>
  <c r="D2491" i="2"/>
  <c r="D2213" i="2"/>
  <c r="D2239" i="2"/>
  <c r="D2516" i="2"/>
  <c r="D2264" i="2"/>
  <c r="D2289" i="2"/>
  <c r="D2339" i="2"/>
  <c r="H155" i="15"/>
  <c r="H154" i="15"/>
  <c r="H162" i="15"/>
  <c r="H143" i="15"/>
  <c r="H142" i="15"/>
  <c r="H168" i="15"/>
  <c r="H156" i="15"/>
  <c r="H144" i="15"/>
  <c r="D1984" i="2"/>
  <c r="D2009" i="2"/>
  <c r="D2034" i="2"/>
  <c r="D2061" i="2"/>
  <c r="D1934" i="2"/>
  <c r="F178" i="5"/>
  <c r="C178" i="5"/>
  <c r="F160" i="5"/>
  <c r="C160" i="5"/>
  <c r="L1738" i="2" s="1"/>
  <c r="G133" i="15"/>
  <c r="H133" i="15" s="1"/>
  <c r="G120" i="15"/>
  <c r="D132" i="15"/>
  <c r="G132" i="15" s="1"/>
  <c r="D131" i="15"/>
  <c r="G131" i="15" s="1"/>
  <c r="D130" i="15"/>
  <c r="G130" i="15" s="1"/>
  <c r="B138" i="15"/>
  <c r="C125" i="5" s="1"/>
  <c r="L1737" i="2" s="1"/>
  <c r="H137" i="15"/>
  <c r="H136" i="15"/>
  <c r="H135" i="15"/>
  <c r="H134" i="15"/>
  <c r="E132" i="15"/>
  <c r="E131" i="15"/>
  <c r="E130" i="15"/>
  <c r="F158" i="5"/>
  <c r="F157" i="5"/>
  <c r="F156" i="5"/>
  <c r="F155" i="5"/>
  <c r="F154" i="5"/>
  <c r="F153" i="5"/>
  <c r="F152" i="5"/>
  <c r="F151" i="5"/>
  <c r="C158" i="5"/>
  <c r="L1484" i="2" s="1"/>
  <c r="C157" i="5"/>
  <c r="L1640" i="2" s="1"/>
  <c r="C156" i="5"/>
  <c r="L1404" i="2" s="1"/>
  <c r="C155" i="5"/>
  <c r="L1365" i="2" s="1"/>
  <c r="C154" i="5"/>
  <c r="L1284" i="2" s="1"/>
  <c r="C153" i="5"/>
  <c r="L1305" i="2" s="1"/>
  <c r="C152" i="5"/>
  <c r="L1223" i="2" s="1"/>
  <c r="C151" i="5"/>
  <c r="L1161" i="2" s="1"/>
  <c r="D118" i="15"/>
  <c r="G118" i="15" s="1"/>
  <c r="E118" i="15"/>
  <c r="D103" i="15"/>
  <c r="G103" i="15" s="1"/>
  <c r="E103" i="15"/>
  <c r="D89" i="15"/>
  <c r="G89" i="15" s="1"/>
  <c r="E89" i="15"/>
  <c r="D74" i="15"/>
  <c r="G74" i="15" s="1"/>
  <c r="E74" i="15"/>
  <c r="D59" i="15"/>
  <c r="G59" i="15" s="1"/>
  <c r="E59" i="15"/>
  <c r="D44" i="15"/>
  <c r="G44" i="15" s="1"/>
  <c r="E44" i="15"/>
  <c r="E29" i="15"/>
  <c r="D29" i="15"/>
  <c r="G29" i="15" s="1"/>
  <c r="E14" i="15"/>
  <c r="E13" i="15"/>
  <c r="D14" i="15"/>
  <c r="G14" i="15" s="1"/>
  <c r="H174" i="15" l="1"/>
  <c r="F129" i="5" s="1"/>
  <c r="H150" i="15"/>
  <c r="D1909" i="2"/>
  <c r="D1884" i="2"/>
  <c r="D1859" i="2"/>
  <c r="D1834" i="2"/>
  <c r="D1809" i="2"/>
  <c r="D1784" i="2"/>
  <c r="D1759" i="2"/>
  <c r="L1182" i="2"/>
  <c r="L1263" i="2"/>
  <c r="L1563" i="2"/>
  <c r="L1584" i="2"/>
  <c r="L1659" i="2"/>
  <c r="L1679" i="2"/>
  <c r="L1700" i="2"/>
  <c r="L1424" i="2"/>
  <c r="L1444" i="2"/>
  <c r="L1464" i="2"/>
  <c r="L1503" i="2"/>
  <c r="L1604" i="2"/>
  <c r="L1622" i="2"/>
  <c r="L1325" i="2"/>
  <c r="L1346" i="2"/>
  <c r="L1718" i="2"/>
  <c r="L1541" i="2"/>
  <c r="L1203" i="2"/>
  <c r="L1243" i="2"/>
  <c r="L1122" i="2"/>
  <c r="L1141" i="2"/>
  <c r="L1383" i="2"/>
  <c r="L1524" i="2"/>
  <c r="H59" i="15"/>
  <c r="H103" i="15"/>
  <c r="H118" i="15"/>
  <c r="H131" i="15"/>
  <c r="H130" i="15"/>
  <c r="H132" i="15"/>
  <c r="H89" i="15"/>
  <c r="H74" i="15"/>
  <c r="H44" i="15"/>
  <c r="H29" i="15"/>
  <c r="H14" i="15"/>
  <c r="D1225" i="2"/>
  <c r="F190" i="5"/>
  <c r="C190" i="5"/>
  <c r="D1303" i="2" s="1"/>
  <c r="G92" i="14"/>
  <c r="E92" i="14"/>
  <c r="I26" i="15"/>
  <c r="B24" i="15"/>
  <c r="J19" i="33"/>
  <c r="J18" i="33"/>
  <c r="J15" i="33"/>
  <c r="J14" i="33"/>
  <c r="J7" i="33"/>
  <c r="E119" i="15"/>
  <c r="D119" i="15"/>
  <c r="G119" i="15" s="1"/>
  <c r="D117" i="15"/>
  <c r="G117" i="15" s="1"/>
  <c r="E117" i="15"/>
  <c r="D116" i="15"/>
  <c r="G116" i="15" s="1"/>
  <c r="I115" i="15"/>
  <c r="B113" i="15"/>
  <c r="G105" i="15"/>
  <c r="E104" i="15"/>
  <c r="E102" i="15"/>
  <c r="E101" i="15"/>
  <c r="D104" i="15"/>
  <c r="G104" i="15" s="1"/>
  <c r="D101" i="15"/>
  <c r="G101" i="15" s="1"/>
  <c r="H101" i="15" s="1"/>
  <c r="D102" i="15"/>
  <c r="G102" i="15" s="1"/>
  <c r="I101" i="15"/>
  <c r="B99" i="15"/>
  <c r="E75" i="15"/>
  <c r="E73" i="15"/>
  <c r="E90" i="15"/>
  <c r="E88" i="15"/>
  <c r="G91" i="15"/>
  <c r="D90" i="15"/>
  <c r="G90" i="15" s="1"/>
  <c r="D88" i="15"/>
  <c r="G88" i="15" s="1"/>
  <c r="D87" i="15"/>
  <c r="G87" i="15" s="1"/>
  <c r="D86" i="15"/>
  <c r="G86" i="15" s="1"/>
  <c r="I86" i="15"/>
  <c r="B84" i="15"/>
  <c r="G76" i="15"/>
  <c r="D75" i="15"/>
  <c r="G75" i="15" s="1"/>
  <c r="D73" i="15"/>
  <c r="G73" i="15" s="1"/>
  <c r="D72" i="15"/>
  <c r="G72" i="15" s="1"/>
  <c r="D71" i="15"/>
  <c r="G71" i="15" s="1"/>
  <c r="I71" i="15"/>
  <c r="B69" i="15"/>
  <c r="G61" i="15"/>
  <c r="D60" i="15"/>
  <c r="G60" i="15" s="1"/>
  <c r="D58" i="15"/>
  <c r="G58" i="15" s="1"/>
  <c r="D57" i="15"/>
  <c r="G57" i="15" s="1"/>
  <c r="D56" i="15"/>
  <c r="G56" i="15" s="1"/>
  <c r="B54" i="15"/>
  <c r="I56" i="15"/>
  <c r="E58" i="15"/>
  <c r="E57" i="15"/>
  <c r="G46" i="15"/>
  <c r="I41" i="15"/>
  <c r="D45" i="15"/>
  <c r="G45" i="15" s="1"/>
  <c r="D43" i="15"/>
  <c r="G43" i="15" s="1"/>
  <c r="D42" i="15"/>
  <c r="G42" i="15" s="1"/>
  <c r="I11" i="15"/>
  <c r="D41" i="15"/>
  <c r="G41" i="15" s="1"/>
  <c r="E45" i="15"/>
  <c r="B39" i="15"/>
  <c r="B9" i="15"/>
  <c r="K33" i="33"/>
  <c r="L31" i="33"/>
  <c r="L23" i="33"/>
  <c r="K23" i="33"/>
  <c r="L25" i="33"/>
  <c r="K25" i="33"/>
  <c r="L19" i="33"/>
  <c r="K19" i="33"/>
  <c r="L18" i="33"/>
  <c r="K18" i="33"/>
  <c r="L15" i="33"/>
  <c r="K15" i="33"/>
  <c r="L14" i="33"/>
  <c r="K14" i="33"/>
  <c r="L7" i="33"/>
  <c r="K7" i="33"/>
  <c r="J31" i="33"/>
  <c r="J25" i="33"/>
  <c r="J23" i="33"/>
  <c r="H138" i="15" l="1"/>
  <c r="F125" i="5" s="1"/>
  <c r="D1181" i="2"/>
  <c r="D1201" i="2"/>
  <c r="D1221" i="2"/>
  <c r="D1242" i="2"/>
  <c r="D1263" i="2"/>
  <c r="D1283" i="2"/>
  <c r="D1141" i="2"/>
  <c r="D1121" i="2"/>
  <c r="D1161" i="2"/>
  <c r="H117" i="15"/>
  <c r="H102" i="15"/>
  <c r="H58" i="15"/>
  <c r="H57" i="15"/>
  <c r="O8" i="15"/>
  <c r="E27" i="15" l="1"/>
  <c r="D28" i="15"/>
  <c r="D27" i="15"/>
  <c r="D30" i="15"/>
  <c r="G30" i="15" s="1"/>
  <c r="E30" i="15"/>
  <c r="D26" i="15"/>
  <c r="D15" i="15"/>
  <c r="G15" i="15" s="1"/>
  <c r="E15" i="15"/>
  <c r="D13" i="15"/>
  <c r="G13" i="15" s="1"/>
  <c r="D12" i="15"/>
  <c r="D11" i="15"/>
  <c r="B125" i="15"/>
  <c r="C123" i="5" s="1"/>
  <c r="L1483" i="2" s="1"/>
  <c r="B110" i="15"/>
  <c r="C122" i="5" s="1"/>
  <c r="B96" i="15"/>
  <c r="C121" i="5" s="1"/>
  <c r="B81" i="15"/>
  <c r="C120" i="5" s="1"/>
  <c r="L1324" i="2" s="1"/>
  <c r="B66" i="15"/>
  <c r="C119" i="5" s="1"/>
  <c r="B51" i="15"/>
  <c r="C118" i="5" s="1"/>
  <c r="L1242" i="2" s="1"/>
  <c r="E116" i="15"/>
  <c r="E115" i="15"/>
  <c r="E87" i="15"/>
  <c r="E86" i="15"/>
  <c r="E72" i="15"/>
  <c r="E71" i="15"/>
  <c r="E60" i="15"/>
  <c r="E56" i="15"/>
  <c r="E43" i="15"/>
  <c r="E42" i="15"/>
  <c r="E41" i="15"/>
  <c r="B36" i="15"/>
  <c r="C117" i="5" s="1"/>
  <c r="B21" i="15"/>
  <c r="C116" i="5" s="1"/>
  <c r="K8" i="15"/>
  <c r="L8" i="15"/>
  <c r="M8" i="15"/>
  <c r="N8" i="15"/>
  <c r="P8" i="15"/>
  <c r="J8" i="15"/>
  <c r="I8" i="15"/>
  <c r="E11" i="15"/>
  <c r="C192" i="5"/>
  <c r="G94" i="14"/>
  <c r="E94" i="14" s="1"/>
  <c r="F192" i="5" s="1"/>
  <c r="C191" i="5"/>
  <c r="D1723" i="2"/>
  <c r="D1703" i="2"/>
  <c r="D1684" i="2"/>
  <c r="D1664" i="2"/>
  <c r="D1645" i="2"/>
  <c r="D1625" i="2"/>
  <c r="D1606" i="2"/>
  <c r="D1586" i="2"/>
  <c r="D1567" i="2"/>
  <c r="D1547" i="2"/>
  <c r="D1528" i="2"/>
  <c r="D1508" i="2"/>
  <c r="D1489" i="2"/>
  <c r="D1469" i="2"/>
  <c r="D1449" i="2"/>
  <c r="D1429" i="2"/>
  <c r="D1409" i="2"/>
  <c r="D1389" i="2"/>
  <c r="D1369" i="2"/>
  <c r="D1349" i="2"/>
  <c r="D1329" i="2"/>
  <c r="D1309" i="2"/>
  <c r="D1289" i="2"/>
  <c r="D1269" i="2"/>
  <c r="D1249" i="2"/>
  <c r="D1228" i="2"/>
  <c r="D1207" i="2"/>
  <c r="D1187" i="2"/>
  <c r="D1167" i="2"/>
  <c r="D1147" i="2"/>
  <c r="D1127" i="2"/>
  <c r="J778" i="2"/>
  <c r="F138" i="5"/>
  <c r="C138" i="5"/>
  <c r="L763" i="2" s="1"/>
  <c r="F137" i="5"/>
  <c r="C137" i="5"/>
  <c r="L735" i="2" s="1"/>
  <c r="F136" i="5"/>
  <c r="C136" i="5"/>
  <c r="L677" i="2" s="1"/>
  <c r="F135" i="5"/>
  <c r="C135" i="5"/>
  <c r="L623" i="2" s="1"/>
  <c r="F134" i="5"/>
  <c r="C134" i="5"/>
  <c r="L817" i="2" s="1"/>
  <c r="F133" i="5"/>
  <c r="C133" i="5"/>
  <c r="F132" i="5"/>
  <c r="C132" i="5"/>
  <c r="L407" i="2" s="1"/>
  <c r="C149" i="5"/>
  <c r="L649" i="2" s="1"/>
  <c r="C148" i="5"/>
  <c r="L1028" i="2" s="1"/>
  <c r="C147" i="5"/>
  <c r="L507" i="2" s="1"/>
  <c r="C146" i="5"/>
  <c r="G97" i="14"/>
  <c r="E97" i="14" s="1"/>
  <c r="E61" i="31"/>
  <c r="F61" i="31" s="1"/>
  <c r="G61" i="31" s="1"/>
  <c r="E60" i="31"/>
  <c r="F60" i="31" s="1"/>
  <c r="G60" i="31" s="1"/>
  <c r="E59" i="31"/>
  <c r="F59" i="31" s="1"/>
  <c r="E54" i="31"/>
  <c r="F54" i="31" s="1"/>
  <c r="G54" i="31" s="1"/>
  <c r="E53" i="31"/>
  <c r="F53" i="31" s="1"/>
  <c r="G53" i="31" s="1"/>
  <c r="E52" i="31"/>
  <c r="F52" i="31" s="1"/>
  <c r="G52" i="31" s="1"/>
  <c r="E47" i="31"/>
  <c r="F47" i="31" s="1"/>
  <c r="G47" i="31" s="1"/>
  <c r="E46" i="31"/>
  <c r="F46" i="31" s="1"/>
  <c r="G46" i="31" s="1"/>
  <c r="E45" i="31"/>
  <c r="F45" i="31" s="1"/>
  <c r="G45" i="31" s="1"/>
  <c r="E40" i="31"/>
  <c r="F40" i="31" s="1"/>
  <c r="G40" i="31" s="1"/>
  <c r="E39" i="31"/>
  <c r="F39" i="31" s="1"/>
  <c r="G39" i="31" s="1"/>
  <c r="E38" i="31"/>
  <c r="F38" i="31" s="1"/>
  <c r="G38" i="31" s="1"/>
  <c r="C197" i="5"/>
  <c r="D590" i="2" s="1"/>
  <c r="B197" i="5"/>
  <c r="C195" i="5"/>
  <c r="D505" i="2" s="1"/>
  <c r="G98" i="14"/>
  <c r="E98" i="14" s="1"/>
  <c r="C194" i="5"/>
  <c r="G99" i="14"/>
  <c r="E99" i="14" s="1"/>
  <c r="E20" i="14"/>
  <c r="C86" i="31"/>
  <c r="D85" i="31"/>
  <c r="E85" i="31" s="1"/>
  <c r="D84" i="31"/>
  <c r="E84" i="31" s="1"/>
  <c r="D83" i="31"/>
  <c r="D82" i="31"/>
  <c r="E82" i="31" s="1"/>
  <c r="C78" i="31"/>
  <c r="D77" i="31"/>
  <c r="E77" i="31" s="1"/>
  <c r="F77" i="31" s="1"/>
  <c r="D76" i="31"/>
  <c r="E76" i="31" s="1"/>
  <c r="F76" i="31" s="1"/>
  <c r="D75" i="31"/>
  <c r="E75" i="31" s="1"/>
  <c r="F75" i="31" s="1"/>
  <c r="D74" i="31"/>
  <c r="E74" i="31" s="1"/>
  <c r="F74" i="31" s="1"/>
  <c r="D73" i="31"/>
  <c r="E73" i="31" s="1"/>
  <c r="F73" i="31" s="1"/>
  <c r="D72" i="31"/>
  <c r="E72" i="31" s="1"/>
  <c r="F72" i="31" s="1"/>
  <c r="D71" i="31"/>
  <c r="E71" i="31" s="1"/>
  <c r="F71" i="31" s="1"/>
  <c r="D70" i="31"/>
  <c r="E70" i="31" s="1"/>
  <c r="F70" i="31" s="1"/>
  <c r="D69" i="31"/>
  <c r="E69" i="31" s="1"/>
  <c r="F69" i="31" s="1"/>
  <c r="D68" i="31"/>
  <c r="D67" i="31"/>
  <c r="E67" i="31" s="1"/>
  <c r="E32" i="31"/>
  <c r="F32" i="31" s="1"/>
  <c r="E31" i="31"/>
  <c r="F31" i="31" s="1"/>
  <c r="E30" i="31"/>
  <c r="F30" i="31" s="1"/>
  <c r="E24" i="31"/>
  <c r="F24" i="31" s="1"/>
  <c r="E23" i="31"/>
  <c r="F23" i="31" s="1"/>
  <c r="E22" i="31"/>
  <c r="F22" i="31" s="1"/>
  <c r="X22" i="31" s="1"/>
  <c r="E21" i="31"/>
  <c r="F21" i="31" s="1"/>
  <c r="E20" i="31"/>
  <c r="F20" i="31" s="1"/>
  <c r="E19" i="31"/>
  <c r="F19" i="31" s="1"/>
  <c r="E18" i="31"/>
  <c r="F18" i="31" s="1"/>
  <c r="E17" i="31"/>
  <c r="F17" i="31" s="1"/>
  <c r="E16" i="31"/>
  <c r="F16" i="31" s="1"/>
  <c r="E15" i="31"/>
  <c r="F15" i="31" s="1"/>
  <c r="E14" i="31"/>
  <c r="F14" i="31" s="1"/>
  <c r="E13" i="31"/>
  <c r="F13" i="31" s="1"/>
  <c r="E12" i="31"/>
  <c r="F12" i="31" s="1"/>
  <c r="E11" i="31"/>
  <c r="F11" i="31" s="1"/>
  <c r="D1343" i="2" l="1"/>
  <c r="D1323" i="2"/>
  <c r="D1483" i="2"/>
  <c r="D1463" i="2"/>
  <c r="D1443" i="2"/>
  <c r="D1423" i="2"/>
  <c r="D1403" i="2"/>
  <c r="D1383" i="2"/>
  <c r="D1363" i="2"/>
  <c r="L1181" i="2"/>
  <c r="L1140" i="2"/>
  <c r="L1121" i="2"/>
  <c r="L1202" i="2"/>
  <c r="L1160" i="2"/>
  <c r="L1304" i="2"/>
  <c r="L1283" i="2"/>
  <c r="L1345" i="2"/>
  <c r="L1423" i="2"/>
  <c r="L1382" i="2"/>
  <c r="L1403" i="2"/>
  <c r="L1364" i="2"/>
  <c r="L1717" i="2"/>
  <c r="L1463" i="2"/>
  <c r="L1678" i="2"/>
  <c r="L1443" i="2"/>
  <c r="L1639" i="2"/>
  <c r="L1621" i="2"/>
  <c r="L1583" i="2"/>
  <c r="L1562" i="2"/>
  <c r="L1540" i="2"/>
  <c r="L1502" i="2"/>
  <c r="L1699" i="2"/>
  <c r="L1658" i="2"/>
  <c r="L1603" i="2"/>
  <c r="L1523" i="2"/>
  <c r="L1262" i="2"/>
  <c r="L1222" i="2"/>
  <c r="L957" i="2"/>
  <c r="H30" i="15"/>
  <c r="H15" i="15"/>
  <c r="L911" i="2"/>
  <c r="L790" i="2"/>
  <c r="L1005" i="2"/>
  <c r="L864" i="2"/>
  <c r="L708" i="2"/>
  <c r="L652" i="2"/>
  <c r="L674" i="2"/>
  <c r="L705" i="2"/>
  <c r="L597" i="2"/>
  <c r="L568" i="2"/>
  <c r="L538" i="2"/>
  <c r="L481" i="2"/>
  <c r="L460" i="2"/>
  <c r="L760" i="2"/>
  <c r="L837" i="2"/>
  <c r="L510" i="2"/>
  <c r="L434" i="2"/>
  <c r="L787" i="2"/>
  <c r="L484" i="2"/>
  <c r="L1076" i="2"/>
  <c r="L325" i="2"/>
  <c r="L814" i="2"/>
  <c r="L861" i="2"/>
  <c r="L1096" i="2"/>
  <c r="L353" i="2"/>
  <c r="L565" i="2"/>
  <c r="L908" i="2"/>
  <c r="L594" i="2"/>
  <c r="L954" i="2"/>
  <c r="L380" i="2"/>
  <c r="L620" i="2"/>
  <c r="L981" i="2"/>
  <c r="L535" i="2"/>
  <c r="L888" i="2"/>
  <c r="L1049" i="2"/>
  <c r="L933" i="2"/>
  <c r="L1002" i="2"/>
  <c r="L732" i="2"/>
  <c r="L322" i="2"/>
  <c r="L457" i="2"/>
  <c r="L431" i="2"/>
  <c r="L404" i="2"/>
  <c r="L377" i="2"/>
  <c r="L350" i="2"/>
  <c r="F195" i="5"/>
  <c r="D618" i="2"/>
  <c r="D645" i="2"/>
  <c r="D673" i="2"/>
  <c r="D702" i="2"/>
  <c r="D730" i="2"/>
  <c r="G59" i="31"/>
  <c r="J59" i="31"/>
  <c r="J60" i="31"/>
  <c r="J61" i="31"/>
  <c r="G20" i="31"/>
  <c r="X20" i="31"/>
  <c r="U20" i="31"/>
  <c r="R20" i="31"/>
  <c r="J20" i="31"/>
  <c r="G30" i="31"/>
  <c r="J30" i="31"/>
  <c r="D78" i="31"/>
  <c r="D86" i="31"/>
  <c r="D480" i="2"/>
  <c r="U11" i="31"/>
  <c r="J11" i="31"/>
  <c r="G11" i="31"/>
  <c r="R11" i="31" s="1"/>
  <c r="X11" i="31"/>
  <c r="X21" i="31"/>
  <c r="G21" i="31"/>
  <c r="J12" i="31"/>
  <c r="X12" i="31"/>
  <c r="U12" i="31"/>
  <c r="G12" i="31"/>
  <c r="R12" i="31" s="1"/>
  <c r="J13" i="31"/>
  <c r="G13" i="31"/>
  <c r="R13" i="31" s="1"/>
  <c r="X13" i="31"/>
  <c r="U13" i="31"/>
  <c r="G31" i="31"/>
  <c r="J31" i="31"/>
  <c r="J14" i="31"/>
  <c r="X14" i="31"/>
  <c r="U14" i="31"/>
  <c r="G14" i="31"/>
  <c r="R14" i="31" s="1"/>
  <c r="R15" i="31"/>
  <c r="J15" i="31"/>
  <c r="X15" i="31"/>
  <c r="U15" i="31"/>
  <c r="G15" i="31"/>
  <c r="X16" i="31"/>
  <c r="U16" i="31"/>
  <c r="R16" i="31"/>
  <c r="J16" i="31"/>
  <c r="G16" i="31"/>
  <c r="F67" i="31"/>
  <c r="G17" i="31"/>
  <c r="R17" i="31" s="1"/>
  <c r="X17" i="31"/>
  <c r="U17" i="31"/>
  <c r="J17" i="31"/>
  <c r="U23" i="31"/>
  <c r="R23" i="31"/>
  <c r="G23" i="31"/>
  <c r="J23" i="31" s="1"/>
  <c r="X23" i="31"/>
  <c r="J18" i="31"/>
  <c r="X18" i="31"/>
  <c r="G18" i="31"/>
  <c r="R18" i="31" s="1"/>
  <c r="U18" i="31"/>
  <c r="G24" i="31"/>
  <c r="J24" i="31" s="1"/>
  <c r="U24" i="31"/>
  <c r="X24" i="31"/>
  <c r="R24" i="31"/>
  <c r="U19" i="31"/>
  <c r="R19" i="31"/>
  <c r="J19" i="31"/>
  <c r="G19" i="31"/>
  <c r="X19" i="31"/>
  <c r="E68" i="31"/>
  <c r="F68" i="31" s="1"/>
  <c r="G22" i="31"/>
  <c r="G32" i="31"/>
  <c r="E83" i="31"/>
  <c r="E86" i="31" s="1"/>
  <c r="J32" i="31"/>
  <c r="F78" i="31" l="1"/>
  <c r="J62" i="31"/>
  <c r="F149" i="5" s="1"/>
  <c r="J54" i="31"/>
  <c r="J53" i="31"/>
  <c r="J52" i="31"/>
  <c r="J45" i="31"/>
  <c r="J33" i="31"/>
  <c r="U22" i="31"/>
  <c r="J22" i="31"/>
  <c r="R22" i="31"/>
  <c r="E78" i="31"/>
  <c r="U21" i="31"/>
  <c r="R21" i="31"/>
  <c r="J21" i="31"/>
  <c r="J55" i="31" l="1"/>
  <c r="F148" i="5" s="1"/>
  <c r="J46" i="31"/>
  <c r="J47" i="31"/>
  <c r="J39" i="31"/>
  <c r="J40" i="31"/>
  <c r="J38" i="31"/>
  <c r="J25" i="31"/>
  <c r="G95" i="14" l="1"/>
  <c r="E95" i="14" s="1"/>
  <c r="G93" i="14"/>
  <c r="E93" i="14" s="1"/>
  <c r="F191" i="5" s="1"/>
  <c r="J48" i="31"/>
  <c r="F147" i="5" s="1"/>
  <c r="J41" i="31"/>
  <c r="F146" i="5" s="1"/>
  <c r="D95" i="31"/>
  <c r="G100" i="14" s="1"/>
  <c r="E100" i="14" l="1"/>
  <c r="F197" i="5" s="1"/>
  <c r="F145" i="2"/>
  <c r="D1107" i="2"/>
  <c r="D1106" i="2"/>
  <c r="D1060" i="2"/>
  <c r="D1059" i="2"/>
  <c r="D1013" i="2"/>
  <c r="D1012" i="2"/>
  <c r="D966" i="2"/>
  <c r="D965" i="2"/>
  <c r="D919" i="2"/>
  <c r="D918" i="2"/>
  <c r="D872" i="2"/>
  <c r="D871" i="2"/>
  <c r="B145" i="2"/>
  <c r="B139" i="2"/>
  <c r="B140" i="2" s="1"/>
  <c r="B141" i="2" s="1"/>
  <c r="B142" i="2" s="1"/>
  <c r="B143" i="2" s="1"/>
  <c r="B136" i="2"/>
  <c r="B137" i="2" s="1"/>
  <c r="B134" i="2"/>
  <c r="B102" i="2"/>
  <c r="B100" i="2"/>
  <c r="B68" i="2"/>
  <c r="B36" i="2"/>
  <c r="B33" i="2"/>
  <c r="B34" i="2" s="1"/>
  <c r="B25" i="2"/>
  <c r="B26" i="2" s="1"/>
  <c r="B27" i="2" s="1"/>
  <c r="B28" i="2" s="1"/>
  <c r="B29" i="2" s="1"/>
  <c r="B30" i="2" s="1"/>
  <c r="B31" i="2" s="1"/>
  <c r="D825" i="2"/>
  <c r="D824" i="2"/>
  <c r="D798" i="2"/>
  <c r="D797" i="2"/>
  <c r="D771" i="2"/>
  <c r="D770" i="2"/>
  <c r="D744" i="2"/>
  <c r="D743" i="2"/>
  <c r="D716" i="2"/>
  <c r="D715" i="2"/>
  <c r="D687" i="2"/>
  <c r="D686" i="2"/>
  <c r="D659" i="2"/>
  <c r="D658" i="2"/>
  <c r="D631" i="2"/>
  <c r="D630" i="2"/>
  <c r="D603" i="2"/>
  <c r="D602" i="2"/>
  <c r="D575" i="2"/>
  <c r="D574" i="2"/>
  <c r="D546" i="2"/>
  <c r="D545" i="2"/>
  <c r="D518" i="2"/>
  <c r="D517" i="2"/>
  <c r="D442" i="2"/>
  <c r="D441" i="2"/>
  <c r="D415" i="2"/>
  <c r="D414" i="2"/>
  <c r="D388" i="2"/>
  <c r="D387" i="2"/>
  <c r="D361" i="2"/>
  <c r="D360" i="2"/>
  <c r="D332" i="2"/>
  <c r="D331" i="2"/>
  <c r="F95" i="5"/>
  <c r="F94" i="5"/>
  <c r="F93" i="5"/>
  <c r="F92" i="5"/>
  <c r="F91" i="5"/>
  <c r="D2763" i="2"/>
  <c r="D2726" i="2"/>
  <c r="D2689" i="2"/>
  <c r="D2652" i="2"/>
  <c r="D2615" i="2"/>
  <c r="D1488" i="2"/>
  <c r="D1103" i="2"/>
  <c r="D1080" i="2"/>
  <c r="D1056" i="2"/>
  <c r="D1033" i="2"/>
  <c r="D1009" i="2"/>
  <c r="D986" i="2"/>
  <c r="D962" i="2"/>
  <c r="D939" i="2"/>
  <c r="D915" i="2"/>
  <c r="D892" i="2"/>
  <c r="D868" i="2"/>
  <c r="D845" i="2"/>
  <c r="D821" i="2"/>
  <c r="D794" i="2"/>
  <c r="D767" i="2"/>
  <c r="D740" i="2"/>
  <c r="D712" i="2"/>
  <c r="D683" i="2"/>
  <c r="D655" i="2"/>
  <c r="D627" i="2"/>
  <c r="D599" i="2"/>
  <c r="D571" i="2"/>
  <c r="D542" i="2"/>
  <c r="D514" i="2"/>
  <c r="D486" i="2"/>
  <c r="D462" i="2"/>
  <c r="D438" i="2"/>
  <c r="D411" i="2"/>
  <c r="D384" i="2"/>
  <c r="D357" i="2"/>
  <c r="D328" i="2"/>
  <c r="H2886" i="2"/>
  <c r="H2912" i="2"/>
  <c r="H2938" i="2"/>
  <c r="H2964" i="2"/>
  <c r="D2959" i="2"/>
  <c r="D2958" i="2"/>
  <c r="D2957" i="2"/>
  <c r="D2956" i="2"/>
  <c r="D2955" i="2"/>
  <c r="D2954" i="2"/>
  <c r="D2953" i="2"/>
  <c r="D2950" i="2"/>
  <c r="D2933" i="2"/>
  <c r="D2932" i="2"/>
  <c r="D2931" i="2"/>
  <c r="D2930" i="2"/>
  <c r="D2929" i="2"/>
  <c r="D2928" i="2"/>
  <c r="D2927" i="2"/>
  <c r="D2924" i="2"/>
  <c r="D2907" i="2"/>
  <c r="D2906" i="2"/>
  <c r="D2905" i="2"/>
  <c r="D2904" i="2"/>
  <c r="D2903" i="2"/>
  <c r="D2902" i="2"/>
  <c r="D2901" i="2"/>
  <c r="D2898" i="2"/>
  <c r="D2881" i="2"/>
  <c r="D2880" i="2"/>
  <c r="D2879" i="2"/>
  <c r="D2878" i="2"/>
  <c r="D2877" i="2"/>
  <c r="D2876" i="2"/>
  <c r="D2875" i="2"/>
  <c r="D2872" i="2"/>
  <c r="D2855" i="2"/>
  <c r="D2854" i="2"/>
  <c r="D2853" i="2"/>
  <c r="D2852" i="2"/>
  <c r="D2851" i="2"/>
  <c r="D2850" i="2"/>
  <c r="D2849" i="2"/>
  <c r="D2846" i="2"/>
  <c r="D2824" i="2"/>
  <c r="H2860" i="2" l="1"/>
  <c r="D2821" i="2"/>
  <c r="D2830" i="2"/>
  <c r="D2829" i="2"/>
  <c r="D2828" i="2"/>
  <c r="D2827" i="2"/>
  <c r="D2826" i="2"/>
  <c r="D2825" i="2"/>
  <c r="D2804" i="2"/>
  <c r="D2803" i="2"/>
  <c r="D2802" i="2"/>
  <c r="D2801" i="2"/>
  <c r="D2800" i="2"/>
  <c r="D2799" i="2"/>
  <c r="H2809" i="2"/>
  <c r="D2798" i="2"/>
  <c r="H2404" i="2"/>
  <c r="H2405" i="2"/>
  <c r="D2795" i="2"/>
  <c r="D2757" i="2"/>
  <c r="D2780" i="2"/>
  <c r="D2779" i="2"/>
  <c r="D2778" i="2"/>
  <c r="D2777" i="2"/>
  <c r="D2774" i="2"/>
  <c r="D2773" i="2"/>
  <c r="D2770" i="2"/>
  <c r="D2769" i="2"/>
  <c r="D2768" i="2"/>
  <c r="D2767" i="2"/>
  <c r="D2764" i="2"/>
  <c r="D2760" i="2"/>
  <c r="D2742" i="2"/>
  <c r="D2741" i="2"/>
  <c r="D2740" i="2"/>
  <c r="D2737" i="2"/>
  <c r="D2736" i="2"/>
  <c r="D2730" i="2"/>
  <c r="D2733" i="2"/>
  <c r="D2732" i="2"/>
  <c r="D2731" i="2"/>
  <c r="D2727" i="2"/>
  <c r="D2723" i="2"/>
  <c r="D2720" i="2"/>
  <c r="D2700" i="2"/>
  <c r="D2699" i="2"/>
  <c r="D2693" i="2"/>
  <c r="D2690" i="2"/>
  <c r="D2686" i="2"/>
  <c r="D2705" i="2"/>
  <c r="D2704" i="2"/>
  <c r="D2703" i="2"/>
  <c r="D2696" i="2"/>
  <c r="D2695" i="2"/>
  <c r="D2694" i="2"/>
  <c r="D2683" i="2"/>
  <c r="D2646" i="2"/>
  <c r="D2609" i="2"/>
  <c r="D2656" i="2"/>
  <c r="D2653" i="2"/>
  <c r="D2649" i="2"/>
  <c r="D2612" i="2"/>
  <c r="D2616" i="2"/>
  <c r="D2668" i="2"/>
  <c r="D2667" i="2"/>
  <c r="D2666" i="2"/>
  <c r="D2663" i="2"/>
  <c r="D2662" i="2"/>
  <c r="D2659" i="2"/>
  <c r="D2658" i="2"/>
  <c r="D2657" i="2"/>
  <c r="D2622" i="2"/>
  <c r="D2621" i="2"/>
  <c r="D2620" i="2"/>
  <c r="D2626" i="2"/>
  <c r="D2625" i="2"/>
  <c r="D2631" i="2"/>
  <c r="D2630" i="2"/>
  <c r="D2629" i="2"/>
  <c r="D2619" i="2" l="1"/>
  <c r="D2584" i="2" l="1"/>
  <c r="C265" i="2"/>
  <c r="D265" i="2"/>
  <c r="B265" i="2"/>
  <c r="C249" i="2"/>
  <c r="D249" i="2"/>
  <c r="B249" i="2"/>
  <c r="C233" i="2"/>
  <c r="D233" i="2"/>
  <c r="B233" i="2"/>
  <c r="C217" i="2"/>
  <c r="D217" i="2"/>
  <c r="B217" i="2"/>
  <c r="C201" i="2"/>
  <c r="D201" i="2"/>
  <c r="B201" i="2"/>
  <c r="C185" i="2"/>
  <c r="D185" i="2"/>
  <c r="B185" i="2"/>
  <c r="C169" i="2"/>
  <c r="D169" i="2"/>
  <c r="B169" i="2"/>
  <c r="D275" i="2"/>
  <c r="D274" i="2"/>
  <c r="D273" i="2"/>
  <c r="O272" i="2"/>
  <c r="D272" i="2"/>
  <c r="O271" i="2"/>
  <c r="D271" i="2"/>
  <c r="O270" i="2"/>
  <c r="N269" i="2"/>
  <c r="O269" i="2" s="1"/>
  <c r="M268" i="2"/>
  <c r="O268" i="2" s="1"/>
  <c r="O267" i="2"/>
  <c r="M266" i="2"/>
  <c r="O266" i="2" s="1"/>
  <c r="D259" i="2"/>
  <c r="D258" i="2"/>
  <c r="O259" i="2"/>
  <c r="D257" i="2"/>
  <c r="O258" i="2"/>
  <c r="D256" i="2"/>
  <c r="O257" i="2"/>
  <c r="D255" i="2"/>
  <c r="N256" i="2"/>
  <c r="O256" i="2" s="1"/>
  <c r="M255" i="2"/>
  <c r="O255" i="2" s="1"/>
  <c r="O254" i="2"/>
  <c r="M253" i="2"/>
  <c r="O253" i="2" s="1"/>
  <c r="D243" i="2"/>
  <c r="D242" i="2"/>
  <c r="O243" i="2"/>
  <c r="D241" i="2"/>
  <c r="O242" i="2"/>
  <c r="D240" i="2"/>
  <c r="O241" i="2"/>
  <c r="D239" i="2"/>
  <c r="N240" i="2"/>
  <c r="O240" i="2" s="1"/>
  <c r="M239" i="2"/>
  <c r="O239" i="2" s="1"/>
  <c r="O238" i="2"/>
  <c r="M237" i="2"/>
  <c r="O237" i="2" s="1"/>
  <c r="D227" i="2"/>
  <c r="D226" i="2"/>
  <c r="O227" i="2"/>
  <c r="D225" i="2"/>
  <c r="O226" i="2"/>
  <c r="D224" i="2"/>
  <c r="O225" i="2"/>
  <c r="D223" i="2"/>
  <c r="N224" i="2"/>
  <c r="O224" i="2" s="1"/>
  <c r="M223" i="2"/>
  <c r="O223" i="2" s="1"/>
  <c r="O222" i="2"/>
  <c r="M221" i="2"/>
  <c r="O221" i="2" s="1"/>
  <c r="D211" i="2"/>
  <c r="D210" i="2"/>
  <c r="D209" i="2"/>
  <c r="D208" i="2"/>
  <c r="O211" i="2"/>
  <c r="D207" i="2"/>
  <c r="O210" i="2"/>
  <c r="O209" i="2"/>
  <c r="N208" i="2"/>
  <c r="O208" i="2" s="1"/>
  <c r="M207" i="2"/>
  <c r="O207" i="2" s="1"/>
  <c r="O206" i="2"/>
  <c r="M205" i="2"/>
  <c r="O205" i="2" s="1"/>
  <c r="D195" i="2"/>
  <c r="D194" i="2"/>
  <c r="D193" i="2"/>
  <c r="D192" i="2"/>
  <c r="D191" i="2"/>
  <c r="O193" i="2"/>
  <c r="O192" i="2"/>
  <c r="O191" i="2"/>
  <c r="N190" i="2"/>
  <c r="O190" i="2" s="1"/>
  <c r="M189" i="2"/>
  <c r="O189" i="2" s="1"/>
  <c r="O188" i="2"/>
  <c r="M187" i="2"/>
  <c r="O187" i="2" s="1"/>
  <c r="D179" i="2"/>
  <c r="D178" i="2"/>
  <c r="D177" i="2"/>
  <c r="D176" i="2"/>
  <c r="D175" i="2"/>
  <c r="O176" i="2"/>
  <c r="O175" i="2"/>
  <c r="O174" i="2"/>
  <c r="N173" i="2"/>
  <c r="O173" i="2" s="1"/>
  <c r="M172" i="2"/>
  <c r="O172" i="2" s="1"/>
  <c r="O171" i="2"/>
  <c r="M170" i="2"/>
  <c r="O170" i="2" s="1"/>
  <c r="F61" i="5"/>
  <c r="F60" i="5"/>
  <c r="F86" i="5"/>
  <c r="F85" i="5"/>
  <c r="F84" i="5"/>
  <c r="F83" i="5"/>
  <c r="F79" i="5"/>
  <c r="F78" i="5"/>
  <c r="C1714" i="2"/>
  <c r="D1714" i="2"/>
  <c r="C1695" i="2"/>
  <c r="D1695" i="2"/>
  <c r="C1675" i="2"/>
  <c r="D1675" i="2"/>
  <c r="C1656" i="2"/>
  <c r="D1656" i="2"/>
  <c r="C1636" i="2"/>
  <c r="D1636" i="2"/>
  <c r="D1617" i="2"/>
  <c r="C1617" i="2"/>
  <c r="C1597" i="2"/>
  <c r="D1597" i="2"/>
  <c r="C1578" i="2"/>
  <c r="D1578" i="2"/>
  <c r="C1558" i="2"/>
  <c r="D1558" i="2"/>
  <c r="C1539" i="2"/>
  <c r="D1539" i="2"/>
  <c r="C1519" i="2"/>
  <c r="D1519" i="2"/>
  <c r="C1500" i="2"/>
  <c r="D1500" i="2"/>
  <c r="C1480" i="2"/>
  <c r="D1480" i="2"/>
  <c r="C1460" i="2"/>
  <c r="D1460" i="2"/>
  <c r="C1440" i="2"/>
  <c r="D1440" i="2"/>
  <c r="C1420" i="2"/>
  <c r="D1420" i="2"/>
  <c r="C1400" i="2"/>
  <c r="D1400" i="2"/>
  <c r="C1380" i="2"/>
  <c r="D1380" i="2"/>
  <c r="C1360" i="2"/>
  <c r="D1360" i="2"/>
  <c r="C1340" i="2"/>
  <c r="D1340" i="2"/>
  <c r="C1320" i="2"/>
  <c r="D1320" i="2"/>
  <c r="C1300" i="2"/>
  <c r="D1300" i="2"/>
  <c r="C1280" i="2"/>
  <c r="D1280" i="2"/>
  <c r="C1260" i="2"/>
  <c r="D1260" i="2"/>
  <c r="C1239" i="2"/>
  <c r="D1239" i="2"/>
  <c r="C1218" i="2"/>
  <c r="D1218" i="2"/>
  <c r="C1198" i="2"/>
  <c r="D1198" i="2"/>
  <c r="D1178" i="2"/>
  <c r="C1178" i="2"/>
  <c r="C1158" i="2"/>
  <c r="D1158" i="2"/>
  <c r="C1138" i="2"/>
  <c r="D1138" i="2"/>
  <c r="C1118" i="2"/>
  <c r="D1118" i="2"/>
  <c r="C2754" i="2"/>
  <c r="D2754" i="2"/>
  <c r="B2754" i="2"/>
  <c r="C2717" i="2"/>
  <c r="D2717" i="2"/>
  <c r="B2717" i="2"/>
  <c r="C2680" i="2"/>
  <c r="D2680" i="2"/>
  <c r="B2680" i="2"/>
  <c r="D2643" i="2"/>
  <c r="C2643" i="2"/>
  <c r="B2643" i="2"/>
  <c r="D2606" i="2"/>
  <c r="C2606" i="2"/>
  <c r="B2606" i="2"/>
  <c r="D2527" i="2"/>
  <c r="D2523" i="2"/>
  <c r="D2520" i="2"/>
  <c r="D2519" i="2"/>
  <c r="D2502" i="2"/>
  <c r="D2498" i="2"/>
  <c r="D2495" i="2"/>
  <c r="D2494" i="2"/>
  <c r="D2473" i="2"/>
  <c r="D2477" i="2"/>
  <c r="D2472" i="2"/>
  <c r="D2469" i="2"/>
  <c r="D2468" i="2"/>
  <c r="D2451" i="2"/>
  <c r="D2447" i="2"/>
  <c r="D2444" i="2"/>
  <c r="D2443" i="2"/>
  <c r="D2426" i="2"/>
  <c r="D2422" i="2"/>
  <c r="D2419" i="2"/>
  <c r="D2418" i="2"/>
  <c r="D2401" i="2"/>
  <c r="D2397" i="2"/>
  <c r="D2394" i="2"/>
  <c r="D2393" i="2"/>
  <c r="D2372" i="2"/>
  <c r="D2376" i="2"/>
  <c r="D2371" i="2"/>
  <c r="D2368" i="2"/>
  <c r="D2367" i="2"/>
  <c r="D2350" i="2"/>
  <c r="D2346" i="2"/>
  <c r="D2343" i="2"/>
  <c r="D2342" i="2"/>
  <c r="D2325" i="2"/>
  <c r="D2321" i="2"/>
  <c r="D2318" i="2"/>
  <c r="D2317" i="2"/>
  <c r="D2300" i="2"/>
  <c r="D2296" i="2"/>
  <c r="D2293" i="2"/>
  <c r="D2292" i="2"/>
  <c r="D2275" i="2"/>
  <c r="D2271" i="2"/>
  <c r="D2268" i="2"/>
  <c r="D2267" i="2"/>
  <c r="D2250" i="2"/>
  <c r="D2246" i="2"/>
  <c r="D2243" i="2"/>
  <c r="D2242" i="2"/>
  <c r="D2225" i="2"/>
  <c r="D2221" i="2"/>
  <c r="D2220" i="2"/>
  <c r="D2217" i="2"/>
  <c r="D2216" i="2"/>
  <c r="C2210" i="2"/>
  <c r="D2210" i="2"/>
  <c r="H2229" i="2"/>
  <c r="H2228" i="2"/>
  <c r="D2199" i="2"/>
  <c r="D2195" i="2"/>
  <c r="D2194" i="2"/>
  <c r="D2191" i="2"/>
  <c r="C2185" i="2"/>
  <c r="D2185" i="2"/>
  <c r="H2203" i="2"/>
  <c r="H2202" i="2"/>
  <c r="D2174" i="2"/>
  <c r="D2170" i="2"/>
  <c r="D2169" i="2"/>
  <c r="D2166" i="2"/>
  <c r="C2160" i="2"/>
  <c r="D2160" i="2"/>
  <c r="H2178" i="2"/>
  <c r="H2177" i="2"/>
  <c r="D2149" i="2"/>
  <c r="D2145" i="2"/>
  <c r="D2144" i="2"/>
  <c r="D2143" i="2"/>
  <c r="D2140" i="2"/>
  <c r="D2134" i="2"/>
  <c r="C2134" i="2"/>
  <c r="H2153" i="2"/>
  <c r="H2152" i="2"/>
  <c r="D2123" i="2"/>
  <c r="D2118" i="2"/>
  <c r="D2115" i="2"/>
  <c r="D2093" i="2"/>
  <c r="D2090" i="2"/>
  <c r="D2098" i="2"/>
  <c r="D2067" i="2"/>
  <c r="D2064" i="2"/>
  <c r="D2072" i="2"/>
  <c r="D2047" i="2"/>
  <c r="D2042" i="2"/>
  <c r="D2041" i="2"/>
  <c r="D2038" i="2"/>
  <c r="D2037" i="2"/>
  <c r="D2015" i="2"/>
  <c r="D2020" i="2"/>
  <c r="D1987" i="2"/>
  <c r="D1990" i="2"/>
  <c r="D1995" i="2"/>
  <c r="D1965" i="2"/>
  <c r="D1970" i="2"/>
  <c r="D1940" i="2"/>
  <c r="D1945" i="2"/>
  <c r="D1915" i="2"/>
  <c r="D1920" i="2"/>
  <c r="D1890" i="2"/>
  <c r="D1895" i="2"/>
  <c r="D1865" i="2"/>
  <c r="D1870" i="2"/>
  <c r="D1840" i="2"/>
  <c r="D1845" i="2"/>
  <c r="D1815" i="2"/>
  <c r="D1820" i="2"/>
  <c r="D1790" i="2"/>
  <c r="D1795" i="2"/>
  <c r="D1770" i="2"/>
  <c r="D1765" i="2"/>
  <c r="D1744" i="2"/>
  <c r="D1487" i="2"/>
  <c r="D1486" i="2"/>
  <c r="I1493" i="2"/>
  <c r="D1468" i="2"/>
  <c r="D1467" i="2"/>
  <c r="D1466" i="2"/>
  <c r="I1473" i="2"/>
  <c r="D1448" i="2"/>
  <c r="D1447" i="2"/>
  <c r="D1446" i="2"/>
  <c r="I1453" i="2"/>
  <c r="D1426" i="2"/>
  <c r="D1406" i="2"/>
  <c r="D1386" i="2"/>
  <c r="D1366" i="2"/>
  <c r="D1308" i="2"/>
  <c r="D1307" i="2"/>
  <c r="D1306" i="2"/>
  <c r="I1313" i="2"/>
  <c r="B69" i="2"/>
  <c r="B70" i="2" s="1"/>
  <c r="B71" i="2" s="1"/>
  <c r="B72" i="2" s="1"/>
  <c r="B73" i="2" s="1"/>
  <c r="B74" i="2" s="1"/>
  <c r="B75" i="2" s="1"/>
  <c r="B76" i="2" s="1"/>
  <c r="B77" i="2" s="1"/>
  <c r="B78" i="2" s="1"/>
  <c r="B79" i="2" s="1"/>
  <c r="B80" i="2" s="1"/>
  <c r="B81" i="2" s="1"/>
  <c r="B82" i="2" s="1"/>
  <c r="B83" i="2" s="1"/>
  <c r="B84" i="2" s="1"/>
  <c r="B85" i="2" s="1"/>
  <c r="B86" i="2" s="1"/>
  <c r="B87" i="2" s="1"/>
  <c r="B88" i="2" s="1"/>
  <c r="B89" i="2" s="1"/>
  <c r="B90" i="2" s="1"/>
  <c r="B91" i="2" s="1"/>
  <c r="B92" i="2" s="1"/>
  <c r="B93" i="2" s="1"/>
  <c r="B94" i="2" s="1"/>
  <c r="B95" i="2" s="1"/>
  <c r="B96" i="2" s="1"/>
  <c r="B97" i="2" s="1"/>
  <c r="B98" i="2" s="1"/>
  <c r="D865" i="2"/>
  <c r="D818" i="2"/>
  <c r="D815" i="2"/>
  <c r="C809" i="2"/>
  <c r="D809" i="2"/>
  <c r="H829" i="2"/>
  <c r="H828" i="2"/>
  <c r="D791" i="2"/>
  <c r="D788" i="2"/>
  <c r="C782" i="2"/>
  <c r="D782" i="2"/>
  <c r="H802" i="2"/>
  <c r="H801" i="2"/>
  <c r="D764" i="2"/>
  <c r="D761" i="2"/>
  <c r="C755" i="2"/>
  <c r="D755" i="2"/>
  <c r="H775" i="2"/>
  <c r="H774" i="2"/>
  <c r="C836" i="2"/>
  <c r="D836" i="2"/>
  <c r="D736" i="2"/>
  <c r="D737" i="2"/>
  <c r="D733" i="2"/>
  <c r="D708" i="2"/>
  <c r="D709" i="2"/>
  <c r="D705" i="2"/>
  <c r="D676" i="2"/>
  <c r="D648" i="2"/>
  <c r="C559" i="2"/>
  <c r="D559" i="2"/>
  <c r="D565" i="2"/>
  <c r="D568" i="2"/>
  <c r="D596" i="2"/>
  <c r="D593" i="2"/>
  <c r="D483" i="2"/>
  <c r="D378" i="2"/>
  <c r="C183" i="5"/>
  <c r="E57" i="21"/>
  <c r="F183" i="5" s="1"/>
  <c r="E56" i="21"/>
  <c r="E55" i="21"/>
  <c r="F180" i="5" s="1"/>
  <c r="G57" i="21"/>
  <c r="C181" i="5"/>
  <c r="F181" i="5"/>
  <c r="G56" i="21"/>
  <c r="C184" i="5"/>
  <c r="E58" i="21"/>
  <c r="F184" i="5" s="1"/>
  <c r="G58" i="21"/>
  <c r="C180" i="5"/>
  <c r="E60" i="21"/>
  <c r="Q1207" i="2" l="1"/>
  <c r="Q1204" i="2"/>
  <c r="Q1201" i="2"/>
  <c r="Q1326" i="2"/>
  <c r="Q1323" i="2"/>
  <c r="Q1329" i="2"/>
  <c r="Q1449" i="2"/>
  <c r="Q1446" i="2"/>
  <c r="Q1447" i="2"/>
  <c r="Q1443" i="2"/>
  <c r="Q1564" i="2"/>
  <c r="Q1561" i="2"/>
  <c r="Q1567" i="2"/>
  <c r="Q1681" i="2"/>
  <c r="Q1684" i="2"/>
  <c r="Q1678" i="2"/>
  <c r="Q223" i="2"/>
  <c r="Q227" i="2"/>
  <c r="Q226" i="2"/>
  <c r="Q225" i="2"/>
  <c r="Q224" i="2"/>
  <c r="Q220" i="2"/>
  <c r="Q2620" i="2"/>
  <c r="Q2619" i="2"/>
  <c r="Q2630" i="2"/>
  <c r="Q2616" i="2"/>
  <c r="Q2615" i="2"/>
  <c r="Q2612" i="2"/>
  <c r="Q2631" i="2"/>
  <c r="Q2609" i="2"/>
  <c r="Q2629" i="2"/>
  <c r="Q2621" i="2"/>
  <c r="Q2626" i="2"/>
  <c r="Q2625" i="2"/>
  <c r="Q2622" i="2"/>
  <c r="Q791" i="2"/>
  <c r="Q788" i="2"/>
  <c r="Q785" i="2"/>
  <c r="Q798" i="2"/>
  <c r="Q797" i="2"/>
  <c r="Q794" i="2"/>
  <c r="Q2780" i="2"/>
  <c r="Q2760" i="2"/>
  <c r="Q2779" i="2"/>
  <c r="Q2757" i="2"/>
  <c r="Q2778" i="2"/>
  <c r="Q2777" i="2"/>
  <c r="Q2774" i="2"/>
  <c r="Q2773" i="2"/>
  <c r="Q2770" i="2"/>
  <c r="Q2769" i="2"/>
  <c r="Q2768" i="2"/>
  <c r="Q2767" i="2"/>
  <c r="Q2763" i="2"/>
  <c r="Q2764" i="2"/>
  <c r="Q1228" i="2"/>
  <c r="Q1224" i="2"/>
  <c r="Q1221" i="2"/>
  <c r="Q1346" i="2"/>
  <c r="Q1347" i="2"/>
  <c r="Q1343" i="2"/>
  <c r="Q1349" i="2"/>
  <c r="Q1466" i="2"/>
  <c r="Q1469" i="2"/>
  <c r="Q1463" i="2"/>
  <c r="Q1584" i="2"/>
  <c r="Q1581" i="2"/>
  <c r="Q1586" i="2"/>
  <c r="Q1701" i="2"/>
  <c r="Q1698" i="2"/>
  <c r="Q1703" i="2"/>
  <c r="Q175" i="2"/>
  <c r="Q172" i="2"/>
  <c r="Q176" i="2"/>
  <c r="Q179" i="2"/>
  <c r="Q178" i="2"/>
  <c r="Q177" i="2"/>
  <c r="Q2216" i="2"/>
  <c r="Q2213" i="2"/>
  <c r="Q2225" i="2"/>
  <c r="Q2217" i="2"/>
  <c r="Q2222" i="2"/>
  <c r="Q2221" i="2"/>
  <c r="Q2220" i="2"/>
  <c r="Q2656" i="2"/>
  <c r="Q2653" i="2"/>
  <c r="Q2652" i="2"/>
  <c r="Q2666" i="2"/>
  <c r="Q2649" i="2"/>
  <c r="Q2668" i="2"/>
  <c r="Q2646" i="2"/>
  <c r="Q2667" i="2"/>
  <c r="Q2663" i="2"/>
  <c r="Q2657" i="2"/>
  <c r="Q2662" i="2"/>
  <c r="Q2659" i="2"/>
  <c r="Q2658" i="2"/>
  <c r="Q1121" i="2"/>
  <c r="Q1127" i="2"/>
  <c r="Q1126" i="2"/>
  <c r="Q1125" i="2"/>
  <c r="Q1124" i="2"/>
  <c r="Q1249" i="2"/>
  <c r="Q1245" i="2"/>
  <c r="Q1242" i="2"/>
  <c r="Q1367" i="2"/>
  <c r="Q1366" i="2"/>
  <c r="Q1363" i="2"/>
  <c r="Q1369" i="2"/>
  <c r="Q1486" i="2"/>
  <c r="Q1483" i="2"/>
  <c r="Q1489" i="2"/>
  <c r="Q1600" i="2"/>
  <c r="Q1606" i="2"/>
  <c r="Q1603" i="2"/>
  <c r="Q1717" i="2"/>
  <c r="Q1723" i="2"/>
  <c r="Q1625" i="2"/>
  <c r="Q1623" i="2"/>
  <c r="Q1620" i="2"/>
  <c r="Q240" i="2"/>
  <c r="Q239" i="2"/>
  <c r="Q236" i="2"/>
  <c r="Q241" i="2"/>
  <c r="Q243" i="2"/>
  <c r="Q242" i="2"/>
  <c r="Q845" i="2"/>
  <c r="Q842" i="2"/>
  <c r="Q839" i="2"/>
  <c r="Q574" i="2"/>
  <c r="Q575" i="2"/>
  <c r="Q571" i="2"/>
  <c r="Q568" i="2"/>
  <c r="Q565" i="2"/>
  <c r="Q562" i="2"/>
  <c r="Q1141" i="2"/>
  <c r="Q1147" i="2"/>
  <c r="Q1269" i="2"/>
  <c r="Q1263" i="2"/>
  <c r="Q1386" i="2"/>
  <c r="Q1383" i="2"/>
  <c r="Q1389" i="2"/>
  <c r="Q1503" i="2"/>
  <c r="Q1508" i="2"/>
  <c r="Q1506" i="2"/>
  <c r="Q195" i="2"/>
  <c r="Q194" i="2"/>
  <c r="Q193" i="2"/>
  <c r="Q192" i="2"/>
  <c r="Q191" i="2"/>
  <c r="Q188" i="2"/>
  <c r="Q255" i="2"/>
  <c r="Q259" i="2"/>
  <c r="Q258" i="2"/>
  <c r="Q257" i="2"/>
  <c r="Q256" i="2"/>
  <c r="Q252" i="2"/>
  <c r="Q2726" i="2"/>
  <c r="Q2723" i="2"/>
  <c r="Q2742" i="2"/>
  <c r="Q2720" i="2"/>
  <c r="Q2741" i="2"/>
  <c r="Q2740" i="2"/>
  <c r="Q2736" i="2"/>
  <c r="Q2737" i="2"/>
  <c r="Q2733" i="2"/>
  <c r="Q2732" i="2"/>
  <c r="Q2727" i="2"/>
  <c r="Q2731" i="2"/>
  <c r="Q2730" i="2"/>
  <c r="Q761" i="2"/>
  <c r="Q764" i="2"/>
  <c r="Q771" i="2"/>
  <c r="Q770" i="2"/>
  <c r="Q767" i="2"/>
  <c r="Q758" i="2"/>
  <c r="Q818" i="2"/>
  <c r="Q825" i="2"/>
  <c r="Q824" i="2"/>
  <c r="Q821" i="2"/>
  <c r="Q815" i="2"/>
  <c r="Q2191" i="2"/>
  <c r="Q2199" i="2"/>
  <c r="Q2196" i="2"/>
  <c r="Q2195" i="2"/>
  <c r="Q2194" i="2"/>
  <c r="Q2188" i="2"/>
  <c r="Q2690" i="2"/>
  <c r="Q2689" i="2"/>
  <c r="Q2686" i="2"/>
  <c r="Q2705" i="2"/>
  <c r="Q2683" i="2"/>
  <c r="Q2700" i="2"/>
  <c r="Q2704" i="2"/>
  <c r="Q2703" i="2"/>
  <c r="Q2699" i="2"/>
  <c r="Q2696" i="2"/>
  <c r="Q2695" i="2"/>
  <c r="Q2694" i="2"/>
  <c r="Q2693" i="2"/>
  <c r="Q1161" i="2"/>
  <c r="Q1167" i="2"/>
  <c r="Q1164" i="2"/>
  <c r="Q1286" i="2"/>
  <c r="Q1289" i="2"/>
  <c r="Q1283" i="2"/>
  <c r="Q1409" i="2"/>
  <c r="Q1403" i="2"/>
  <c r="Q1406" i="2"/>
  <c r="Q1528" i="2"/>
  <c r="Q1527" i="2"/>
  <c r="Q1526" i="2"/>
  <c r="Q1525" i="2"/>
  <c r="Q1522" i="2"/>
  <c r="Q1645" i="2"/>
  <c r="Q1642" i="2"/>
  <c r="Q1639" i="2"/>
  <c r="Q2149" i="2"/>
  <c r="Q2146" i="2"/>
  <c r="Q2143" i="2"/>
  <c r="Q2145" i="2"/>
  <c r="Q2144" i="2"/>
  <c r="Q2140" i="2"/>
  <c r="Q1187" i="2"/>
  <c r="Q1184" i="2"/>
  <c r="Q1181" i="2"/>
  <c r="Q207" i="2"/>
  <c r="Q204" i="2"/>
  <c r="Q211" i="2"/>
  <c r="Q210" i="2"/>
  <c r="Q208" i="2"/>
  <c r="Q209" i="2"/>
  <c r="Q271" i="2"/>
  <c r="Q268" i="2"/>
  <c r="Q272" i="2"/>
  <c r="Q275" i="2"/>
  <c r="Q274" i="2"/>
  <c r="Q273" i="2"/>
  <c r="Q2166" i="2"/>
  <c r="Q2163" i="2"/>
  <c r="Q2174" i="2"/>
  <c r="Q2171" i="2"/>
  <c r="Q2169" i="2"/>
  <c r="Q2170" i="2"/>
  <c r="Q1303" i="2"/>
  <c r="Q1309" i="2"/>
  <c r="Q1306" i="2"/>
  <c r="Q1429" i="2"/>
  <c r="Q1426" i="2"/>
  <c r="Q1423" i="2"/>
  <c r="Q1545" i="2"/>
  <c r="Q1542" i="2"/>
  <c r="Q1547" i="2"/>
  <c r="Q1659" i="2"/>
  <c r="Q1664" i="2"/>
  <c r="Q1308" i="2"/>
  <c r="Q1307" i="2"/>
  <c r="Q1546" i="2"/>
  <c r="Q1328" i="2"/>
  <c r="Q1327" i="2"/>
  <c r="Q1448" i="2"/>
  <c r="Q1348" i="2"/>
  <c r="Q1468" i="2"/>
  <c r="Q1467" i="2"/>
  <c r="Q812" i="2"/>
  <c r="Q1488" i="2"/>
  <c r="Q1487" i="2"/>
  <c r="O194" i="2"/>
  <c r="H196" i="2" s="1"/>
  <c r="I196" i="2" s="1"/>
  <c r="O273" i="2"/>
  <c r="H276" i="2" s="1"/>
  <c r="I276" i="2" s="1"/>
  <c r="O212" i="2"/>
  <c r="H212" i="2" s="1"/>
  <c r="I212" i="2" s="1"/>
  <c r="O177" i="2"/>
  <c r="H180" i="2" s="1"/>
  <c r="I180" i="2" s="1"/>
  <c r="O228" i="2"/>
  <c r="H228" i="2" s="1"/>
  <c r="I228" i="2" s="1"/>
  <c r="O244" i="2"/>
  <c r="H244" i="2" s="1"/>
  <c r="I244" i="2" s="1"/>
  <c r="O260" i="2"/>
  <c r="H260" i="2" s="1"/>
  <c r="I260" i="2" s="1"/>
  <c r="Q2137" i="2"/>
  <c r="I2177" i="2"/>
  <c r="I2228" i="2"/>
  <c r="I2202" i="2"/>
  <c r="I2152" i="2"/>
  <c r="B1460" i="2"/>
  <c r="B1480" i="2"/>
  <c r="B1440" i="2"/>
  <c r="B1380" i="2"/>
  <c r="B1400" i="2"/>
  <c r="B1340" i="2"/>
  <c r="B1300" i="2"/>
  <c r="B1360" i="2"/>
  <c r="B1420" i="2"/>
  <c r="B1320" i="2"/>
  <c r="I801" i="2"/>
  <c r="I828" i="2"/>
  <c r="I774" i="2"/>
  <c r="C193" i="5"/>
  <c r="E7" i="14"/>
  <c r="C7" i="14"/>
  <c r="E6" i="14"/>
  <c r="C6" i="14"/>
  <c r="E5" i="14"/>
  <c r="C5" i="14"/>
  <c r="G81" i="17"/>
  <c r="D310" i="2"/>
  <c r="D293" i="2"/>
  <c r="N304" i="2"/>
  <c r="O304" i="2" s="1"/>
  <c r="N288" i="2"/>
  <c r="O288" i="2" s="1"/>
  <c r="O307" i="2"/>
  <c r="O306" i="2"/>
  <c r="O305" i="2"/>
  <c r="M303" i="2"/>
  <c r="O303" i="2" s="1"/>
  <c r="O302" i="2"/>
  <c r="M301" i="2"/>
  <c r="O301" i="2" s="1"/>
  <c r="O291" i="2"/>
  <c r="O290" i="2"/>
  <c r="O289" i="2"/>
  <c r="M287" i="2"/>
  <c r="O287" i="2" s="1"/>
  <c r="O286" i="2"/>
  <c r="M285" i="2"/>
  <c r="O285" i="2" s="1"/>
  <c r="D1737" i="2" l="1"/>
  <c r="D1717" i="2"/>
  <c r="D1698" i="2"/>
  <c r="D1678" i="2"/>
  <c r="D1659" i="2"/>
  <c r="D1639" i="2"/>
  <c r="D1620" i="2"/>
  <c r="D1600" i="2"/>
  <c r="D1581" i="2"/>
  <c r="D1503" i="2"/>
  <c r="D1561" i="2"/>
  <c r="D1542" i="2"/>
  <c r="D1522" i="2"/>
  <c r="D456" i="2"/>
  <c r="D429" i="2"/>
  <c r="D319" i="2"/>
  <c r="D348" i="2"/>
  <c r="D375" i="2"/>
  <c r="D402" i="2"/>
  <c r="O308" i="2"/>
  <c r="O292" i="2"/>
  <c r="C188" i="5" l="1"/>
  <c r="F64" i="21"/>
  <c r="F188" i="5" s="1"/>
  <c r="C187" i="5" l="1"/>
  <c r="E63" i="21"/>
  <c r="F187" i="5" s="1"/>
  <c r="F45" i="21"/>
  <c r="F40" i="21"/>
  <c r="F39" i="21"/>
  <c r="F36" i="21"/>
  <c r="D268" i="2" l="1"/>
  <c r="D252" i="2"/>
  <c r="D236" i="2"/>
  <c r="D204" i="2"/>
  <c r="D188" i="2"/>
  <c r="D220" i="2"/>
  <c r="D172" i="2"/>
  <c r="B37" i="2"/>
  <c r="B38" i="2" s="1"/>
  <c r="B39" i="2" s="1"/>
  <c r="B40" i="2" s="1"/>
  <c r="B41" i="2" s="1"/>
  <c r="B42" i="2" s="1"/>
  <c r="B43" i="2" s="1"/>
  <c r="B44" i="2" s="1"/>
  <c r="B45" i="2" s="1"/>
  <c r="B103" i="2"/>
  <c r="B104" i="2" s="1"/>
  <c r="B105" i="2" s="1"/>
  <c r="B106" i="2" s="1"/>
  <c r="B107" i="2" s="1"/>
  <c r="B108" i="2" s="1"/>
  <c r="B109" i="2" s="1"/>
  <c r="B110" i="2" s="1"/>
  <c r="B111" i="2" s="1"/>
  <c r="B112" i="2" s="1"/>
  <c r="B113" i="2" s="1"/>
  <c r="B114" i="2" s="1"/>
  <c r="B115" i="2" s="1"/>
  <c r="B116" i="2" s="1"/>
  <c r="B117" i="2" s="1"/>
  <c r="B118" i="2" s="1"/>
  <c r="B119" i="2" s="1"/>
  <c r="B120" i="2" s="1"/>
  <c r="B121" i="2" s="1"/>
  <c r="B122" i="2" s="1"/>
  <c r="B123" i="2" s="1"/>
  <c r="B124" i="2" s="1"/>
  <c r="B125" i="2" s="1"/>
  <c r="B126" i="2" s="1"/>
  <c r="B127" i="2" s="1"/>
  <c r="B128" i="2" s="1"/>
  <c r="B129" i="2" s="1"/>
  <c r="B130" i="2" s="1"/>
  <c r="B131" i="2" s="1"/>
  <c r="D2564" i="2"/>
  <c r="D2565" i="2"/>
  <c r="D2563" i="2"/>
  <c r="F179" i="5"/>
  <c r="C179" i="5"/>
  <c r="L2565" i="2"/>
  <c r="L2566" i="2"/>
  <c r="L2564" i="2"/>
  <c r="F23" i="5"/>
  <c r="B132" i="2" l="1"/>
  <c r="B111" i="5"/>
  <c r="B112" i="5" s="1"/>
  <c r="B113" i="5" s="1"/>
  <c r="B114" i="5" s="1"/>
  <c r="B116" i="5" s="1"/>
  <c r="B117" i="5" s="1"/>
  <c r="B132" i="5" s="1"/>
  <c r="B140" i="5" s="1"/>
  <c r="B141" i="5" s="1"/>
  <c r="B143" i="5" s="1"/>
  <c r="B144" i="5" s="1"/>
  <c r="B162" i="5" s="1"/>
  <c r="B164" i="5" s="1"/>
  <c r="B165" i="5" s="1"/>
  <c r="B166" i="5" s="1"/>
  <c r="B174" i="5" s="1"/>
  <c r="B175" i="5" s="1"/>
  <c r="B177" i="5" s="1"/>
  <c r="B2134" i="2"/>
  <c r="B559" i="2"/>
  <c r="B46" i="2"/>
  <c r="B47" i="2" s="1"/>
  <c r="B48" i="2" s="1"/>
  <c r="B49" i="2" s="1"/>
  <c r="B50" i="2" s="1"/>
  <c r="B51" i="2" s="1"/>
  <c r="B52" i="2" s="1"/>
  <c r="B53" i="2" s="1"/>
  <c r="B54" i="2" s="1"/>
  <c r="B55" i="2" s="1"/>
  <c r="B56" i="2" s="1"/>
  <c r="B2160" i="2" l="1"/>
  <c r="B755" i="2"/>
  <c r="B187" i="5"/>
  <c r="B188" i="5" s="1"/>
  <c r="B193" i="5" s="1"/>
  <c r="B196" i="5" s="1"/>
  <c r="B205" i="5" s="1"/>
  <c r="B207" i="5" s="1"/>
  <c r="B208" i="5" s="1"/>
  <c r="B2185" i="2" l="1"/>
  <c r="B57" i="2"/>
  <c r="B58" i="2" s="1"/>
  <c r="B782" i="2"/>
  <c r="D1734" i="2"/>
  <c r="B2210" i="2" l="1"/>
  <c r="B59" i="2"/>
  <c r="B60" i="2" s="1"/>
  <c r="B61" i="2" s="1"/>
  <c r="B62" i="2" s="1"/>
  <c r="B63" i="2" s="1"/>
  <c r="B64" i="2" s="1"/>
  <c r="B65" i="2" s="1"/>
  <c r="B66" i="2" s="1"/>
  <c r="B809" i="2"/>
  <c r="D325" i="2"/>
  <c r="B836" i="2" l="1"/>
  <c r="I1668" i="2"/>
  <c r="I1649" i="2"/>
  <c r="I1629" i="2"/>
  <c r="I1610" i="2"/>
  <c r="I1590" i="2"/>
  <c r="I1571" i="2"/>
  <c r="I1551" i="2"/>
  <c r="I1532" i="2"/>
  <c r="I1512" i="2"/>
  <c r="I1433" i="2"/>
  <c r="I1413" i="2"/>
  <c r="I1393" i="2"/>
  <c r="I1373" i="2"/>
  <c r="I1353" i="2"/>
  <c r="I1333" i="2"/>
  <c r="I1293" i="2"/>
  <c r="I1273" i="2"/>
  <c r="I1292" i="2"/>
  <c r="I1231" i="2"/>
  <c r="I1688" i="2"/>
  <c r="I1707" i="2"/>
  <c r="I1727" i="2"/>
  <c r="I1252" i="2"/>
  <c r="I1211" i="2"/>
  <c r="I1191" i="2"/>
  <c r="I1171" i="2"/>
  <c r="I1151" i="2"/>
  <c r="D1722" i="2" l="1"/>
  <c r="D1721" i="2"/>
  <c r="D1720" i="2"/>
  <c r="D1702" i="2"/>
  <c r="D1701" i="2"/>
  <c r="D1683" i="2"/>
  <c r="D1682" i="2"/>
  <c r="D1681" i="2"/>
  <c r="D1663" i="2"/>
  <c r="D1662" i="2"/>
  <c r="D1644" i="2"/>
  <c r="D1643" i="2"/>
  <c r="D1642" i="2"/>
  <c r="D1624" i="2"/>
  <c r="D1623" i="2"/>
  <c r="D1605" i="2"/>
  <c r="D1604" i="2"/>
  <c r="D1603" i="2"/>
  <c r="D1585" i="2"/>
  <c r="D1584" i="2"/>
  <c r="D1566" i="2"/>
  <c r="D1565" i="2"/>
  <c r="D1564" i="2"/>
  <c r="D1546" i="2"/>
  <c r="D1545" i="2"/>
  <c r="D1527" i="2"/>
  <c r="D1526" i="2"/>
  <c r="D1525" i="2"/>
  <c r="D1507" i="2"/>
  <c r="D1506" i="2"/>
  <c r="D1428" i="2"/>
  <c r="D1427" i="2"/>
  <c r="D1408" i="2"/>
  <c r="D1407" i="2"/>
  <c r="D1388" i="2"/>
  <c r="D1387" i="2"/>
  <c r="D1368" i="2"/>
  <c r="D1367" i="2"/>
  <c r="D1348" i="2"/>
  <c r="D1347" i="2"/>
  <c r="D1346" i="2"/>
  <c r="D1328" i="2"/>
  <c r="D1327" i="2"/>
  <c r="D1326" i="2"/>
  <c r="D1288" i="2"/>
  <c r="D1287" i="2"/>
  <c r="D1286" i="2"/>
  <c r="D1268" i="2"/>
  <c r="D1267" i="2"/>
  <c r="D1266" i="2"/>
  <c r="D1248" i="2"/>
  <c r="D1247" i="2"/>
  <c r="D1246" i="2"/>
  <c r="D1245" i="2"/>
  <c r="D1227" i="2"/>
  <c r="D1226" i="2"/>
  <c r="D1224" i="2"/>
  <c r="D1206" i="2"/>
  <c r="D1205" i="2"/>
  <c r="D1204" i="2"/>
  <c r="D1186" i="2"/>
  <c r="D1185" i="2"/>
  <c r="D1184" i="2"/>
  <c r="D1166" i="2"/>
  <c r="D1165" i="2"/>
  <c r="D1164" i="2"/>
  <c r="D1146" i="2"/>
  <c r="D1145" i="2"/>
  <c r="D1144" i="2"/>
  <c r="D1126" i="2"/>
  <c r="D1125" i="2"/>
  <c r="D1124" i="2"/>
  <c r="B1118" i="2"/>
  <c r="B1714" i="2"/>
  <c r="F53" i="5"/>
  <c r="D2572" i="2"/>
  <c r="D2573" i="2"/>
  <c r="F56" i="5"/>
  <c r="Q1644" i="2" l="1"/>
  <c r="Q1643" i="2"/>
  <c r="Q1387" i="2"/>
  <c r="Q1388" i="2"/>
  <c r="Q1248" i="2"/>
  <c r="Q1247" i="2"/>
  <c r="Q1246" i="2"/>
  <c r="Q1566" i="2"/>
  <c r="Q1565" i="2"/>
  <c r="Q1683" i="2"/>
  <c r="Q1682" i="2"/>
  <c r="Q1605" i="2"/>
  <c r="Q1604" i="2"/>
  <c r="Q1702" i="2"/>
  <c r="Q1144" i="2"/>
  <c r="Q1146" i="2"/>
  <c r="Q1145" i="2"/>
  <c r="Q1166" i="2"/>
  <c r="Q1165" i="2"/>
  <c r="Q1287" i="2"/>
  <c r="Q1288" i="2"/>
  <c r="Q1428" i="2"/>
  <c r="Q1427" i="2"/>
  <c r="Q1268" i="2"/>
  <c r="Q1266" i="2"/>
  <c r="Q1267" i="2"/>
  <c r="Q1408" i="2"/>
  <c r="Q1407" i="2"/>
  <c r="Q1585" i="2"/>
  <c r="Q1721" i="2"/>
  <c r="Q1720" i="2"/>
  <c r="Q1722" i="2"/>
  <c r="Q1206" i="2"/>
  <c r="Q1205" i="2"/>
  <c r="Q1186" i="2"/>
  <c r="Q1185" i="2"/>
  <c r="Q1507" i="2"/>
  <c r="Q1624" i="2"/>
  <c r="Q1225" i="2"/>
  <c r="Q1227" i="2"/>
  <c r="Q1226" i="2"/>
  <c r="Q1368" i="2"/>
  <c r="Q1662" i="2"/>
  <c r="Q1663" i="2"/>
  <c r="B1695" i="2"/>
  <c r="B1675" i="2"/>
  <c r="B1656" i="2"/>
  <c r="B1260" i="2"/>
  <c r="B1178" i="2"/>
  <c r="B1578" i="2"/>
  <c r="B1500" i="2"/>
  <c r="B1198" i="2"/>
  <c r="B1280" i="2"/>
  <c r="B1519" i="2"/>
  <c r="B1597" i="2"/>
  <c r="B1138" i="2"/>
  <c r="B1218" i="2"/>
  <c r="B1539" i="2"/>
  <c r="B1617" i="2"/>
  <c r="B1158" i="2"/>
  <c r="B1239" i="2"/>
  <c r="B1558" i="2"/>
  <c r="B1636" i="2"/>
  <c r="H120" i="15"/>
  <c r="D115" i="15"/>
  <c r="G115" i="15" s="1"/>
  <c r="E54" i="21"/>
  <c r="E59" i="21"/>
  <c r="D2593" i="2" l="1"/>
  <c r="D2547" i="2"/>
  <c r="D2119" i="2"/>
  <c r="D2094" i="2"/>
  <c r="D2068" i="2"/>
  <c r="D2043" i="2"/>
  <c r="D2016" i="2"/>
  <c r="D1991" i="2"/>
  <c r="D1966" i="2"/>
  <c r="D1941" i="2"/>
  <c r="D1916" i="2"/>
  <c r="D1912" i="2"/>
  <c r="D1891" i="2"/>
  <c r="D1866" i="2"/>
  <c r="D1862" i="2"/>
  <c r="D1841" i="2"/>
  <c r="D1837" i="2"/>
  <c r="D1816" i="2"/>
  <c r="D1812" i="2"/>
  <c r="D1791" i="2"/>
  <c r="D1787" i="2"/>
  <c r="D1766" i="2"/>
  <c r="F50" i="5"/>
  <c r="D1762" i="2"/>
  <c r="D1917" i="2"/>
  <c r="D1892" i="2"/>
  <c r="D1867" i="2"/>
  <c r="D1842" i="2"/>
  <c r="D1817" i="2"/>
  <c r="D1792" i="2"/>
  <c r="D1767" i="2"/>
  <c r="F48" i="5"/>
  <c r="D307" i="2"/>
  <c r="D290" i="2"/>
  <c r="H1131" i="2" l="1"/>
  <c r="H1132" i="2"/>
  <c r="I1131" i="2" l="1"/>
  <c r="C196" i="5" l="1"/>
  <c r="F196" i="5"/>
  <c r="D2594" i="2"/>
  <c r="D2590" i="2"/>
  <c r="C2584" i="2"/>
  <c r="B2584" i="2"/>
  <c r="C2559" i="2"/>
  <c r="D2559" i="2"/>
  <c r="B2559" i="2"/>
  <c r="Q2572" i="2" l="1"/>
  <c r="Q2571" i="2"/>
  <c r="Q2563" i="2"/>
  <c r="Q2570" i="2"/>
  <c r="Q2569" i="2"/>
  <c r="Q2565" i="2"/>
  <c r="Q2564" i="2"/>
  <c r="Q2562" i="2"/>
  <c r="Q2573" i="2"/>
  <c r="Q2595" i="2"/>
  <c r="Q2594" i="2"/>
  <c r="Q2593" i="2"/>
  <c r="Q2590" i="2"/>
  <c r="Q2587" i="2"/>
  <c r="D859" i="2"/>
  <c r="D533" i="2"/>
  <c r="D839" i="2"/>
  <c r="D1094" i="2"/>
  <c r="D812" i="2"/>
  <c r="D1074" i="2"/>
  <c r="D785" i="2"/>
  <c r="D1047" i="2"/>
  <c r="D1027" i="2"/>
  <c r="D1000" i="2"/>
  <c r="D980" i="2"/>
  <c r="D953" i="2"/>
  <c r="D933" i="2"/>
  <c r="D906" i="2"/>
  <c r="D562" i="2"/>
  <c r="D886" i="2"/>
  <c r="D758" i="2"/>
  <c r="D2089" i="2" l="1"/>
  <c r="D2012" i="2"/>
  <c r="D1962" i="2"/>
  <c r="D1937" i="2"/>
  <c r="D1887" i="2"/>
  <c r="C2513" i="2"/>
  <c r="D2513" i="2"/>
  <c r="C2488" i="2"/>
  <c r="D2488" i="2"/>
  <c r="C2462" i="2"/>
  <c r="D2462" i="2"/>
  <c r="C2437" i="2"/>
  <c r="D2437" i="2"/>
  <c r="D2412" i="2"/>
  <c r="C2412" i="2"/>
  <c r="C2387" i="2"/>
  <c r="D2387" i="2"/>
  <c r="C2361" i="2"/>
  <c r="D2361" i="2"/>
  <c r="C2336" i="2"/>
  <c r="D2336" i="2"/>
  <c r="C2311" i="2"/>
  <c r="D2311" i="2"/>
  <c r="C2286" i="2"/>
  <c r="Q2289" i="2" s="1"/>
  <c r="D2286" i="2"/>
  <c r="C2261" i="2"/>
  <c r="D2261" i="2"/>
  <c r="C2236" i="2"/>
  <c r="D2236" i="2"/>
  <c r="C2109" i="2"/>
  <c r="D2109" i="2"/>
  <c r="C2083" i="2"/>
  <c r="D2083" i="2"/>
  <c r="C2058" i="2"/>
  <c r="D2058" i="2"/>
  <c r="C2031" i="2"/>
  <c r="D2031" i="2"/>
  <c r="C2006" i="2"/>
  <c r="Q2020" i="2" s="1"/>
  <c r="D2006" i="2"/>
  <c r="C1981" i="2"/>
  <c r="Q1995" i="2" s="1"/>
  <c r="D1981" i="2"/>
  <c r="C1956" i="2"/>
  <c r="D1956" i="2"/>
  <c r="D1931" i="2"/>
  <c r="C1931" i="2"/>
  <c r="C1906" i="2"/>
  <c r="D1906" i="2"/>
  <c r="C1881" i="2"/>
  <c r="D1881" i="2"/>
  <c r="C1856" i="2"/>
  <c r="D1856" i="2"/>
  <c r="C1831" i="2"/>
  <c r="D1831" i="2"/>
  <c r="C1806" i="2"/>
  <c r="D1806" i="2"/>
  <c r="C1781" i="2"/>
  <c r="D1781" i="2"/>
  <c r="C1756" i="2"/>
  <c r="D1756" i="2"/>
  <c r="B1756" i="2"/>
  <c r="D306" i="2"/>
  <c r="H13" i="15"/>
  <c r="G31" i="15"/>
  <c r="E28" i="15"/>
  <c r="E26" i="15"/>
  <c r="G28" i="15"/>
  <c r="G27" i="15"/>
  <c r="G26" i="15"/>
  <c r="T12" i="22"/>
  <c r="U16" i="22"/>
  <c r="E12" i="15"/>
  <c r="F194" i="5"/>
  <c r="G62" i="17"/>
  <c r="Q1770" i="2" l="1"/>
  <c r="Q1762" i="2"/>
  <c r="Q1759" i="2"/>
  <c r="Q1912" i="2"/>
  <c r="Q1909" i="2"/>
  <c r="Q1920" i="2"/>
  <c r="Q2072" i="2"/>
  <c r="Q2064" i="2"/>
  <c r="Q2069" i="2"/>
  <c r="Q2068" i="2"/>
  <c r="Q2067" i="2"/>
  <c r="Q2325" i="2"/>
  <c r="Q2322" i="2"/>
  <c r="Q2314" i="2"/>
  <c r="Q2321" i="2"/>
  <c r="Q2318" i="2"/>
  <c r="Q2317" i="2"/>
  <c r="Q2477" i="2"/>
  <c r="Q2474" i="2"/>
  <c r="Q2473" i="2"/>
  <c r="Q2465" i="2"/>
  <c r="Q2472" i="2"/>
  <c r="Q2469" i="2"/>
  <c r="Q2468" i="2"/>
  <c r="Q1945" i="2"/>
  <c r="Q1940" i="2"/>
  <c r="Q1895" i="2"/>
  <c r="Q1890" i="2"/>
  <c r="Q1887" i="2"/>
  <c r="Q1884" i="2"/>
  <c r="Q1795" i="2"/>
  <c r="Q1791" i="2"/>
  <c r="Q1784" i="2"/>
  <c r="Q1790" i="2"/>
  <c r="Q1787" i="2"/>
  <c r="Q2098" i="2"/>
  <c r="Q2089" i="2"/>
  <c r="Q2095" i="2"/>
  <c r="Q2094" i="2"/>
  <c r="Q2093" i="2"/>
  <c r="Q2090" i="2"/>
  <c r="Q2339" i="2"/>
  <c r="Q2350" i="2"/>
  <c r="Q2347" i="2"/>
  <c r="Q2346" i="2"/>
  <c r="Q2343" i="2"/>
  <c r="Q2342" i="2"/>
  <c r="Q2502" i="2"/>
  <c r="Q2499" i="2"/>
  <c r="Q2498" i="2"/>
  <c r="Q2495" i="2"/>
  <c r="Q2491" i="2"/>
  <c r="Q2494" i="2"/>
  <c r="Q2451" i="2"/>
  <c r="Q2443" i="2"/>
  <c r="Q2448" i="2"/>
  <c r="Q2447" i="2"/>
  <c r="Q2444" i="2"/>
  <c r="Q1820" i="2"/>
  <c r="Q1809" i="2"/>
  <c r="Q1970" i="2"/>
  <c r="Q1959" i="2"/>
  <c r="Q2115" i="2"/>
  <c r="Q2123" i="2"/>
  <c r="Q2118" i="2"/>
  <c r="Q2120" i="2"/>
  <c r="Q2119" i="2"/>
  <c r="Q2376" i="2"/>
  <c r="Q2373" i="2"/>
  <c r="Q2364" i="2"/>
  <c r="Q2372" i="2"/>
  <c r="Q2371" i="2"/>
  <c r="Q2368" i="2"/>
  <c r="Q2367" i="2"/>
  <c r="Q2527" i="2"/>
  <c r="Q2524" i="2"/>
  <c r="Q2523" i="2"/>
  <c r="Q2520" i="2"/>
  <c r="Q2519" i="2"/>
  <c r="Q2516" i="2"/>
  <c r="Q1845" i="2"/>
  <c r="Q1834" i="2"/>
  <c r="Q1837" i="2"/>
  <c r="Q2250" i="2"/>
  <c r="Q2247" i="2"/>
  <c r="Q2246" i="2"/>
  <c r="Q2242" i="2"/>
  <c r="Q2243" i="2"/>
  <c r="Q2401" i="2"/>
  <c r="Q2398" i="2"/>
  <c r="Q2397" i="2"/>
  <c r="Q2394" i="2"/>
  <c r="Q2390" i="2"/>
  <c r="Q2393" i="2"/>
  <c r="Q2047" i="2"/>
  <c r="Q2044" i="2"/>
  <c r="Q2043" i="2"/>
  <c r="Q2034" i="2"/>
  <c r="Q2042" i="2"/>
  <c r="Q2041" i="2"/>
  <c r="Q2038" i="2"/>
  <c r="Q2037" i="2"/>
  <c r="Q2426" i="2"/>
  <c r="Q2423" i="2"/>
  <c r="Q2422" i="2"/>
  <c r="Q2419" i="2"/>
  <c r="Q2418" i="2"/>
  <c r="Q2415" i="2"/>
  <c r="Q1870" i="2"/>
  <c r="Q1862" i="2"/>
  <c r="Q1859" i="2"/>
  <c r="Q2267" i="2"/>
  <c r="Q2264" i="2"/>
  <c r="Q2275" i="2"/>
  <c r="Q2268" i="2"/>
  <c r="Q2272" i="2"/>
  <c r="Q2271" i="2"/>
  <c r="Q1915" i="2"/>
  <c r="Q1792" i="2"/>
  <c r="Q2239" i="2"/>
  <c r="Q2297" i="2"/>
  <c r="Q2296" i="2"/>
  <c r="Q2293" i="2"/>
  <c r="Q2292" i="2"/>
  <c r="Q2300" i="2"/>
  <c r="Q2017" i="2"/>
  <c r="Q2016" i="2"/>
  <c r="Q2015" i="2"/>
  <c r="Q2012" i="2"/>
  <c r="Q2009" i="2"/>
  <c r="Q2086" i="2"/>
  <c r="Q1937" i="2"/>
  <c r="Q1867" i="2"/>
  <c r="Q1866" i="2"/>
  <c r="Q1865" i="2"/>
  <c r="Q1962" i="2"/>
  <c r="Q1965" i="2"/>
  <c r="Q1840" i="2"/>
  <c r="Q1842" i="2"/>
  <c r="Q1841" i="2"/>
  <c r="Q1984" i="2"/>
  <c r="Q1987" i="2"/>
  <c r="Q1990" i="2"/>
  <c r="Q2112" i="2"/>
  <c r="Q1991" i="2"/>
  <c r="Q1992" i="2"/>
  <c r="Q1966" i="2"/>
  <c r="Q1967" i="2"/>
  <c r="Q1812" i="2"/>
  <c r="Q1815" i="2"/>
  <c r="Q1816" i="2"/>
  <c r="Q1817" i="2"/>
  <c r="Q1934" i="2"/>
  <c r="Q1941" i="2"/>
  <c r="Q1942" i="2"/>
  <c r="Q1891" i="2"/>
  <c r="Q1892" i="2"/>
  <c r="Q2440" i="2"/>
  <c r="Q1767" i="2"/>
  <c r="Q1766" i="2"/>
  <c r="Q1765" i="2"/>
  <c r="Q1917" i="2"/>
  <c r="Q1916" i="2"/>
  <c r="Q2061" i="2"/>
  <c r="B1806" i="2"/>
  <c r="B1781" i="2"/>
  <c r="D302" i="2"/>
  <c r="D309" i="2"/>
  <c r="D308" i="2"/>
  <c r="D305" i="2"/>
  <c r="D289" i="2"/>
  <c r="D292" i="2"/>
  <c r="D291" i="2"/>
  <c r="D288" i="2"/>
  <c r="D285" i="2"/>
  <c r="B1831" i="2" l="1"/>
  <c r="D2548" i="2"/>
  <c r="F58" i="5"/>
  <c r="D2544" i="2"/>
  <c r="C2538" i="2"/>
  <c r="D2538" i="2"/>
  <c r="B2538" i="2"/>
  <c r="C299" i="2"/>
  <c r="D299" i="2"/>
  <c r="B299" i="2"/>
  <c r="C282" i="2"/>
  <c r="D282" i="2"/>
  <c r="B282" i="2"/>
  <c r="F49" i="5"/>
  <c r="Q285" i="2" l="1"/>
  <c r="Q293" i="2"/>
  <c r="Q289" i="2"/>
  <c r="Q292" i="2"/>
  <c r="Q291" i="2"/>
  <c r="Q290" i="2"/>
  <c r="Q288" i="2"/>
  <c r="Q302" i="2"/>
  <c r="Q310" i="2"/>
  <c r="Q309" i="2"/>
  <c r="Q308" i="2"/>
  <c r="Q307" i="2"/>
  <c r="Q306" i="2"/>
  <c r="Q305" i="2"/>
  <c r="Q2548" i="2"/>
  <c r="Q2541" i="2"/>
  <c r="Q2547" i="2"/>
  <c r="Q2544" i="2"/>
  <c r="B1856" i="2"/>
  <c r="B1881" i="2" l="1"/>
  <c r="B1906" i="2" l="1"/>
  <c r="D624" i="2"/>
  <c r="C1734" i="2"/>
  <c r="C316" i="2"/>
  <c r="D316" i="2"/>
  <c r="C345" i="2"/>
  <c r="D345" i="2"/>
  <c r="C372" i="2"/>
  <c r="D372" i="2"/>
  <c r="C399" i="2"/>
  <c r="D399" i="2"/>
  <c r="C426" i="2"/>
  <c r="D426" i="2"/>
  <c r="C453" i="2"/>
  <c r="D453" i="2"/>
  <c r="C477" i="2"/>
  <c r="D477" i="2"/>
  <c r="C502" i="2"/>
  <c r="D502" i="2"/>
  <c r="C530" i="2"/>
  <c r="D530" i="2"/>
  <c r="C587" i="2"/>
  <c r="D587" i="2"/>
  <c r="C615" i="2"/>
  <c r="D615" i="2"/>
  <c r="C642" i="2"/>
  <c r="D642" i="2"/>
  <c r="C670" i="2"/>
  <c r="D670" i="2"/>
  <c r="C699" i="2"/>
  <c r="D699" i="2"/>
  <c r="C727" i="2"/>
  <c r="D727" i="2"/>
  <c r="C856" i="2"/>
  <c r="D856" i="2"/>
  <c r="C883" i="2"/>
  <c r="D883" i="2"/>
  <c r="C903" i="2"/>
  <c r="D903" i="2"/>
  <c r="C930" i="2"/>
  <c r="D930" i="2"/>
  <c r="C950" i="2"/>
  <c r="D950" i="2"/>
  <c r="C977" i="2"/>
  <c r="D977" i="2"/>
  <c r="C997" i="2"/>
  <c r="D997" i="2"/>
  <c r="C1024" i="2"/>
  <c r="D1024" i="2"/>
  <c r="C1044" i="2"/>
  <c r="D1044" i="2"/>
  <c r="C1071" i="2"/>
  <c r="D1071" i="2"/>
  <c r="C1091" i="2"/>
  <c r="D1091" i="2"/>
  <c r="B1091" i="2"/>
  <c r="B1071" i="2"/>
  <c r="B1044" i="2"/>
  <c r="B1024" i="2"/>
  <c r="B997" i="2"/>
  <c r="B977" i="2"/>
  <c r="B950" i="2"/>
  <c r="B930" i="2"/>
  <c r="B903" i="2"/>
  <c r="B883" i="2"/>
  <c r="B856" i="2"/>
  <c r="B727" i="2"/>
  <c r="B699" i="2"/>
  <c r="B670" i="2"/>
  <c r="B642" i="2"/>
  <c r="B615" i="2"/>
  <c r="B587" i="2"/>
  <c r="B530" i="2"/>
  <c r="B502" i="2"/>
  <c r="B477" i="2"/>
  <c r="B453" i="2"/>
  <c r="B426" i="2"/>
  <c r="B399" i="2"/>
  <c r="B372" i="2"/>
  <c r="B345" i="2"/>
  <c r="B316" i="2"/>
  <c r="B1734" i="2"/>
  <c r="D1097" i="2"/>
  <c r="D1100" i="2"/>
  <c r="D1053" i="2"/>
  <c r="D1006" i="2"/>
  <c r="D1077" i="2"/>
  <c r="D1050" i="2"/>
  <c r="D1030" i="2"/>
  <c r="D1003" i="2"/>
  <c r="D983" i="2"/>
  <c r="D959" i="2"/>
  <c r="D956" i="2"/>
  <c r="D936" i="2"/>
  <c r="D912" i="2"/>
  <c r="D909" i="2"/>
  <c r="D889" i="2"/>
  <c r="D862" i="2"/>
  <c r="D842" i="2"/>
  <c r="D680" i="2"/>
  <c r="D679" i="2"/>
  <c r="D652" i="2"/>
  <c r="D651" i="2"/>
  <c r="D621" i="2"/>
  <c r="D539" i="2"/>
  <c r="D536" i="2"/>
  <c r="D511" i="2"/>
  <c r="D508" i="2"/>
  <c r="D459" i="2"/>
  <c r="D435" i="2"/>
  <c r="D432" i="2"/>
  <c r="D408" i="2"/>
  <c r="D405" i="2"/>
  <c r="D381" i="2"/>
  <c r="D354" i="2"/>
  <c r="D351" i="2"/>
  <c r="D322" i="2"/>
  <c r="Q618" i="2" l="1"/>
  <c r="Q631" i="2"/>
  <c r="Q630" i="2"/>
  <c r="Q627" i="2"/>
  <c r="Q621" i="2"/>
  <c r="Q624" i="2"/>
  <c r="Q1000" i="2"/>
  <c r="Q1013" i="2"/>
  <c r="Q1012" i="2"/>
  <c r="Q1009" i="2"/>
  <c r="Q1006" i="2"/>
  <c r="Q1003" i="2"/>
  <c r="Q872" i="2"/>
  <c r="Q871" i="2"/>
  <c r="Q868" i="2"/>
  <c r="Q865" i="2"/>
  <c r="Q859" i="2"/>
  <c r="Q862" i="2"/>
  <c r="Q603" i="2"/>
  <c r="Q602" i="2"/>
  <c r="Q599" i="2"/>
  <c r="Q596" i="2"/>
  <c r="Q593" i="2"/>
  <c r="Q590" i="2"/>
  <c r="Q415" i="2"/>
  <c r="Q414" i="2"/>
  <c r="Q411" i="2"/>
  <c r="Q408" i="2"/>
  <c r="Q405" i="2"/>
  <c r="Q402" i="2"/>
  <c r="Q983" i="2"/>
  <c r="Q986" i="2"/>
  <c r="Q733" i="2"/>
  <c r="Q744" i="2"/>
  <c r="Q736" i="2"/>
  <c r="Q743" i="2"/>
  <c r="Q740" i="2"/>
  <c r="Q737" i="2"/>
  <c r="Q542" i="2"/>
  <c r="Q539" i="2"/>
  <c r="Q536" i="2"/>
  <c r="Q533" i="2"/>
  <c r="Q546" i="2"/>
  <c r="Q545" i="2"/>
  <c r="Q387" i="2"/>
  <c r="Q388" i="2"/>
  <c r="Q384" i="2"/>
  <c r="Q381" i="2"/>
  <c r="Q378" i="2"/>
  <c r="Q375" i="2"/>
  <c r="Q1033" i="2"/>
  <c r="Q1027" i="2"/>
  <c r="Q1030" i="2"/>
  <c r="Q441" i="2"/>
  <c r="Q442" i="2"/>
  <c r="Q438" i="2"/>
  <c r="Q435" i="2"/>
  <c r="Q432" i="2"/>
  <c r="Q1094" i="2"/>
  <c r="Q1107" i="2"/>
  <c r="Q1106" i="2"/>
  <c r="Q1103" i="2"/>
  <c r="Q1100" i="2"/>
  <c r="Q1097" i="2"/>
  <c r="Q953" i="2"/>
  <c r="Q966" i="2"/>
  <c r="Q956" i="2"/>
  <c r="Q965" i="2"/>
  <c r="Q962" i="2"/>
  <c r="Q959" i="2"/>
  <c r="Q702" i="2"/>
  <c r="Q716" i="2"/>
  <c r="Q715" i="2"/>
  <c r="Q712" i="2"/>
  <c r="Q709" i="2"/>
  <c r="Q708" i="2"/>
  <c r="Q705" i="2"/>
  <c r="Q514" i="2"/>
  <c r="Q517" i="2"/>
  <c r="Q518" i="2"/>
  <c r="Q511" i="2"/>
  <c r="Q508" i="2"/>
  <c r="Q360" i="2"/>
  <c r="Q357" i="2"/>
  <c r="Q354" i="2"/>
  <c r="Q351" i="2"/>
  <c r="Q348" i="2"/>
  <c r="Q361" i="2"/>
  <c r="Q1074" i="2"/>
  <c r="Q1080" i="2"/>
  <c r="Q1077" i="2"/>
  <c r="Q933" i="2"/>
  <c r="Q939" i="2"/>
  <c r="Q936" i="2"/>
  <c r="Q676" i="2"/>
  <c r="Q673" i="2"/>
  <c r="Q687" i="2"/>
  <c r="Q686" i="2"/>
  <c r="Q679" i="2"/>
  <c r="Q683" i="2"/>
  <c r="Q680" i="2"/>
  <c r="Q483" i="2"/>
  <c r="Q486" i="2"/>
  <c r="Q490" i="2"/>
  <c r="Q489" i="2"/>
  <c r="Q319" i="2"/>
  <c r="Q331" i="2"/>
  <c r="Q332" i="2"/>
  <c r="Q1737" i="2"/>
  <c r="Q1740" i="2"/>
  <c r="Q1744" i="2"/>
  <c r="Q892" i="2"/>
  <c r="Q889" i="2"/>
  <c r="Q1047" i="2"/>
  <c r="Q1056" i="2"/>
  <c r="Q1060" i="2"/>
  <c r="Q1059" i="2"/>
  <c r="Q1053" i="2"/>
  <c r="Q1050" i="2"/>
  <c r="Q915" i="2"/>
  <c r="Q912" i="2"/>
  <c r="Q909" i="2"/>
  <c r="Q906" i="2"/>
  <c r="Q919" i="2"/>
  <c r="Q918" i="2"/>
  <c r="Q658" i="2"/>
  <c r="Q659" i="2"/>
  <c r="Q645" i="2"/>
  <c r="Q655" i="2"/>
  <c r="Q648" i="2"/>
  <c r="Q652" i="2"/>
  <c r="Q651" i="2"/>
  <c r="Q456" i="2"/>
  <c r="Q466" i="2"/>
  <c r="Q465" i="2"/>
  <c r="Q462" i="2"/>
  <c r="Q459" i="2"/>
  <c r="Q325" i="2"/>
  <c r="Q322" i="2"/>
  <c r="Q328" i="2"/>
  <c r="Q1743" i="2"/>
  <c r="Q886" i="2"/>
  <c r="Q980" i="2"/>
  <c r="Q730" i="2"/>
  <c r="Q505" i="2"/>
  <c r="Q480" i="2"/>
  <c r="Q429" i="2"/>
  <c r="B1931" i="2"/>
  <c r="B1956" i="2" l="1"/>
  <c r="G16" i="15"/>
  <c r="G12" i="15"/>
  <c r="H12" i="15" s="1"/>
  <c r="G11" i="15"/>
  <c r="H11" i="15" s="1"/>
  <c r="V18" i="22"/>
  <c r="B1981" i="2" l="1"/>
  <c r="D1743" i="2"/>
  <c r="D1740" i="2"/>
  <c r="B2006" i="2" l="1"/>
  <c r="T25" i="22"/>
  <c r="T30" i="22"/>
  <c r="T19" i="22"/>
  <c r="T13" i="22"/>
  <c r="T28" i="22"/>
  <c r="T22" i="22"/>
  <c r="T26" i="22"/>
  <c r="T11" i="22"/>
  <c r="T16" i="22"/>
  <c r="T23" i="22"/>
  <c r="T21" i="22"/>
  <c r="T14" i="22"/>
  <c r="T18" i="22"/>
  <c r="T15" i="22"/>
  <c r="T10" i="22"/>
  <c r="T8" i="22"/>
  <c r="T6" i="22"/>
  <c r="T24" i="22"/>
  <c r="T20" i="22"/>
  <c r="T17" i="22"/>
  <c r="B2031" i="2" l="1"/>
  <c r="G208" i="5"/>
  <c r="G207" i="5"/>
  <c r="F112" i="5"/>
  <c r="C111" i="5"/>
  <c r="L1761" i="2" s="1"/>
  <c r="E52" i="17"/>
  <c r="E51" i="17"/>
  <c r="E50" i="17"/>
  <c r="E49" i="17"/>
  <c r="E48" i="17"/>
  <c r="E47" i="17"/>
  <c r="E46" i="17"/>
  <c r="E42" i="17"/>
  <c r="E41" i="17"/>
  <c r="E40" i="17"/>
  <c r="E39" i="17"/>
  <c r="E38" i="17"/>
  <c r="E37" i="17"/>
  <c r="E36" i="17"/>
  <c r="E18" i="17"/>
  <c r="E17" i="17"/>
  <c r="E16" i="17"/>
  <c r="E15" i="17"/>
  <c r="E14" i="17"/>
  <c r="E13" i="17"/>
  <c r="E9" i="17"/>
  <c r="E8" i="17"/>
  <c r="E7" i="17"/>
  <c r="E6" i="17"/>
  <c r="E5" i="17"/>
  <c r="L863" i="2" l="1"/>
  <c r="L816" i="2"/>
  <c r="L622" i="2"/>
  <c r="L596" i="2"/>
  <c r="L567" i="2"/>
  <c r="L537" i="2"/>
  <c r="L459" i="2"/>
  <c r="L509" i="2"/>
  <c r="L483" i="2"/>
  <c r="L352" i="2"/>
  <c r="L324" i="2"/>
  <c r="L433" i="2"/>
  <c r="L406" i="2"/>
  <c r="L379" i="2"/>
  <c r="L2216" i="2"/>
  <c r="L2165" i="2"/>
  <c r="L2139" i="2"/>
  <c r="L2190" i="2"/>
  <c r="L2587" i="2"/>
  <c r="L2544" i="2"/>
  <c r="L1859" i="2"/>
  <c r="L1911" i="2"/>
  <c r="L1785" i="2"/>
  <c r="L1838" i="2"/>
  <c r="L1888" i="2"/>
  <c r="L1812" i="2"/>
  <c r="L2588" i="2"/>
  <c r="L2447" i="2"/>
  <c r="L2296" i="2"/>
  <c r="L2038" i="2"/>
  <c r="L1912" i="2"/>
  <c r="L2497" i="2"/>
  <c r="L2089" i="2"/>
  <c r="L1786" i="2"/>
  <c r="L2368" i="2"/>
  <c r="L2267" i="2"/>
  <c r="L1958" i="2"/>
  <c r="L2545" i="2"/>
  <c r="L1839" i="2"/>
  <c r="L2421" i="2"/>
  <c r="L2010" i="2"/>
  <c r="L2346" i="2"/>
  <c r="L1889" i="2"/>
  <c r="L1860" i="2"/>
  <c r="L2471" i="2"/>
  <c r="L2241" i="2"/>
  <c r="L2060" i="2"/>
  <c r="L1762" i="2"/>
  <c r="L1933" i="2"/>
  <c r="L2523" i="2"/>
  <c r="L2320" i="2"/>
  <c r="L1813" i="2"/>
  <c r="L2397" i="2"/>
  <c r="L2114" i="2"/>
  <c r="L1983" i="2"/>
  <c r="B2058" i="2"/>
  <c r="C174" i="5"/>
  <c r="G54" i="21"/>
  <c r="F174" i="5" s="1"/>
  <c r="G48" i="17"/>
  <c r="G28" i="17"/>
  <c r="H124" i="15"/>
  <c r="H123" i="15"/>
  <c r="H122" i="15"/>
  <c r="H121" i="15"/>
  <c r="F144" i="5"/>
  <c r="C144" i="5"/>
  <c r="G25" i="17"/>
  <c r="H109" i="15"/>
  <c r="H108" i="15"/>
  <c r="H107" i="15"/>
  <c r="H106" i="15"/>
  <c r="H105" i="15"/>
  <c r="G27" i="17"/>
  <c r="H90" i="15"/>
  <c r="H91" i="15"/>
  <c r="H95" i="15"/>
  <c r="H94" i="15"/>
  <c r="H93" i="15"/>
  <c r="H92" i="15"/>
  <c r="G26" i="17"/>
  <c r="H80" i="15"/>
  <c r="H79" i="15"/>
  <c r="H78" i="15"/>
  <c r="H77" i="15"/>
  <c r="H76" i="15"/>
  <c r="H75" i="15"/>
  <c r="B2083" i="2" l="1"/>
  <c r="H116" i="15"/>
  <c r="H119" i="15"/>
  <c r="H104" i="15"/>
  <c r="H110" i="15" s="1"/>
  <c r="H115" i="15"/>
  <c r="H125" i="15" s="1"/>
  <c r="H87" i="15"/>
  <c r="H86" i="15"/>
  <c r="H88" i="15"/>
  <c r="H73" i="15"/>
  <c r="H71" i="15"/>
  <c r="H72" i="15"/>
  <c r="F122" i="5" l="1"/>
  <c r="H96" i="15"/>
  <c r="F121" i="5" s="1"/>
  <c r="F123" i="5"/>
  <c r="B2109" i="2"/>
  <c r="H81" i="15"/>
  <c r="F120" i="5" s="1"/>
  <c r="B2236" i="2" l="1"/>
  <c r="G24" i="17"/>
  <c r="H65" i="15"/>
  <c r="H64" i="15"/>
  <c r="H63" i="15"/>
  <c r="H62" i="15"/>
  <c r="H61" i="15"/>
  <c r="G59" i="17"/>
  <c r="F143" i="5"/>
  <c r="C143" i="5"/>
  <c r="G23" i="17"/>
  <c r="H50" i="15"/>
  <c r="H49" i="15"/>
  <c r="H48" i="15"/>
  <c r="H47" i="15"/>
  <c r="H46" i="15"/>
  <c r="B2261" i="2" l="1"/>
  <c r="H41" i="15"/>
  <c r="H60" i="15"/>
  <c r="H56" i="15"/>
  <c r="H43" i="15"/>
  <c r="H45" i="15"/>
  <c r="H42" i="15"/>
  <c r="H27" i="15"/>
  <c r="B2286" i="2" l="1"/>
  <c r="H66" i="15"/>
  <c r="F119" i="5" s="1"/>
  <c r="H51" i="15"/>
  <c r="F118" i="5" s="1"/>
  <c r="G60" i="17"/>
  <c r="H35" i="15"/>
  <c r="H34" i="15"/>
  <c r="H33" i="15"/>
  <c r="H32" i="15"/>
  <c r="H31" i="15"/>
  <c r="G61" i="17"/>
  <c r="F113" i="5"/>
  <c r="C113" i="5"/>
  <c r="C177" i="5"/>
  <c r="D2541" i="2" s="1"/>
  <c r="G59" i="12"/>
  <c r="E59" i="12" s="1"/>
  <c r="G52" i="21"/>
  <c r="E52" i="21" s="1"/>
  <c r="G52" i="17"/>
  <c r="G63" i="12"/>
  <c r="E63" i="12" s="1"/>
  <c r="G38" i="17"/>
  <c r="F162" i="5"/>
  <c r="C162" i="5"/>
  <c r="C175" i="5"/>
  <c r="F204" i="5"/>
  <c r="C204" i="5"/>
  <c r="E65" i="5" l="1"/>
  <c r="E97" i="5"/>
  <c r="E71" i="5"/>
  <c r="E51" i="5"/>
  <c r="E13" i="5"/>
  <c r="E42" i="5"/>
  <c r="E56" i="5"/>
  <c r="E63" i="5"/>
  <c r="E18" i="5"/>
  <c r="E101" i="5"/>
  <c r="E84" i="5"/>
  <c r="E91" i="5"/>
  <c r="E39" i="5"/>
  <c r="E15" i="5"/>
  <c r="E53" i="5"/>
  <c r="E83" i="5"/>
  <c r="E29" i="5"/>
  <c r="E55" i="5"/>
  <c r="E48" i="5"/>
  <c r="E104" i="5"/>
  <c r="E88" i="5"/>
  <c r="E98" i="5"/>
  <c r="E69" i="5"/>
  <c r="E16" i="5"/>
  <c r="E22" i="5"/>
  <c r="E21" i="5"/>
  <c r="E45" i="5"/>
  <c r="E43" i="5"/>
  <c r="E80" i="5"/>
  <c r="E23" i="5"/>
  <c r="E99" i="5"/>
  <c r="E96" i="5"/>
  <c r="E92" i="5"/>
  <c r="E67" i="5"/>
  <c r="E70" i="5"/>
  <c r="E24" i="5"/>
  <c r="E90" i="5"/>
  <c r="E93" i="5"/>
  <c r="E86" i="5"/>
  <c r="E77" i="5"/>
  <c r="E66" i="5"/>
  <c r="E44" i="5"/>
  <c r="E19" i="5"/>
  <c r="E60" i="5"/>
  <c r="E28" i="5"/>
  <c r="E26" i="5"/>
  <c r="E50" i="5"/>
  <c r="E95" i="5"/>
  <c r="E49" i="5"/>
  <c r="E81" i="5"/>
  <c r="E54" i="5"/>
  <c r="E31" i="5"/>
  <c r="E100" i="5"/>
  <c r="E58" i="5"/>
  <c r="E74" i="5"/>
  <c r="E32" i="5"/>
  <c r="E103" i="5"/>
  <c r="E68" i="5"/>
  <c r="E20" i="5"/>
  <c r="E72" i="5"/>
  <c r="E94" i="5"/>
  <c r="E17" i="5"/>
  <c r="E75" i="5"/>
  <c r="E61" i="5"/>
  <c r="E14" i="5"/>
  <c r="E78" i="5"/>
  <c r="E82" i="5"/>
  <c r="E62" i="5"/>
  <c r="E37" i="5"/>
  <c r="E34" i="5"/>
  <c r="E79" i="5"/>
  <c r="E102" i="5"/>
  <c r="E41" i="5"/>
  <c r="E35" i="5"/>
  <c r="E27" i="5"/>
  <c r="E73" i="5"/>
  <c r="E89" i="5"/>
  <c r="E85" i="5"/>
  <c r="E46" i="5"/>
  <c r="E76" i="5"/>
  <c r="E64" i="5"/>
  <c r="E40" i="5"/>
  <c r="E25" i="5"/>
  <c r="E36" i="5"/>
  <c r="E30" i="5"/>
  <c r="E179" i="5"/>
  <c r="L762" i="2"/>
  <c r="L789" i="2"/>
  <c r="L734" i="2"/>
  <c r="L707" i="2"/>
  <c r="L676" i="2"/>
  <c r="L651" i="2"/>
  <c r="E182" i="5"/>
  <c r="G182" i="5" s="1"/>
  <c r="L2192" i="2"/>
  <c r="L2141" i="2"/>
  <c r="L2167" i="2"/>
  <c r="L2218" i="2"/>
  <c r="L2193" i="2"/>
  <c r="L2142" i="2"/>
  <c r="L2168" i="2"/>
  <c r="L2219" i="2"/>
  <c r="L2591" i="2"/>
  <c r="L2371" i="2"/>
  <c r="L1961" i="2"/>
  <c r="L2548" i="2"/>
  <c r="L2270" i="2"/>
  <c r="L1842" i="2"/>
  <c r="L2424" i="2"/>
  <c r="L2013" i="2"/>
  <c r="L1892" i="2"/>
  <c r="L2474" i="2"/>
  <c r="L2349" i="2"/>
  <c r="L2244" i="2"/>
  <c r="L2063" i="2"/>
  <c r="L1765" i="2"/>
  <c r="L1936" i="2"/>
  <c r="L2526" i="2"/>
  <c r="L1816" i="2"/>
  <c r="L2092" i="2"/>
  <c r="L2400" i="2"/>
  <c r="L2323" i="2"/>
  <c r="L1986" i="2"/>
  <c r="L1789" i="2"/>
  <c r="L2117" i="2"/>
  <c r="L1863" i="2"/>
  <c r="L2500" i="2"/>
  <c r="L2450" i="2"/>
  <c r="L2041" i="2"/>
  <c r="L2299" i="2"/>
  <c r="L1915" i="2"/>
  <c r="L2590" i="2"/>
  <c r="L2499" i="2"/>
  <c r="L2091" i="2"/>
  <c r="L1788" i="2"/>
  <c r="L1914" i="2"/>
  <c r="L2370" i="2"/>
  <c r="L1960" i="2"/>
  <c r="L2547" i="2"/>
  <c r="L2269" i="2"/>
  <c r="L1841" i="2"/>
  <c r="L2423" i="2"/>
  <c r="L2012" i="2"/>
  <c r="L1891" i="2"/>
  <c r="L2298" i="2"/>
  <c r="L2473" i="2"/>
  <c r="L2348" i="2"/>
  <c r="L2243" i="2"/>
  <c r="L2062" i="2"/>
  <c r="L1764" i="2"/>
  <c r="L1935" i="2"/>
  <c r="L2525" i="2"/>
  <c r="L1815" i="2"/>
  <c r="L2399" i="2"/>
  <c r="L2322" i="2"/>
  <c r="L1985" i="2"/>
  <c r="L2116" i="2"/>
  <c r="L1862" i="2"/>
  <c r="L2449" i="2"/>
  <c r="L2040" i="2"/>
  <c r="H2577" i="2"/>
  <c r="H2576" i="2"/>
  <c r="H2303" i="2"/>
  <c r="H2253" i="2"/>
  <c r="H2126" i="2"/>
  <c r="H2379" i="2"/>
  <c r="H2328" i="2"/>
  <c r="H2278" i="2"/>
  <c r="H2101" i="2"/>
  <c r="H2353" i="2"/>
  <c r="H2075" i="2"/>
  <c r="H2050" i="2"/>
  <c r="H2023" i="2"/>
  <c r="H1998" i="2"/>
  <c r="H1973" i="2"/>
  <c r="H1948" i="2"/>
  <c r="H1923" i="2"/>
  <c r="H1823" i="2"/>
  <c r="H1798" i="2"/>
  <c r="H1773" i="2"/>
  <c r="H1898" i="2"/>
  <c r="H1873" i="2"/>
  <c r="H1848" i="2"/>
  <c r="H2380" i="2"/>
  <c r="H2329" i="2"/>
  <c r="H2279" i="2"/>
  <c r="H2102" i="2"/>
  <c r="H2354" i="2"/>
  <c r="H2076" i="2"/>
  <c r="H2051" i="2"/>
  <c r="H2024" i="2"/>
  <c r="H1999" i="2"/>
  <c r="H1974" i="2"/>
  <c r="H1949" i="2"/>
  <c r="H1924" i="2"/>
  <c r="H1824" i="2"/>
  <c r="H1799" i="2"/>
  <c r="H1774" i="2"/>
  <c r="H1899" i="2"/>
  <c r="H1874" i="2"/>
  <c r="H1849" i="2"/>
  <c r="H2304" i="2"/>
  <c r="H2254" i="2"/>
  <c r="H2127" i="2"/>
  <c r="B2311" i="2"/>
  <c r="H970" i="2"/>
  <c r="H1111" i="2"/>
  <c r="H1084" i="2"/>
  <c r="H1064" i="2"/>
  <c r="H1038" i="2"/>
  <c r="H1017" i="2"/>
  <c r="H990" i="2"/>
  <c r="H969" i="2"/>
  <c r="H1110" i="2"/>
  <c r="H1083" i="2"/>
  <c r="H1063" i="2"/>
  <c r="H1037" i="2"/>
  <c r="H1016" i="2"/>
  <c r="H989" i="2"/>
  <c r="H923" i="2"/>
  <c r="H943" i="2"/>
  <c r="H922" i="2"/>
  <c r="H942" i="2"/>
  <c r="H876" i="2"/>
  <c r="H896" i="2"/>
  <c r="H875" i="2"/>
  <c r="H895" i="2"/>
  <c r="H849" i="2"/>
  <c r="H748" i="2"/>
  <c r="H848" i="2"/>
  <c r="H747" i="2"/>
  <c r="H28" i="15"/>
  <c r="H1749" i="2"/>
  <c r="H26" i="15"/>
  <c r="N76" i="5" l="1"/>
  <c r="G76" i="5"/>
  <c r="G2704" i="2"/>
  <c r="H2704" i="2" s="1"/>
  <c r="G2630" i="2"/>
  <c r="H2630" i="2" s="1"/>
  <c r="G2779" i="2"/>
  <c r="H2779" i="2" s="1"/>
  <c r="G2741" i="2"/>
  <c r="H2741" i="2" s="1"/>
  <c r="G2667" i="2"/>
  <c r="H2667" i="2" s="1"/>
  <c r="G102" i="5"/>
  <c r="N102" i="5"/>
  <c r="G733" i="2"/>
  <c r="H733" i="2" s="1"/>
  <c r="G788" i="2"/>
  <c r="H788" i="2" s="1"/>
  <c r="G761" i="2"/>
  <c r="H761" i="2" s="1"/>
  <c r="N72" i="5"/>
  <c r="G72" i="5"/>
  <c r="G2878" i="2"/>
  <c r="H2878" i="2" s="1"/>
  <c r="G2852" i="2"/>
  <c r="H2852" i="2" s="1"/>
  <c r="G2930" i="2"/>
  <c r="H2930" i="2" s="1"/>
  <c r="G2956" i="2"/>
  <c r="H2956" i="2" s="1"/>
  <c r="G2904" i="2"/>
  <c r="H2904" i="2" s="1"/>
  <c r="G2801" i="2"/>
  <c r="H2801" i="2" s="1"/>
  <c r="G2827" i="2"/>
  <c r="H2827" i="2" s="1"/>
  <c r="G2777" i="2"/>
  <c r="H2777" i="2" s="1"/>
  <c r="N95" i="5"/>
  <c r="G95" i="5"/>
  <c r="G794" i="2"/>
  <c r="H794" i="2" s="1"/>
  <c r="G986" i="2"/>
  <c r="H986" i="2" s="1"/>
  <c r="G962" i="2"/>
  <c r="H962" i="2" s="1"/>
  <c r="G1056" i="2"/>
  <c r="H1056" i="2" s="1"/>
  <c r="G1033" i="2"/>
  <c r="H1033" i="2" s="1"/>
  <c r="G1103" i="2"/>
  <c r="H1103" i="2" s="1"/>
  <c r="G915" i="2"/>
  <c r="H915" i="2" s="1"/>
  <c r="G892" i="2"/>
  <c r="H892" i="2" s="1"/>
  <c r="G845" i="2"/>
  <c r="H845" i="2" s="1"/>
  <c r="G1009" i="2"/>
  <c r="H1009" i="2" s="1"/>
  <c r="G1080" i="2"/>
  <c r="H1080" i="2" s="1"/>
  <c r="G939" i="2"/>
  <c r="H939" i="2" s="1"/>
  <c r="G868" i="2"/>
  <c r="H868" i="2" s="1"/>
  <c r="G767" i="2"/>
  <c r="H767" i="2" s="1"/>
  <c r="N24" i="5"/>
  <c r="G2268" i="2"/>
  <c r="H2268" i="2" s="1"/>
  <c r="G2419" i="2"/>
  <c r="H2419" i="2" s="1"/>
  <c r="G2343" i="2"/>
  <c r="H2343" i="2" s="1"/>
  <c r="G2469" i="2"/>
  <c r="H2469" i="2" s="1"/>
  <c r="G2243" i="2"/>
  <c r="H2243" i="2" s="1"/>
  <c r="G2520" i="2"/>
  <c r="H2520" i="2" s="1"/>
  <c r="G2318" i="2"/>
  <c r="H2318" i="2" s="1"/>
  <c r="G2394" i="2"/>
  <c r="H2394" i="2" s="1"/>
  <c r="G2293" i="2"/>
  <c r="H2293" i="2" s="1"/>
  <c r="G2444" i="2"/>
  <c r="H2444" i="2" s="1"/>
  <c r="G2368" i="2"/>
  <c r="H2368" i="2" s="1"/>
  <c r="G2495" i="2"/>
  <c r="H2495" i="2" s="1"/>
  <c r="N16" i="5"/>
  <c r="G2143" i="2"/>
  <c r="H2143" i="2" s="1"/>
  <c r="G2194" i="2"/>
  <c r="H2194" i="2" s="1"/>
  <c r="G2169" i="2"/>
  <c r="H2169" i="2" s="1"/>
  <c r="N91" i="5"/>
  <c r="G357" i="2"/>
  <c r="H357" i="2" s="1"/>
  <c r="G91" i="5"/>
  <c r="G462" i="2"/>
  <c r="H462" i="2" s="1"/>
  <c r="G384" i="2"/>
  <c r="H384" i="2" s="1"/>
  <c r="G411" i="2"/>
  <c r="H411" i="2" s="1"/>
  <c r="G438" i="2"/>
  <c r="H438" i="2" s="1"/>
  <c r="G328" i="2"/>
  <c r="H328" i="2" s="1"/>
  <c r="N40" i="5"/>
  <c r="G1204" i="2"/>
  <c r="H1204" i="2" s="1"/>
  <c r="G1184" i="2"/>
  <c r="H1184" i="2" s="1"/>
  <c r="G1887" i="2"/>
  <c r="H1887" i="2" s="1"/>
  <c r="N36" i="5"/>
  <c r="G2773" i="2"/>
  <c r="H2773" i="2" s="1"/>
  <c r="N25" i="5"/>
  <c r="G1740" i="2"/>
  <c r="H1740" i="2" s="1"/>
  <c r="G79" i="5"/>
  <c r="N79" i="5"/>
  <c r="N20" i="5"/>
  <c r="G2064" i="2"/>
  <c r="H2064" i="2" s="1"/>
  <c r="G2038" i="2"/>
  <c r="H2038" i="2" s="1"/>
  <c r="G2115" i="2"/>
  <c r="H2115" i="2" s="1"/>
  <c r="G2090" i="2"/>
  <c r="H2090" i="2" s="1"/>
  <c r="G2012" i="2"/>
  <c r="H2012" i="2" s="1"/>
  <c r="N50" i="5"/>
  <c r="G2016" i="2"/>
  <c r="H2016" i="2" s="1"/>
  <c r="G2119" i="2"/>
  <c r="H2119" i="2" s="1"/>
  <c r="G1891" i="2"/>
  <c r="H1891" i="2" s="1"/>
  <c r="G2195" i="2"/>
  <c r="H2195" i="2" s="1"/>
  <c r="G1816" i="2"/>
  <c r="H1816" i="2" s="1"/>
  <c r="G2593" i="2"/>
  <c r="H2593" i="2" s="1"/>
  <c r="G2170" i="2"/>
  <c r="H2170" i="2" s="1"/>
  <c r="G1841" i="2"/>
  <c r="H1841" i="2" s="1"/>
  <c r="G1941" i="2"/>
  <c r="H1941" i="2" s="1"/>
  <c r="G2145" i="2"/>
  <c r="H2145" i="2" s="1"/>
  <c r="G1766" i="2"/>
  <c r="H1766" i="2" s="1"/>
  <c r="G1966" i="2"/>
  <c r="H1966" i="2" s="1"/>
  <c r="G2473" i="2"/>
  <c r="H2473" i="2" s="1"/>
  <c r="G50" i="5"/>
  <c r="G2221" i="2"/>
  <c r="H2221" i="2" s="1"/>
  <c r="G1916" i="2"/>
  <c r="H1916" i="2" s="1"/>
  <c r="G2372" i="2"/>
  <c r="H2372" i="2" s="1"/>
  <c r="G1866" i="2"/>
  <c r="H1866" i="2" s="1"/>
  <c r="G1791" i="2"/>
  <c r="H1791" i="2" s="1"/>
  <c r="G1991" i="2"/>
  <c r="H1991" i="2" s="1"/>
  <c r="G2547" i="2"/>
  <c r="H2547" i="2" s="1"/>
  <c r="G2043" i="2"/>
  <c r="H2043" i="2" s="1"/>
  <c r="G2094" i="2"/>
  <c r="H2094" i="2" s="1"/>
  <c r="G2068" i="2"/>
  <c r="H2068" i="2" s="1"/>
  <c r="G70" i="5"/>
  <c r="N70" i="5"/>
  <c r="G2694" i="2"/>
  <c r="H2694" i="2" s="1"/>
  <c r="G2731" i="2"/>
  <c r="H2731" i="2" s="1"/>
  <c r="G2657" i="2"/>
  <c r="H2657" i="2" s="1"/>
  <c r="G2768" i="2"/>
  <c r="H2768" i="2" s="1"/>
  <c r="G2620" i="2"/>
  <c r="H2620" i="2" s="1"/>
  <c r="G69" i="5"/>
  <c r="N69" i="5"/>
  <c r="G2563" i="2"/>
  <c r="H2563" i="2" s="1"/>
  <c r="N84" i="5"/>
  <c r="G84" i="5"/>
  <c r="G68" i="5"/>
  <c r="N68" i="5"/>
  <c r="G226" i="2"/>
  <c r="H226" i="2" s="1"/>
  <c r="G242" i="2"/>
  <c r="H242" i="2" s="1"/>
  <c r="G258" i="2"/>
  <c r="H258" i="2" s="1"/>
  <c r="G274" i="2"/>
  <c r="H274" i="2" s="1"/>
  <c r="G178" i="2"/>
  <c r="H178" i="2" s="1"/>
  <c r="G210" i="2"/>
  <c r="H210" i="2" s="1"/>
  <c r="G194" i="2"/>
  <c r="H194" i="2" s="1"/>
  <c r="G292" i="2"/>
  <c r="H292" i="2" s="1"/>
  <c r="G309" i="2"/>
  <c r="H309" i="2" s="1"/>
  <c r="N26" i="5"/>
  <c r="G2616" i="2"/>
  <c r="H2616" i="2" s="1"/>
  <c r="G2653" i="2"/>
  <c r="H2653" i="2" s="1"/>
  <c r="G2619" i="2"/>
  <c r="H2619" i="2" s="1"/>
  <c r="G67" i="5"/>
  <c r="N67" i="5"/>
  <c r="G273" i="2"/>
  <c r="H273" i="2" s="1"/>
  <c r="G225" i="2"/>
  <c r="H225" i="2" s="1"/>
  <c r="G209" i="2"/>
  <c r="H209" i="2" s="1"/>
  <c r="G241" i="2"/>
  <c r="H241" i="2" s="1"/>
  <c r="G257" i="2"/>
  <c r="H257" i="2" s="1"/>
  <c r="G177" i="2"/>
  <c r="H177" i="2" s="1"/>
  <c r="G193" i="2"/>
  <c r="H193" i="2" s="1"/>
  <c r="G308" i="2"/>
  <c r="H308" i="2" s="1"/>
  <c r="G291" i="2"/>
  <c r="H291" i="2" s="1"/>
  <c r="N98" i="5"/>
  <c r="G98" i="5"/>
  <c r="G378" i="2"/>
  <c r="H378" i="2" s="1"/>
  <c r="N101" i="5"/>
  <c r="G101" i="5"/>
  <c r="G483" i="2"/>
  <c r="H483" i="2" s="1"/>
  <c r="G593" i="2"/>
  <c r="H593" i="2" s="1"/>
  <c r="G676" i="2"/>
  <c r="H676" i="2" s="1"/>
  <c r="G648" i="2"/>
  <c r="H648" i="2" s="1"/>
  <c r="G705" i="2"/>
  <c r="H705" i="2" s="1"/>
  <c r="G621" i="2"/>
  <c r="H621" i="2" s="1"/>
  <c r="N64" i="5"/>
  <c r="G64" i="5"/>
  <c r="G1488" i="2"/>
  <c r="H1488" i="2" s="1"/>
  <c r="G1248" i="2"/>
  <c r="H1248" i="2" s="1"/>
  <c r="G1546" i="2"/>
  <c r="H1546" i="2" s="1"/>
  <c r="G1328" i="2"/>
  <c r="H1328" i="2" s="1"/>
  <c r="G1126" i="2"/>
  <c r="H1126" i="2" s="1"/>
  <c r="G1702" i="2"/>
  <c r="H1702" i="2" s="1"/>
  <c r="G1566" i="2"/>
  <c r="H1566" i="2" s="1"/>
  <c r="G1408" i="2"/>
  <c r="H1408" i="2" s="1"/>
  <c r="G1507" i="2"/>
  <c r="H1507" i="2" s="1"/>
  <c r="G1663" i="2"/>
  <c r="H1663" i="2" s="1"/>
  <c r="G1428" i="2"/>
  <c r="H1428" i="2" s="1"/>
  <c r="G1448" i="2"/>
  <c r="H1448" i="2" s="1"/>
  <c r="G1288" i="2"/>
  <c r="H1288" i="2" s="1"/>
  <c r="G1308" i="2"/>
  <c r="H1308" i="2" s="1"/>
  <c r="G1348" i="2"/>
  <c r="H1348" i="2" s="1"/>
  <c r="G1468" i="2"/>
  <c r="H1468" i="2" s="1"/>
  <c r="G1683" i="2"/>
  <c r="H1683" i="2" s="1"/>
  <c r="G1186" i="2"/>
  <c r="H1186" i="2" s="1"/>
  <c r="G1527" i="2"/>
  <c r="H1527" i="2" s="1"/>
  <c r="G1585" i="2"/>
  <c r="H1585" i="2" s="1"/>
  <c r="G1146" i="2"/>
  <c r="H1146" i="2" s="1"/>
  <c r="G1206" i="2"/>
  <c r="H1206" i="2" s="1"/>
  <c r="G1624" i="2"/>
  <c r="H1624" i="2" s="1"/>
  <c r="G1166" i="2"/>
  <c r="H1166" i="2" s="1"/>
  <c r="G1268" i="2"/>
  <c r="H1268" i="2" s="1"/>
  <c r="G1388" i="2"/>
  <c r="H1388" i="2" s="1"/>
  <c r="G1722" i="2"/>
  <c r="H1722" i="2" s="1"/>
  <c r="G1368" i="2"/>
  <c r="H1368" i="2" s="1"/>
  <c r="G1644" i="2"/>
  <c r="H1644" i="2" s="1"/>
  <c r="G1605" i="2"/>
  <c r="H1605" i="2" s="1"/>
  <c r="G1227" i="2"/>
  <c r="H1227" i="2" s="1"/>
  <c r="G37" i="5"/>
  <c r="N37" i="5"/>
  <c r="G2851" i="2"/>
  <c r="H2851" i="2" s="1"/>
  <c r="G2929" i="2"/>
  <c r="H2929" i="2" s="1"/>
  <c r="G2877" i="2"/>
  <c r="H2877" i="2" s="1"/>
  <c r="G2903" i="2"/>
  <c r="H2903" i="2" s="1"/>
  <c r="G2955" i="2"/>
  <c r="H2955" i="2" s="1"/>
  <c r="G2826" i="2"/>
  <c r="H2826" i="2" s="1"/>
  <c r="G2800" i="2"/>
  <c r="H2800" i="2" s="1"/>
  <c r="G103" i="5"/>
  <c r="N103" i="5"/>
  <c r="G815" i="2"/>
  <c r="H815" i="2" s="1"/>
  <c r="N28" i="5"/>
  <c r="G2649" i="2"/>
  <c r="H2649" i="2" s="1"/>
  <c r="G2727" i="2"/>
  <c r="H2727" i="2" s="1"/>
  <c r="G2612" i="2"/>
  <c r="H2612" i="2" s="1"/>
  <c r="N92" i="5"/>
  <c r="G92" i="5"/>
  <c r="G571" i="2"/>
  <c r="H571" i="2" s="1"/>
  <c r="G542" i="2"/>
  <c r="H542" i="2" s="1"/>
  <c r="G486" i="2"/>
  <c r="H486" i="2" s="1"/>
  <c r="G514" i="2"/>
  <c r="H514" i="2" s="1"/>
  <c r="N88" i="5"/>
  <c r="G88" i="5"/>
  <c r="G736" i="2"/>
  <c r="H736" i="2" s="1"/>
  <c r="G708" i="2"/>
  <c r="H708" i="2" s="1"/>
  <c r="G325" i="2"/>
  <c r="H325" i="2" s="1"/>
  <c r="G511" i="2"/>
  <c r="H511" i="2" s="1"/>
  <c r="G651" i="2"/>
  <c r="H651" i="2" s="1"/>
  <c r="G381" i="2"/>
  <c r="H381" i="2" s="1"/>
  <c r="G435" i="2"/>
  <c r="H435" i="2" s="1"/>
  <c r="G408" i="2"/>
  <c r="H408" i="2" s="1"/>
  <c r="G354" i="2"/>
  <c r="H354" i="2" s="1"/>
  <c r="G679" i="2"/>
  <c r="H679" i="2" s="1"/>
  <c r="N18" i="5"/>
  <c r="G2271" i="2"/>
  <c r="H2271" i="2" s="1"/>
  <c r="G2346" i="2"/>
  <c r="H2346" i="2" s="1"/>
  <c r="G2447" i="2"/>
  <c r="H2447" i="2" s="1"/>
  <c r="G2397" i="2"/>
  <c r="H2397" i="2" s="1"/>
  <c r="G2296" i="2"/>
  <c r="H2296" i="2" s="1"/>
  <c r="G2472" i="2"/>
  <c r="H2472" i="2" s="1"/>
  <c r="G2246" i="2"/>
  <c r="H2246" i="2" s="1"/>
  <c r="G2371" i="2"/>
  <c r="H2371" i="2" s="1"/>
  <c r="G2523" i="2"/>
  <c r="H2523" i="2" s="1"/>
  <c r="G2498" i="2"/>
  <c r="H2498" i="2" s="1"/>
  <c r="G2144" i="2"/>
  <c r="H2144" i="2" s="1"/>
  <c r="G2321" i="2"/>
  <c r="H2321" i="2" s="1"/>
  <c r="G2422" i="2"/>
  <c r="H2422" i="2" s="1"/>
  <c r="N63" i="5"/>
  <c r="G63" i="5"/>
  <c r="G2171" i="2"/>
  <c r="H2171" i="2" s="1"/>
  <c r="G2474" i="2"/>
  <c r="H2474" i="2" s="1"/>
  <c r="G2499" i="2"/>
  <c r="H2499" i="2" s="1"/>
  <c r="G2272" i="2"/>
  <c r="H2272" i="2" s="1"/>
  <c r="G2398" i="2"/>
  <c r="H2398" i="2" s="1"/>
  <c r="G2448" i="2"/>
  <c r="H2448" i="2" s="1"/>
  <c r="G2146" i="2"/>
  <c r="H2146" i="2" s="1"/>
  <c r="G2423" i="2"/>
  <c r="H2423" i="2" s="1"/>
  <c r="G2322" i="2"/>
  <c r="H2322" i="2" s="1"/>
  <c r="G2297" i="2"/>
  <c r="H2297" i="2" s="1"/>
  <c r="G2347" i="2"/>
  <c r="H2347" i="2" s="1"/>
  <c r="G2222" i="2"/>
  <c r="H2222" i="2" s="1"/>
  <c r="G2373" i="2"/>
  <c r="H2373" i="2" s="1"/>
  <c r="G2196" i="2"/>
  <c r="H2196" i="2" s="1"/>
  <c r="G2524" i="2"/>
  <c r="H2524" i="2" s="1"/>
  <c r="G2247" i="2"/>
  <c r="H2247" i="2" s="1"/>
  <c r="G1992" i="2"/>
  <c r="H1992" i="2" s="1"/>
  <c r="G1942" i="2"/>
  <c r="H1942" i="2" s="1"/>
  <c r="G1967" i="2"/>
  <c r="H1967" i="2" s="1"/>
  <c r="G2017" i="2"/>
  <c r="H2017" i="2" s="1"/>
  <c r="G2095" i="2"/>
  <c r="H2095" i="2" s="1"/>
  <c r="G2120" i="2"/>
  <c r="H2120" i="2" s="1"/>
  <c r="G2069" i="2"/>
  <c r="H2069" i="2" s="1"/>
  <c r="G2044" i="2"/>
  <c r="H2044" i="2" s="1"/>
  <c r="N60" i="5"/>
  <c r="G332" i="2"/>
  <c r="H332" i="2" s="1"/>
  <c r="G603" i="2"/>
  <c r="H603" i="2" s="1"/>
  <c r="G659" i="2"/>
  <c r="H659" i="2" s="1"/>
  <c r="G872" i="2"/>
  <c r="H872" i="2" s="1"/>
  <c r="G825" i="2"/>
  <c r="H825" i="2" s="1"/>
  <c r="G716" i="2"/>
  <c r="H716" i="2" s="1"/>
  <c r="G518" i="2"/>
  <c r="H518" i="2" s="1"/>
  <c r="G575" i="2"/>
  <c r="H575" i="2" s="1"/>
  <c r="G744" i="2"/>
  <c r="H744" i="2" s="1"/>
  <c r="G546" i="2"/>
  <c r="H546" i="2" s="1"/>
  <c r="G415" i="2"/>
  <c r="H415" i="2" s="1"/>
  <c r="G1107" i="2"/>
  <c r="H1107" i="2" s="1"/>
  <c r="G442" i="2"/>
  <c r="H442" i="2" s="1"/>
  <c r="G966" i="2"/>
  <c r="H966" i="2" s="1"/>
  <c r="G1013" i="2"/>
  <c r="H1013" i="2" s="1"/>
  <c r="G687" i="2"/>
  <c r="H687" i="2" s="1"/>
  <c r="G208" i="2"/>
  <c r="H208" i="2" s="1"/>
  <c r="G798" i="2"/>
  <c r="H798" i="2" s="1"/>
  <c r="G771" i="2"/>
  <c r="H771" i="2" s="1"/>
  <c r="G224" i="2"/>
  <c r="H224" i="2" s="1"/>
  <c r="G240" i="2"/>
  <c r="H240" i="2" s="1"/>
  <c r="G388" i="2"/>
  <c r="H388" i="2" s="1"/>
  <c r="G272" i="2"/>
  <c r="H272" i="2" s="1"/>
  <c r="G60" i="5"/>
  <c r="G361" i="2"/>
  <c r="H361" i="2" s="1"/>
  <c r="G176" i="2"/>
  <c r="H176" i="2" s="1"/>
  <c r="G256" i="2"/>
  <c r="H256" i="2" s="1"/>
  <c r="G1060" i="2"/>
  <c r="H1060" i="2" s="1"/>
  <c r="G919" i="2"/>
  <c r="H919" i="2" s="1"/>
  <c r="G192" i="2"/>
  <c r="H192" i="2" s="1"/>
  <c r="G631" i="2"/>
  <c r="H631" i="2" s="1"/>
  <c r="G2572" i="2"/>
  <c r="H2572" i="2" s="1"/>
  <c r="G307" i="2"/>
  <c r="H307" i="2" s="1"/>
  <c r="G1246" i="2"/>
  <c r="H1246" i="2" s="1"/>
  <c r="G1226" i="2"/>
  <c r="H1226" i="2" s="1"/>
  <c r="G290" i="2"/>
  <c r="H290" i="2" s="1"/>
  <c r="N46" i="5"/>
  <c r="G1525" i="2"/>
  <c r="H1525" i="2" s="1"/>
  <c r="G1564" i="2"/>
  <c r="H1564" i="2" s="1"/>
  <c r="G1720" i="2"/>
  <c r="H1720" i="2" s="1"/>
  <c r="G1506" i="2"/>
  <c r="H1506" i="2" s="1"/>
  <c r="G1603" i="2"/>
  <c r="H1603" i="2" s="1"/>
  <c r="G1623" i="2"/>
  <c r="H1623" i="2" s="1"/>
  <c r="G1681" i="2"/>
  <c r="H1681" i="2" s="1"/>
  <c r="G1662" i="2"/>
  <c r="H1662" i="2" s="1"/>
  <c r="G1642" i="2"/>
  <c r="H1642" i="2" s="1"/>
  <c r="G1701" i="2"/>
  <c r="H1701" i="2" s="1"/>
  <c r="G1584" i="2"/>
  <c r="H1584" i="2" s="1"/>
  <c r="G1545" i="2"/>
  <c r="H1545" i="2" s="1"/>
  <c r="G82" i="5"/>
  <c r="N82" i="5"/>
  <c r="G2881" i="2"/>
  <c r="H2881" i="2" s="1"/>
  <c r="G2855" i="2"/>
  <c r="H2855" i="2" s="1"/>
  <c r="G2959" i="2"/>
  <c r="H2959" i="2" s="1"/>
  <c r="G2907" i="2"/>
  <c r="H2907" i="2" s="1"/>
  <c r="G2933" i="2"/>
  <c r="H2933" i="2" s="1"/>
  <c r="G2804" i="2"/>
  <c r="H2804" i="2" s="1"/>
  <c r="G2830" i="2"/>
  <c r="H2830" i="2" s="1"/>
  <c r="N74" i="5"/>
  <c r="G74" i="5"/>
  <c r="G2565" i="2"/>
  <c r="H2565" i="2" s="1"/>
  <c r="I2565" i="2" s="1"/>
  <c r="N19" i="5"/>
  <c r="G2037" i="2"/>
  <c r="H2037" i="2" s="1"/>
  <c r="G1987" i="2"/>
  <c r="H1987" i="2" s="1"/>
  <c r="G1937" i="2"/>
  <c r="H1937" i="2" s="1"/>
  <c r="G1962" i="2"/>
  <c r="H1962" i="2" s="1"/>
  <c r="N99" i="5"/>
  <c r="G99" i="5"/>
  <c r="G405" i="2"/>
  <c r="H405" i="2" s="1"/>
  <c r="G432" i="2"/>
  <c r="H432" i="2" s="1"/>
  <c r="N48" i="5"/>
  <c r="G2072" i="2"/>
  <c r="H2072" i="2" s="1"/>
  <c r="G2477" i="2"/>
  <c r="H2477" i="2" s="1"/>
  <c r="G1845" i="2"/>
  <c r="H1845" i="2" s="1"/>
  <c r="I1845" i="2" s="1"/>
  <c r="G2426" i="2"/>
  <c r="H2426" i="2" s="1"/>
  <c r="G2275" i="2"/>
  <c r="H2275" i="2" s="1"/>
  <c r="G2250" i="2"/>
  <c r="H2250" i="2" s="1"/>
  <c r="G2225" i="2"/>
  <c r="H2225" i="2" s="1"/>
  <c r="G2174" i="2"/>
  <c r="H2174" i="2" s="1"/>
  <c r="G2376" i="2"/>
  <c r="H2376" i="2" s="1"/>
  <c r="G2098" i="2"/>
  <c r="H2098" i="2" s="1"/>
  <c r="G1920" i="2"/>
  <c r="H1920" i="2" s="1"/>
  <c r="I1920" i="2" s="1"/>
  <c r="G2527" i="2"/>
  <c r="H2527" i="2" s="1"/>
  <c r="G1820" i="2"/>
  <c r="H1820" i="2" s="1"/>
  <c r="G2199" i="2"/>
  <c r="H2199" i="2" s="1"/>
  <c r="G1945" i="2"/>
  <c r="H1945" i="2" s="1"/>
  <c r="I1945" i="2" s="1"/>
  <c r="G2451" i="2"/>
  <c r="H2451" i="2" s="1"/>
  <c r="G48" i="5"/>
  <c r="G1995" i="2"/>
  <c r="H1995" i="2" s="1"/>
  <c r="G2350" i="2"/>
  <c r="H2350" i="2" s="1"/>
  <c r="G1895" i="2"/>
  <c r="H1895" i="2" s="1"/>
  <c r="I1895" i="2" s="1"/>
  <c r="G2502" i="2"/>
  <c r="H2502" i="2" s="1"/>
  <c r="G2123" i="2"/>
  <c r="H2123" i="2" s="1"/>
  <c r="G2149" i="2"/>
  <c r="H2149" i="2" s="1"/>
  <c r="G2401" i="2"/>
  <c r="H2401" i="2" s="1"/>
  <c r="G1970" i="2"/>
  <c r="H1970" i="2" s="1"/>
  <c r="I1970" i="2" s="1"/>
  <c r="G2325" i="2"/>
  <c r="H2325" i="2" s="1"/>
  <c r="G2300" i="2"/>
  <c r="H2300" i="2" s="1"/>
  <c r="G2047" i="2"/>
  <c r="H2047" i="2" s="1"/>
  <c r="G1795" i="2"/>
  <c r="H1795" i="2" s="1"/>
  <c r="G1870" i="2"/>
  <c r="H1870" i="2" s="1"/>
  <c r="I1870" i="2" s="1"/>
  <c r="G2020" i="2"/>
  <c r="H2020" i="2" s="1"/>
  <c r="G1770" i="2"/>
  <c r="H1770" i="2" s="1"/>
  <c r="N56" i="5"/>
  <c r="G2573" i="2"/>
  <c r="H2573" i="2" s="1"/>
  <c r="G56" i="5"/>
  <c r="N32" i="5"/>
  <c r="G2760" i="2"/>
  <c r="H2760" i="2" s="1"/>
  <c r="N85" i="5"/>
  <c r="G85" i="5"/>
  <c r="G78" i="5"/>
  <c r="N78" i="5"/>
  <c r="N58" i="5"/>
  <c r="G2548" i="2"/>
  <c r="H2548" i="2" s="1"/>
  <c r="G2594" i="2"/>
  <c r="H2594" i="2" s="1"/>
  <c r="N44" i="5"/>
  <c r="G1466" i="2"/>
  <c r="H1466" i="2" s="1"/>
  <c r="G1446" i="2"/>
  <c r="H1446" i="2" s="1"/>
  <c r="G1426" i="2"/>
  <c r="H1426" i="2" s="1"/>
  <c r="N23" i="5"/>
  <c r="G1743" i="2"/>
  <c r="G55" i="5"/>
  <c r="N55" i="5"/>
  <c r="G686" i="2"/>
  <c r="H686" i="2" s="1"/>
  <c r="G441" i="2"/>
  <c r="H441" i="2" s="1"/>
  <c r="G360" i="2"/>
  <c r="H360" i="2" s="1"/>
  <c r="G387" i="2"/>
  <c r="H387" i="2" s="1"/>
  <c r="G414" i="2"/>
  <c r="H414" i="2" s="1"/>
  <c r="G658" i="2"/>
  <c r="H658" i="2" s="1"/>
  <c r="G545" i="2"/>
  <c r="H545" i="2" s="1"/>
  <c r="G715" i="2"/>
  <c r="H715" i="2" s="1"/>
  <c r="G574" i="2"/>
  <c r="H574" i="2" s="1"/>
  <c r="G602" i="2"/>
  <c r="H602" i="2" s="1"/>
  <c r="G630" i="2"/>
  <c r="H630" i="2" s="1"/>
  <c r="G824" i="2"/>
  <c r="H824" i="2" s="1"/>
  <c r="G965" i="2"/>
  <c r="H965" i="2" s="1"/>
  <c r="G743" i="2"/>
  <c r="H743" i="2" s="1"/>
  <c r="G770" i="2"/>
  <c r="H770" i="2" s="1"/>
  <c r="G797" i="2"/>
  <c r="H797" i="2" s="1"/>
  <c r="G871" i="2"/>
  <c r="H871" i="2" s="1"/>
  <c r="G517" i="2"/>
  <c r="H517" i="2" s="1"/>
  <c r="G1012" i="2"/>
  <c r="H1012" i="2" s="1"/>
  <c r="G1059" i="2"/>
  <c r="H1059" i="2" s="1"/>
  <c r="G1106" i="2"/>
  <c r="H1106" i="2" s="1"/>
  <c r="G331" i="2"/>
  <c r="H331" i="2" s="1"/>
  <c r="G918" i="2"/>
  <c r="H918" i="2" s="1"/>
  <c r="G223" i="2"/>
  <c r="H223" i="2" s="1"/>
  <c r="G271" i="2"/>
  <c r="H271" i="2" s="1"/>
  <c r="G191" i="2"/>
  <c r="H191" i="2" s="1"/>
  <c r="G239" i="2"/>
  <c r="H239" i="2" s="1"/>
  <c r="G255" i="2"/>
  <c r="H255" i="2" s="1"/>
  <c r="G175" i="2"/>
  <c r="H175" i="2" s="1"/>
  <c r="G207" i="2"/>
  <c r="H207" i="2" s="1"/>
  <c r="G305" i="2"/>
  <c r="H305" i="2" s="1"/>
  <c r="G288" i="2"/>
  <c r="H288" i="2" s="1"/>
  <c r="N42" i="5"/>
  <c r="G1386" i="2"/>
  <c r="H1386" i="2" s="1"/>
  <c r="G1366" i="2"/>
  <c r="H1366" i="2" s="1"/>
  <c r="G1406" i="2"/>
  <c r="H1406" i="2" s="1"/>
  <c r="G1245" i="2"/>
  <c r="H1245" i="2" s="1"/>
  <c r="G1346" i="2"/>
  <c r="H1346" i="2" s="1"/>
  <c r="G1326" i="2"/>
  <c r="H1326" i="2" s="1"/>
  <c r="N96" i="5"/>
  <c r="G96" i="5"/>
  <c r="G322" i="2"/>
  <c r="H322" i="2" s="1"/>
  <c r="N89" i="5"/>
  <c r="G89" i="5"/>
  <c r="G764" i="2"/>
  <c r="H764" i="2" s="1"/>
  <c r="G818" i="2"/>
  <c r="H818" i="2" s="1"/>
  <c r="G737" i="2"/>
  <c r="H737" i="2" s="1"/>
  <c r="G865" i="2"/>
  <c r="H865" i="2" s="1"/>
  <c r="G596" i="2"/>
  <c r="H596" i="2" s="1"/>
  <c r="G709" i="2"/>
  <c r="H709" i="2" s="1"/>
  <c r="G568" i="2"/>
  <c r="H568" i="2" s="1"/>
  <c r="G791" i="2"/>
  <c r="H791" i="2" s="1"/>
  <c r="G912" i="2"/>
  <c r="H912" i="2" s="1"/>
  <c r="G652" i="2"/>
  <c r="H652" i="2" s="1"/>
  <c r="G1006" i="2"/>
  <c r="H1006" i="2" s="1"/>
  <c r="G1100" i="2"/>
  <c r="H1100" i="2" s="1"/>
  <c r="G1053" i="2"/>
  <c r="H1053" i="2" s="1"/>
  <c r="G539" i="2"/>
  <c r="H539" i="2" s="1"/>
  <c r="G624" i="2"/>
  <c r="H624" i="2" s="1"/>
  <c r="I624" i="2" s="1"/>
  <c r="G959" i="2"/>
  <c r="H959" i="2" s="1"/>
  <c r="G680" i="2"/>
  <c r="H680" i="2" s="1"/>
  <c r="N14" i="5"/>
  <c r="G1965" i="2"/>
  <c r="H1965" i="2" s="1"/>
  <c r="G2041" i="2"/>
  <c r="H2041" i="2" s="1"/>
  <c r="G1940" i="2"/>
  <c r="H1940" i="2" s="1"/>
  <c r="G1990" i="2"/>
  <c r="H1990" i="2" s="1"/>
  <c r="G1890" i="2"/>
  <c r="H1890" i="2" s="1"/>
  <c r="G2590" i="2"/>
  <c r="H2590" i="2" s="1"/>
  <c r="G2544" i="2"/>
  <c r="H2544" i="2" s="1"/>
  <c r="N100" i="5"/>
  <c r="G100" i="5"/>
  <c r="G565" i="2"/>
  <c r="H565" i="2" s="1"/>
  <c r="G536" i="2"/>
  <c r="H536" i="2" s="1"/>
  <c r="G508" i="2"/>
  <c r="H508" i="2" s="1"/>
  <c r="G459" i="2"/>
  <c r="H459" i="2" s="1"/>
  <c r="G66" i="5"/>
  <c r="N66" i="5"/>
  <c r="G2879" i="2"/>
  <c r="H2879" i="2" s="1"/>
  <c r="G2853" i="2"/>
  <c r="H2853" i="2" s="1"/>
  <c r="G2905" i="2"/>
  <c r="H2905" i="2" s="1"/>
  <c r="G2957" i="2"/>
  <c r="H2957" i="2" s="1"/>
  <c r="G2931" i="2"/>
  <c r="H2931" i="2" s="1"/>
  <c r="G2828" i="2"/>
  <c r="H2828" i="2" s="1"/>
  <c r="G2740" i="2"/>
  <c r="H2740" i="2" s="1"/>
  <c r="G2778" i="2"/>
  <c r="H2778" i="2" s="1"/>
  <c r="G2802" i="2"/>
  <c r="H2802" i="2" s="1"/>
  <c r="G2703" i="2"/>
  <c r="H2703" i="2" s="1"/>
  <c r="G2666" i="2"/>
  <c r="H2666" i="2" s="1"/>
  <c r="G2629" i="2"/>
  <c r="H2629" i="2" s="1"/>
  <c r="G80" i="5"/>
  <c r="N80" i="5"/>
  <c r="G2927" i="2"/>
  <c r="H2927" i="2" s="1"/>
  <c r="G2901" i="2"/>
  <c r="H2901" i="2" s="1"/>
  <c r="G2953" i="2"/>
  <c r="H2953" i="2" s="1"/>
  <c r="G2824" i="2"/>
  <c r="H2824" i="2" s="1"/>
  <c r="G2875" i="2"/>
  <c r="H2875" i="2" s="1"/>
  <c r="G2849" i="2"/>
  <c r="H2849" i="2" s="1"/>
  <c r="G2798" i="2"/>
  <c r="H2798" i="2" s="1"/>
  <c r="N29" i="5"/>
  <c r="G2723" i="2"/>
  <c r="H2723" i="2" s="1"/>
  <c r="G2686" i="2"/>
  <c r="H2686" i="2" s="1"/>
  <c r="N13" i="5"/>
  <c r="G1124" i="2"/>
  <c r="G104" i="5"/>
  <c r="N104" i="5"/>
  <c r="G1097" i="2"/>
  <c r="H1097" i="2" s="1"/>
  <c r="G1050" i="2"/>
  <c r="H1050" i="2" s="1"/>
  <c r="G983" i="2"/>
  <c r="H983" i="2" s="1"/>
  <c r="G842" i="2"/>
  <c r="H842" i="2" s="1"/>
  <c r="G862" i="2"/>
  <c r="H862" i="2" s="1"/>
  <c r="G1030" i="2"/>
  <c r="H1030" i="2" s="1"/>
  <c r="G936" i="2"/>
  <c r="H936" i="2" s="1"/>
  <c r="G1077" i="2"/>
  <c r="H1077" i="2" s="1"/>
  <c r="G956" i="2"/>
  <c r="H956" i="2" s="1"/>
  <c r="G1003" i="2"/>
  <c r="H1003" i="2" s="1"/>
  <c r="G889" i="2"/>
  <c r="H889" i="2" s="1"/>
  <c r="G909" i="2"/>
  <c r="H909" i="2" s="1"/>
  <c r="N73" i="5"/>
  <c r="G73" i="5"/>
  <c r="G2564" i="2"/>
  <c r="H2564" i="2" s="1"/>
  <c r="N61" i="5"/>
  <c r="G2652" i="2"/>
  <c r="H2652" i="2" s="1"/>
  <c r="G2689" i="2"/>
  <c r="H2689" i="2" s="1"/>
  <c r="G2615" i="2"/>
  <c r="H2615" i="2" s="1"/>
  <c r="G2763" i="2"/>
  <c r="H2763" i="2" s="1"/>
  <c r="G61" i="5"/>
  <c r="G2726" i="2"/>
  <c r="H2726" i="2" s="1"/>
  <c r="G1842" i="2"/>
  <c r="H1842" i="2" s="1"/>
  <c r="G1867" i="2"/>
  <c r="H1867" i="2" s="1"/>
  <c r="G1892" i="2"/>
  <c r="H1892" i="2" s="1"/>
  <c r="G1792" i="2"/>
  <c r="H1792" i="2" s="1"/>
  <c r="G1767" i="2"/>
  <c r="H1767" i="2" s="1"/>
  <c r="G1817" i="2"/>
  <c r="H1817" i="2" s="1"/>
  <c r="G1917" i="2"/>
  <c r="H1917" i="2" s="1"/>
  <c r="G1744" i="2"/>
  <c r="H1744" i="2" s="1"/>
  <c r="N31" i="5"/>
  <c r="G2764" i="2"/>
  <c r="H2764" i="2" s="1"/>
  <c r="N77" i="5"/>
  <c r="G77" i="5"/>
  <c r="G2621" i="2"/>
  <c r="H2621" i="2" s="1"/>
  <c r="G2695" i="2"/>
  <c r="H2695" i="2" s="1"/>
  <c r="G2658" i="2"/>
  <c r="H2658" i="2" s="1"/>
  <c r="G2732" i="2"/>
  <c r="H2732" i="2" s="1"/>
  <c r="G2769" i="2"/>
  <c r="H2769" i="2" s="1"/>
  <c r="N43" i="5"/>
  <c r="G1447" i="2"/>
  <c r="H1447" i="2" s="1"/>
  <c r="G1487" i="2"/>
  <c r="H1487" i="2" s="1"/>
  <c r="G1467" i="2"/>
  <c r="H1467" i="2" s="1"/>
  <c r="G1307" i="2"/>
  <c r="H1307" i="2" s="1"/>
  <c r="G1327" i="2"/>
  <c r="H1327" i="2" s="1"/>
  <c r="G1682" i="2"/>
  <c r="H1682" i="2" s="1"/>
  <c r="G1205" i="2"/>
  <c r="H1205" i="2" s="1"/>
  <c r="G1125" i="2"/>
  <c r="H1125" i="2" s="1"/>
  <c r="G1407" i="2"/>
  <c r="H1407" i="2" s="1"/>
  <c r="G1643" i="2"/>
  <c r="H1643" i="2" s="1"/>
  <c r="G1526" i="2"/>
  <c r="H1526" i="2" s="1"/>
  <c r="G1721" i="2"/>
  <c r="H1721" i="2" s="1"/>
  <c r="G1565" i="2"/>
  <c r="H1565" i="2" s="1"/>
  <c r="G1145" i="2"/>
  <c r="H1145" i="2" s="1"/>
  <c r="G1185" i="2"/>
  <c r="H1185" i="2" s="1"/>
  <c r="G1267" i="2"/>
  <c r="H1267" i="2" s="1"/>
  <c r="G1165" i="2"/>
  <c r="H1165" i="2" s="1"/>
  <c r="G1367" i="2"/>
  <c r="H1367" i="2" s="1"/>
  <c r="G1287" i="2"/>
  <c r="H1287" i="2" s="1"/>
  <c r="G1347" i="2"/>
  <c r="H1347" i="2" s="1"/>
  <c r="G1604" i="2"/>
  <c r="H1604" i="2" s="1"/>
  <c r="G1387" i="2"/>
  <c r="H1387" i="2" s="1"/>
  <c r="G1427" i="2"/>
  <c r="H1427" i="2" s="1"/>
  <c r="G83" i="5"/>
  <c r="N83" i="5"/>
  <c r="N51" i="5"/>
  <c r="G51" i="5"/>
  <c r="G2622" i="2"/>
  <c r="H2622" i="2" s="1"/>
  <c r="G2770" i="2"/>
  <c r="H2770" i="2" s="1"/>
  <c r="G2733" i="2"/>
  <c r="H2733" i="2" s="1"/>
  <c r="G2659" i="2"/>
  <c r="H2659" i="2" s="1"/>
  <c r="G2696" i="2"/>
  <c r="H2696" i="2" s="1"/>
  <c r="N62" i="5"/>
  <c r="G62" i="5"/>
  <c r="G2928" i="2"/>
  <c r="H2928" i="2" s="1"/>
  <c r="G2850" i="2"/>
  <c r="H2850" i="2" s="1"/>
  <c r="G2902" i="2"/>
  <c r="H2902" i="2" s="1"/>
  <c r="G2954" i="2"/>
  <c r="H2954" i="2" s="1"/>
  <c r="G2876" i="2"/>
  <c r="H2876" i="2" s="1"/>
  <c r="G2825" i="2"/>
  <c r="H2825" i="2" s="1"/>
  <c r="G2799" i="2"/>
  <c r="H2799" i="2" s="1"/>
  <c r="N27" i="5"/>
  <c r="G2693" i="2"/>
  <c r="H2693" i="2" s="1"/>
  <c r="G2690" i="2"/>
  <c r="H2690" i="2" s="1"/>
  <c r="G2730" i="2"/>
  <c r="H2730" i="2" s="1"/>
  <c r="G2656" i="2"/>
  <c r="H2656" i="2" s="1"/>
  <c r="N75" i="5"/>
  <c r="G75" i="5"/>
  <c r="G211" i="2"/>
  <c r="H211" i="2" s="1"/>
  <c r="G179" i="2"/>
  <c r="H179" i="2" s="1"/>
  <c r="G195" i="2"/>
  <c r="H195" i="2" s="1"/>
  <c r="G243" i="2"/>
  <c r="H243" i="2" s="1"/>
  <c r="G259" i="2"/>
  <c r="H259" i="2" s="1"/>
  <c r="G227" i="2"/>
  <c r="H227" i="2" s="1"/>
  <c r="G275" i="2"/>
  <c r="H275" i="2" s="1"/>
  <c r="G293" i="2"/>
  <c r="H293" i="2" s="1"/>
  <c r="G310" i="2"/>
  <c r="H310" i="2" s="1"/>
  <c r="G54" i="5"/>
  <c r="N54" i="5"/>
  <c r="G1225" i="2"/>
  <c r="H1225" i="2" s="1"/>
  <c r="G289" i="2"/>
  <c r="H289" i="2" s="1"/>
  <c r="N86" i="5"/>
  <c r="G86" i="5"/>
  <c r="N45" i="5"/>
  <c r="G1486" i="2"/>
  <c r="H1486" i="2" s="1"/>
  <c r="G53" i="5"/>
  <c r="N53" i="5"/>
  <c r="G1247" i="2"/>
  <c r="H1247" i="2" s="1"/>
  <c r="G306" i="2"/>
  <c r="H306" i="2" s="1"/>
  <c r="N71" i="5"/>
  <c r="G71" i="5"/>
  <c r="G2742" i="2"/>
  <c r="H2742" i="2" s="1"/>
  <c r="G2780" i="2"/>
  <c r="H2780" i="2" s="1"/>
  <c r="G2631" i="2"/>
  <c r="H2631" i="2" s="1"/>
  <c r="G2705" i="2"/>
  <c r="H2705" i="2" s="1"/>
  <c r="G2668" i="2"/>
  <c r="H2668" i="2" s="1"/>
  <c r="N34" i="5"/>
  <c r="G2625" i="2"/>
  <c r="H2625" i="2" s="1"/>
  <c r="G2736" i="2"/>
  <c r="H2736" i="2" s="1"/>
  <c r="G2774" i="2"/>
  <c r="H2774" i="2" s="1"/>
  <c r="G2699" i="2"/>
  <c r="H2699" i="2" s="1"/>
  <c r="G2662" i="2"/>
  <c r="H2662" i="2" s="1"/>
  <c r="N35" i="5"/>
  <c r="G2626" i="2"/>
  <c r="H2626" i="2" s="1"/>
  <c r="G2700" i="2"/>
  <c r="H2700" i="2" s="1"/>
  <c r="G2663" i="2"/>
  <c r="H2663" i="2" s="1"/>
  <c r="G2737" i="2"/>
  <c r="H2737" i="2" s="1"/>
  <c r="N17" i="5"/>
  <c r="G2220" i="2"/>
  <c r="H2220" i="2" s="1"/>
  <c r="G81" i="5"/>
  <c r="N81" i="5"/>
  <c r="G2854" i="2"/>
  <c r="H2854" i="2" s="1"/>
  <c r="G2932" i="2"/>
  <c r="H2932" i="2" s="1"/>
  <c r="G2880" i="2"/>
  <c r="H2880" i="2" s="1"/>
  <c r="G2906" i="2"/>
  <c r="H2906" i="2" s="1"/>
  <c r="G2958" i="2"/>
  <c r="H2958" i="2" s="1"/>
  <c r="G2803" i="2"/>
  <c r="H2803" i="2" s="1"/>
  <c r="G2829" i="2"/>
  <c r="H2829" i="2" s="1"/>
  <c r="N93" i="5"/>
  <c r="G93" i="5"/>
  <c r="G712" i="2"/>
  <c r="H712" i="2" s="1"/>
  <c r="G627" i="2"/>
  <c r="H627" i="2" s="1"/>
  <c r="G655" i="2"/>
  <c r="H655" i="2" s="1"/>
  <c r="G599" i="2"/>
  <c r="H599" i="2" s="1"/>
  <c r="G683" i="2"/>
  <c r="H683" i="2" s="1"/>
  <c r="N21" i="5"/>
  <c r="G2140" i="2"/>
  <c r="H2140" i="2" s="1"/>
  <c r="G2267" i="2"/>
  <c r="H2267" i="2" s="1"/>
  <c r="G2191" i="2"/>
  <c r="H2191" i="2" s="1"/>
  <c r="G2342" i="2"/>
  <c r="H2342" i="2" s="1"/>
  <c r="G2494" i="2"/>
  <c r="H2494" i="2" s="1"/>
  <c r="G2418" i="2"/>
  <c r="H2418" i="2" s="1"/>
  <c r="G2242" i="2"/>
  <c r="H2242" i="2" s="1"/>
  <c r="G2166" i="2"/>
  <c r="H2166" i="2" s="1"/>
  <c r="G2317" i="2"/>
  <c r="H2317" i="2" s="1"/>
  <c r="G2393" i="2"/>
  <c r="H2393" i="2" s="1"/>
  <c r="G2468" i="2"/>
  <c r="H2468" i="2" s="1"/>
  <c r="G2217" i="2"/>
  <c r="H2217" i="2" s="1"/>
  <c r="G2292" i="2"/>
  <c r="H2292" i="2" s="1"/>
  <c r="G2519" i="2"/>
  <c r="H2519" i="2" s="1"/>
  <c r="G2367" i="2"/>
  <c r="H2367" i="2" s="1"/>
  <c r="G2443" i="2"/>
  <c r="H2443" i="2" s="1"/>
  <c r="G2089" i="2"/>
  <c r="H2089" i="2" s="1"/>
  <c r="N15" i="5"/>
  <c r="G2118" i="2"/>
  <c r="H2118" i="2" s="1"/>
  <c r="G1915" i="2"/>
  <c r="H1915" i="2" s="1"/>
  <c r="G2015" i="2"/>
  <c r="H2015" i="2" s="1"/>
  <c r="G2042" i="2"/>
  <c r="H2042" i="2" s="1"/>
  <c r="G2093" i="2"/>
  <c r="H2093" i="2" s="1"/>
  <c r="G2067" i="2"/>
  <c r="H2067" i="2" s="1"/>
  <c r="G1144" i="2"/>
  <c r="G1837" i="2"/>
  <c r="G1762" i="2"/>
  <c r="G1862" i="2"/>
  <c r="H1862" i="2" s="1"/>
  <c r="G1787" i="2"/>
  <c r="G1812" i="2"/>
  <c r="N97" i="5"/>
  <c r="G97" i="5"/>
  <c r="G351" i="2"/>
  <c r="H351" i="2" s="1"/>
  <c r="N30" i="5"/>
  <c r="G2767" i="2"/>
  <c r="H2767" i="2" s="1"/>
  <c r="N41" i="5"/>
  <c r="G1306" i="2"/>
  <c r="H1306" i="2" s="1"/>
  <c r="G1266" i="2"/>
  <c r="H1266" i="2" s="1"/>
  <c r="G1286" i="2"/>
  <c r="H1286" i="2" s="1"/>
  <c r="G1224" i="2"/>
  <c r="H1224" i="2" s="1"/>
  <c r="G1912" i="2"/>
  <c r="H1912" i="2" s="1"/>
  <c r="N94" i="5"/>
  <c r="G94" i="5"/>
  <c r="G821" i="2"/>
  <c r="H821" i="2" s="1"/>
  <c r="G740" i="2"/>
  <c r="H740" i="2" s="1"/>
  <c r="N49" i="5"/>
  <c r="G49" i="5"/>
  <c r="G90" i="5"/>
  <c r="N90" i="5"/>
  <c r="N22" i="5"/>
  <c r="G2216" i="2"/>
  <c r="H2216" i="2" s="1"/>
  <c r="N39" i="5"/>
  <c r="G1164" i="2"/>
  <c r="H1164" i="2" s="1"/>
  <c r="N65" i="5"/>
  <c r="G65" i="5"/>
  <c r="G1127" i="2"/>
  <c r="H1127" i="2" s="1"/>
  <c r="G1207" i="2"/>
  <c r="H1207" i="2" s="1"/>
  <c r="G1309" i="2"/>
  <c r="H1309" i="2" s="1"/>
  <c r="G1528" i="2"/>
  <c r="H1528" i="2" s="1"/>
  <c r="G1606" i="2"/>
  <c r="H1606" i="2" s="1"/>
  <c r="G1449" i="2"/>
  <c r="H1449" i="2" s="1"/>
  <c r="G1547" i="2"/>
  <c r="H1547" i="2" s="1"/>
  <c r="G1147" i="2"/>
  <c r="H1147" i="2" s="1"/>
  <c r="G1684" i="2"/>
  <c r="H1684" i="2" s="1"/>
  <c r="G1389" i="2"/>
  <c r="H1389" i="2" s="1"/>
  <c r="G1228" i="2"/>
  <c r="H1228" i="2" s="1"/>
  <c r="G1329" i="2"/>
  <c r="H1329" i="2" s="1"/>
  <c r="G1625" i="2"/>
  <c r="H1625" i="2" s="1"/>
  <c r="G1469" i="2"/>
  <c r="H1469" i="2" s="1"/>
  <c r="G1567" i="2"/>
  <c r="H1567" i="2" s="1"/>
  <c r="G1369" i="2"/>
  <c r="H1369" i="2" s="1"/>
  <c r="G1703" i="2"/>
  <c r="H1703" i="2" s="1"/>
  <c r="G1349" i="2"/>
  <c r="H1349" i="2" s="1"/>
  <c r="G1409" i="2"/>
  <c r="H1409" i="2" s="1"/>
  <c r="G1249" i="2"/>
  <c r="H1249" i="2" s="1"/>
  <c r="G1586" i="2"/>
  <c r="H1586" i="2" s="1"/>
  <c r="G1664" i="2"/>
  <c r="H1664" i="2" s="1"/>
  <c r="G1645" i="2"/>
  <c r="H1645" i="2" s="1"/>
  <c r="G1489" i="2"/>
  <c r="H1489" i="2" s="1"/>
  <c r="G1289" i="2"/>
  <c r="H1289" i="2" s="1"/>
  <c r="G1167" i="2"/>
  <c r="H1167" i="2" s="1"/>
  <c r="G1723" i="2"/>
  <c r="H1723" i="2" s="1"/>
  <c r="G1187" i="2"/>
  <c r="H1187" i="2" s="1"/>
  <c r="G1269" i="2"/>
  <c r="H1269" i="2" s="1"/>
  <c r="G1429" i="2"/>
  <c r="H1429" i="2" s="1"/>
  <c r="G1508" i="2"/>
  <c r="H1508" i="2" s="1"/>
  <c r="H36" i="15"/>
  <c r="F117" i="5" s="1"/>
  <c r="E197" i="5"/>
  <c r="G197" i="5" s="1"/>
  <c r="E195" i="5"/>
  <c r="E200" i="5"/>
  <c r="G200" i="5" s="1"/>
  <c r="E194" i="5"/>
  <c r="G194" i="5" s="1"/>
  <c r="E199" i="5"/>
  <c r="G199" i="5" s="1"/>
  <c r="G34" i="5"/>
  <c r="G36" i="5"/>
  <c r="G35" i="5"/>
  <c r="G26" i="5"/>
  <c r="G27" i="5"/>
  <c r="G28" i="5"/>
  <c r="G29" i="5"/>
  <c r="G30" i="5"/>
  <c r="G31" i="5"/>
  <c r="G32" i="5"/>
  <c r="E178" i="5"/>
  <c r="G178" i="5" s="1"/>
  <c r="G24" i="5"/>
  <c r="G17" i="5"/>
  <c r="G16" i="5"/>
  <c r="G18" i="5"/>
  <c r="G15" i="5"/>
  <c r="G13" i="5"/>
  <c r="G25" i="5"/>
  <c r="E12" i="5"/>
  <c r="E183" i="5"/>
  <c r="G183" i="5" s="1"/>
  <c r="E184" i="5"/>
  <c r="G184" i="5" s="1"/>
  <c r="E181" i="5"/>
  <c r="G181" i="5" s="1"/>
  <c r="E180" i="5"/>
  <c r="G180" i="5" s="1"/>
  <c r="E187" i="5"/>
  <c r="G187" i="5" s="1"/>
  <c r="E188" i="5"/>
  <c r="G188" i="5" s="1"/>
  <c r="E196" i="5"/>
  <c r="G196" i="5" s="1"/>
  <c r="E193" i="5"/>
  <c r="G46" i="5"/>
  <c r="G43" i="5"/>
  <c r="G41" i="5"/>
  <c r="G58" i="5"/>
  <c r="E177" i="5"/>
  <c r="E174" i="5"/>
  <c r="G174" i="5" s="1"/>
  <c r="G45" i="5"/>
  <c r="G44" i="5"/>
  <c r="E175" i="5"/>
  <c r="G179" i="5"/>
  <c r="I1823" i="2"/>
  <c r="I1848" i="2"/>
  <c r="I1798" i="2"/>
  <c r="I2576" i="2"/>
  <c r="I2101" i="2"/>
  <c r="I1948" i="2"/>
  <c r="I2379" i="2"/>
  <c r="I1998" i="2"/>
  <c r="I1923" i="2"/>
  <c r="I2328" i="2"/>
  <c r="I1773" i="2"/>
  <c r="I2278" i="2"/>
  <c r="B2336" i="2"/>
  <c r="I2404" i="2"/>
  <c r="I1973" i="2"/>
  <c r="I2023" i="2"/>
  <c r="I2126" i="2"/>
  <c r="I2050" i="2"/>
  <c r="I2253" i="2"/>
  <c r="I1873" i="2"/>
  <c r="I2075" i="2"/>
  <c r="I2303" i="2"/>
  <c r="I1898" i="2"/>
  <c r="I2353" i="2"/>
  <c r="I747" i="2"/>
  <c r="I848" i="2"/>
  <c r="I895" i="2"/>
  <c r="I875" i="2"/>
  <c r="I1016" i="2"/>
  <c r="I1083" i="2"/>
  <c r="I1110" i="2"/>
  <c r="I942" i="2"/>
  <c r="I969" i="2"/>
  <c r="I922" i="2"/>
  <c r="I989" i="2"/>
  <c r="I1037" i="2"/>
  <c r="I1063" i="2"/>
  <c r="I255" i="2" l="1"/>
  <c r="I1266" i="2"/>
  <c r="I1286" i="2"/>
  <c r="I175" i="2"/>
  <c r="I1446" i="2"/>
  <c r="I1623" i="2"/>
  <c r="I1426" i="2"/>
  <c r="I1204" i="2"/>
  <c r="I1662" i="2"/>
  <c r="I288" i="2"/>
  <c r="I1224" i="2"/>
  <c r="I271" i="2"/>
  <c r="I1506" i="2"/>
  <c r="I305" i="2"/>
  <c r="I1245" i="2"/>
  <c r="I1584" i="2"/>
  <c r="I1406" i="2"/>
  <c r="I1486" i="2"/>
  <c r="I207" i="2"/>
  <c r="I239" i="2"/>
  <c r="I1525" i="2"/>
  <c r="I1564" i="2"/>
  <c r="I1184" i="2"/>
  <c r="I223" i="2"/>
  <c r="I1603" i="2"/>
  <c r="I1701" i="2"/>
  <c r="I2547" i="2"/>
  <c r="I1164" i="2"/>
  <c r="I1642" i="2"/>
  <c r="I1681" i="2"/>
  <c r="I1366" i="2"/>
  <c r="I1466" i="2"/>
  <c r="I1326" i="2"/>
  <c r="I191" i="2"/>
  <c r="I1346" i="2"/>
  <c r="I1545" i="2"/>
  <c r="I2593" i="2"/>
  <c r="G1865" i="2"/>
  <c r="H1865" i="2" s="1"/>
  <c r="G1790" i="2"/>
  <c r="G1765" i="2"/>
  <c r="G1840" i="2"/>
  <c r="G1815" i="2"/>
  <c r="I1720" i="2"/>
  <c r="I1386" i="2"/>
  <c r="I1306" i="2"/>
  <c r="G12" i="5"/>
  <c r="N12" i="5"/>
  <c r="B2361" i="2"/>
  <c r="B2387" i="2" l="1"/>
  <c r="B2412" i="2" l="1"/>
  <c r="F42" i="17" l="1"/>
  <c r="G42" i="17" s="1"/>
  <c r="B2437" i="2"/>
  <c r="B2462" i="2" l="1"/>
  <c r="B2513" i="2" l="1"/>
  <c r="B2488" i="2"/>
  <c r="H4" i="21"/>
  <c r="H4" i="12"/>
  <c r="C6" i="12"/>
  <c r="C5" i="12"/>
  <c r="G82" i="17"/>
  <c r="E5" i="12" s="1"/>
  <c r="G80" i="17"/>
  <c r="G79" i="17"/>
  <c r="G78" i="17"/>
  <c r="F203" i="5"/>
  <c r="C205" i="5"/>
  <c r="C203" i="5"/>
  <c r="G58" i="17"/>
  <c r="G68" i="17"/>
  <c r="G67" i="17"/>
  <c r="G66" i="17"/>
  <c r="C12" i="19"/>
  <c r="L1123" i="2" l="1"/>
  <c r="L1660" i="2"/>
  <c r="L1542" i="2"/>
  <c r="L1405" i="2"/>
  <c r="L1326" i="2"/>
  <c r="L1162" i="2"/>
  <c r="L1641" i="2"/>
  <c r="L1525" i="2"/>
  <c r="L1306" i="2"/>
  <c r="L1142" i="2"/>
  <c r="L1384" i="2"/>
  <c r="L1285" i="2"/>
  <c r="L1719" i="2"/>
  <c r="L1465" i="2"/>
  <c r="L1224" i="2"/>
  <c r="L1701" i="2"/>
  <c r="L1585" i="2"/>
  <c r="L1445" i="2"/>
  <c r="L1680" i="2"/>
  <c r="L1564" i="2"/>
  <c r="L1425" i="2"/>
  <c r="L1183" i="2"/>
  <c r="L1739" i="2"/>
  <c r="L1623" i="2"/>
  <c r="L1504" i="2"/>
  <c r="L1264" i="2"/>
  <c r="L1485" i="2"/>
  <c r="L1366" i="2"/>
  <c r="L1605" i="2"/>
  <c r="L1244" i="2"/>
  <c r="L1347" i="2"/>
  <c r="L1204" i="2"/>
  <c r="L733" i="2"/>
  <c r="L595" i="2"/>
  <c r="L815" i="2"/>
  <c r="L788" i="2"/>
  <c r="L761" i="2"/>
  <c r="L566" i="2"/>
  <c r="L1077" i="2"/>
  <c r="L982" i="2"/>
  <c r="L889" i="2"/>
  <c r="L706" i="2"/>
  <c r="L1050" i="2"/>
  <c r="L955" i="2"/>
  <c r="L862" i="2"/>
  <c r="L675" i="2"/>
  <c r="L1029" i="2"/>
  <c r="L934" i="2"/>
  <c r="L838" i="2"/>
  <c r="L650" i="2"/>
  <c r="L1097" i="2"/>
  <c r="L1003" i="2"/>
  <c r="L909" i="2"/>
  <c r="L621" i="2"/>
  <c r="L536" i="2"/>
  <c r="L508" i="2"/>
  <c r="L482" i="2"/>
  <c r="L458" i="2"/>
  <c r="L432" i="2"/>
  <c r="L351" i="2"/>
  <c r="L405" i="2"/>
  <c r="L323" i="2"/>
  <c r="L378" i="2"/>
  <c r="E6" i="12"/>
  <c r="G69" i="17"/>
  <c r="G55" i="21" l="1"/>
  <c r="G53" i="21"/>
  <c r="G50" i="17"/>
  <c r="G40" i="17"/>
  <c r="F81" i="14" l="1"/>
  <c r="G81" i="14" s="1"/>
  <c r="F80" i="14"/>
  <c r="G80" i="14" s="1"/>
  <c r="C81" i="14"/>
  <c r="C80" i="14"/>
  <c r="E53" i="21"/>
  <c r="G51" i="17"/>
  <c r="G49" i="17"/>
  <c r="G47" i="17"/>
  <c r="G46" i="17"/>
  <c r="D37" i="21"/>
  <c r="N28" i="21" s="1"/>
  <c r="F37" i="21"/>
  <c r="C37" i="21"/>
  <c r="F18" i="21"/>
  <c r="F19" i="21" s="1"/>
  <c r="F17" i="21"/>
  <c r="E15" i="21"/>
  <c r="G45" i="21"/>
  <c r="F44" i="21"/>
  <c r="G44" i="21" s="1"/>
  <c r="F43" i="21"/>
  <c r="G43" i="21" s="1"/>
  <c r="F42" i="21"/>
  <c r="G42" i="21" s="1"/>
  <c r="F41" i="21"/>
  <c r="G41" i="21" s="1"/>
  <c r="G40" i="21"/>
  <c r="G39" i="21"/>
  <c r="F34" i="21"/>
  <c r="F33" i="21"/>
  <c r="C45" i="21"/>
  <c r="C44" i="21"/>
  <c r="C43" i="21"/>
  <c r="C42" i="21"/>
  <c r="C41" i="21"/>
  <c r="C40" i="21"/>
  <c r="C39" i="21"/>
  <c r="F51" i="12"/>
  <c r="G51" i="12" s="1"/>
  <c r="C51" i="12"/>
  <c r="F52" i="12"/>
  <c r="C52" i="12"/>
  <c r="F50" i="12"/>
  <c r="C50" i="12"/>
  <c r="F38" i="21"/>
  <c r="G38" i="21" s="1"/>
  <c r="C38" i="21"/>
  <c r="G36" i="21"/>
  <c r="C36" i="21"/>
  <c r="F35" i="21"/>
  <c r="G35" i="21" s="1"/>
  <c r="C35" i="21"/>
  <c r="C34" i="21"/>
  <c r="C33" i="21"/>
  <c r="E8" i="21"/>
  <c r="N32" i="21"/>
  <c r="N31" i="21"/>
  <c r="N29" i="21"/>
  <c r="N27" i="21"/>
  <c r="F21" i="21"/>
  <c r="F22" i="21" s="1"/>
  <c r="F20" i="21"/>
  <c r="N22" i="21"/>
  <c r="N21" i="21"/>
  <c r="N20" i="21"/>
  <c r="N19" i="21"/>
  <c r="M26" i="21"/>
  <c r="N26" i="21" s="1"/>
  <c r="G53" i="17" l="1"/>
  <c r="G59" i="21"/>
  <c r="F175" i="5" s="1"/>
  <c r="G175" i="5" s="1"/>
  <c r="G60" i="21"/>
  <c r="F177" i="5" s="1"/>
  <c r="G37" i="21"/>
  <c r="F23" i="21"/>
  <c r="G34" i="21"/>
  <c r="M25" i="21"/>
  <c r="N25" i="21" s="1"/>
  <c r="M24" i="21"/>
  <c r="N24" i="21" s="1"/>
  <c r="M23" i="21"/>
  <c r="N23" i="21" s="1"/>
  <c r="G177" i="5" l="1"/>
  <c r="F24" i="21"/>
  <c r="F25" i="21" s="1"/>
  <c r="F26" i="21" s="1"/>
  <c r="F27" i="21" s="1"/>
  <c r="D33" i="21"/>
  <c r="K30" i="21"/>
  <c r="N30" i="21" s="1"/>
  <c r="N33" i="21" s="1"/>
  <c r="O23" i="21"/>
  <c r="K35" i="21" l="1"/>
  <c r="K36" i="21" s="1"/>
  <c r="K38" i="21" s="1"/>
  <c r="G31" i="17" l="1"/>
  <c r="G30" i="17"/>
  <c r="G29" i="17"/>
  <c r="G22" i="17"/>
  <c r="F77" i="14"/>
  <c r="C77" i="14"/>
  <c r="D74" i="14"/>
  <c r="F193" i="5"/>
  <c r="G193" i="5" s="1"/>
  <c r="F82" i="14"/>
  <c r="C82" i="14"/>
  <c r="F79" i="14"/>
  <c r="C79" i="14"/>
  <c r="F83" i="14"/>
  <c r="C83" i="14"/>
  <c r="F78" i="14"/>
  <c r="C78" i="14"/>
  <c r="F74" i="14"/>
  <c r="C74" i="14"/>
  <c r="F76" i="14"/>
  <c r="C76" i="14"/>
  <c r="F75" i="14"/>
  <c r="C75" i="14"/>
  <c r="F73" i="14"/>
  <c r="C73" i="14"/>
  <c r="F72" i="14"/>
  <c r="C72" i="14"/>
  <c r="K77" i="14"/>
  <c r="F70" i="14"/>
  <c r="C71" i="14"/>
  <c r="C70" i="14"/>
  <c r="F59" i="14"/>
  <c r="G60" i="14"/>
  <c r="G33" i="14"/>
  <c r="G34" i="14"/>
  <c r="G52" i="14"/>
  <c r="F60" i="14"/>
  <c r="E60" i="14"/>
  <c r="E52" i="14"/>
  <c r="F51" i="14"/>
  <c r="G44" i="14"/>
  <c r="G43" i="14"/>
  <c r="G42" i="14"/>
  <c r="F41" i="14"/>
  <c r="F32" i="14"/>
  <c r="F19" i="14"/>
  <c r="E19" i="14"/>
  <c r="F20" i="14"/>
  <c r="G20" i="14" s="1"/>
  <c r="F17" i="14"/>
  <c r="F18" i="12"/>
  <c r="E10" i="14"/>
  <c r="D42" i="12"/>
  <c r="E26" i="12"/>
  <c r="E16" i="12"/>
  <c r="G32" i="17" l="1"/>
  <c r="G19" i="14"/>
  <c r="G35" i="14"/>
  <c r="G61" i="14"/>
  <c r="F41" i="12"/>
  <c r="C41" i="12"/>
  <c r="F49" i="12"/>
  <c r="G49" i="12" s="1"/>
  <c r="C49" i="12"/>
  <c r="F48" i="12"/>
  <c r="G48" i="12" s="1"/>
  <c r="C48" i="12"/>
  <c r="F46" i="12"/>
  <c r="C46" i="12"/>
  <c r="F43" i="12"/>
  <c r="C43" i="12"/>
  <c r="F47" i="12"/>
  <c r="C47" i="12"/>
  <c r="F42" i="12"/>
  <c r="C42" i="12"/>
  <c r="F44" i="12"/>
  <c r="C44" i="12"/>
  <c r="F45" i="12"/>
  <c r="C45" i="12"/>
  <c r="F32" i="12"/>
  <c r="F31" i="12"/>
  <c r="F30" i="12"/>
  <c r="F29" i="12"/>
  <c r="F28" i="12"/>
  <c r="F19" i="12"/>
  <c r="F33" i="12" l="1"/>
  <c r="D41" i="12" s="1"/>
  <c r="F20" i="12" l="1"/>
  <c r="E9" i="12" l="1"/>
  <c r="F34" i="12" s="1"/>
  <c r="F21" i="12" l="1"/>
  <c r="F22" i="12" s="1"/>
  <c r="F23" i="12" s="1"/>
  <c r="G60" i="12"/>
  <c r="E60" i="12" s="1"/>
  <c r="G61" i="12"/>
  <c r="E61" i="12" s="1"/>
  <c r="G62" i="12"/>
  <c r="E62" i="12" s="1"/>
  <c r="G64" i="12"/>
  <c r="E64" i="12" s="1"/>
  <c r="G57" i="17"/>
  <c r="G63" i="17" l="1"/>
  <c r="G39" i="17"/>
  <c r="G37" i="17"/>
  <c r="G36" i="17"/>
  <c r="F41" i="17"/>
  <c r="G41" i="17" s="1"/>
  <c r="G43" i="17" l="1"/>
  <c r="G16" i="17"/>
  <c r="G7" i="17"/>
  <c r="F141" i="5"/>
  <c r="C141" i="5"/>
  <c r="L2140" i="2" l="1"/>
  <c r="L2191" i="2"/>
  <c r="L2217" i="2"/>
  <c r="L2166" i="2"/>
  <c r="L2498" i="2"/>
  <c r="L2115" i="2"/>
  <c r="L2369" i="2"/>
  <c r="L2422" i="2"/>
  <c r="L2347" i="2"/>
  <c r="L2472" i="2"/>
  <c r="L2321" i="2"/>
  <c r="L2268" i="2"/>
  <c r="L2524" i="2"/>
  <c r="L2398" i="2"/>
  <c r="L2297" i="2"/>
  <c r="L2448" i="2"/>
  <c r="H71" i="19"/>
  <c r="I71" i="19" s="1"/>
  <c r="I72" i="19"/>
  <c r="I73" i="19"/>
  <c r="I74" i="19"/>
  <c r="I75" i="19"/>
  <c r="G33" i="21" l="1"/>
  <c r="G46" i="21" s="1"/>
  <c r="G48" i="21" s="1"/>
  <c r="F140" i="5"/>
  <c r="C140" i="5"/>
  <c r="H721" i="2"/>
  <c r="H720" i="2"/>
  <c r="H693" i="2"/>
  <c r="H692" i="2"/>
  <c r="H664" i="2"/>
  <c r="H663" i="2"/>
  <c r="H636" i="2"/>
  <c r="H635" i="2"/>
  <c r="L2546" i="2" l="1"/>
  <c r="L2589" i="2"/>
  <c r="L1913" i="2"/>
  <c r="L2039" i="2"/>
  <c r="L2090" i="2"/>
  <c r="L1787" i="2"/>
  <c r="L1959" i="2"/>
  <c r="L1840" i="2"/>
  <c r="L2011" i="2"/>
  <c r="L1890" i="2"/>
  <c r="L2242" i="2"/>
  <c r="L2061" i="2"/>
  <c r="L1763" i="2"/>
  <c r="L1934" i="2"/>
  <c r="L1814" i="2"/>
  <c r="L1984" i="2"/>
  <c r="L1861" i="2"/>
  <c r="I720" i="2"/>
  <c r="I692" i="2"/>
  <c r="I663" i="2"/>
  <c r="I635" i="2"/>
  <c r="E14" i="20" l="1"/>
  <c r="E13" i="20"/>
  <c r="E12" i="20"/>
  <c r="E11" i="20"/>
  <c r="C8" i="20"/>
  <c r="C7" i="20"/>
  <c r="C6" i="20"/>
  <c r="C5" i="20"/>
  <c r="F14" i="20"/>
  <c r="F13" i="20"/>
  <c r="C14" i="20"/>
  <c r="C13" i="20"/>
  <c r="C12" i="20"/>
  <c r="C11" i="20"/>
  <c r="C15" i="20" l="1"/>
  <c r="G14" i="20"/>
  <c r="G13" i="20"/>
  <c r="F29" i="19"/>
  <c r="G29" i="19" s="1"/>
  <c r="C29" i="19"/>
  <c r="C28" i="19"/>
  <c r="C27" i="19"/>
  <c r="C26" i="19"/>
  <c r="C25" i="19"/>
  <c r="C30" i="19"/>
  <c r="E28" i="19"/>
  <c r="E27" i="19"/>
  <c r="E26" i="19"/>
  <c r="E25" i="19"/>
  <c r="E14" i="19"/>
  <c r="E13" i="19"/>
  <c r="E12" i="19"/>
  <c r="E11" i="19"/>
  <c r="C14" i="19"/>
  <c r="C13" i="19"/>
  <c r="C16" i="19" l="1"/>
  <c r="F15" i="19"/>
  <c r="G15" i="19" s="1"/>
  <c r="C15" i="19"/>
  <c r="C11" i="19"/>
  <c r="C16" i="18"/>
  <c r="C79" i="18"/>
  <c r="C114" i="5"/>
  <c r="C112" i="5" l="1"/>
  <c r="M1563" i="2" l="1"/>
  <c r="M1700" i="2"/>
  <c r="M1503" i="2"/>
  <c r="M1346" i="2"/>
  <c r="M1284" i="2"/>
  <c r="M1640" i="2"/>
  <c r="M1424" i="2"/>
  <c r="M1541" i="2"/>
  <c r="M1161" i="2"/>
  <c r="M1122" i="2"/>
  <c r="M1584" i="2"/>
  <c r="M1622" i="2"/>
  <c r="M1365" i="2"/>
  <c r="M1305" i="2"/>
  <c r="M1464" i="2"/>
  <c r="M1203" i="2"/>
  <c r="M1679" i="2"/>
  <c r="M1243" i="2"/>
  <c r="M1383" i="2"/>
  <c r="M1718" i="2"/>
  <c r="M1263" i="2"/>
  <c r="M1404" i="2"/>
  <c r="M1182" i="2"/>
  <c r="M1604" i="2"/>
  <c r="M1141" i="2"/>
  <c r="M1223" i="2"/>
  <c r="M1524" i="2"/>
  <c r="M1484" i="2"/>
  <c r="M1325" i="2"/>
  <c r="M1659" i="2"/>
  <c r="M1444" i="2"/>
  <c r="L956" i="2"/>
  <c r="L910" i="2"/>
  <c r="L1004" i="2"/>
  <c r="M790" i="2"/>
  <c r="M763" i="2"/>
  <c r="M677" i="2"/>
  <c r="M708" i="2"/>
  <c r="M652" i="2"/>
  <c r="M735" i="2"/>
  <c r="G769" i="2"/>
  <c r="H769" i="2" s="1"/>
  <c r="G819" i="2"/>
  <c r="H819" i="2" s="1"/>
  <c r="G813" i="2"/>
  <c r="H813" i="2" s="1"/>
  <c r="G1105" i="2"/>
  <c r="H1105" i="2" s="1"/>
  <c r="G817" i="2"/>
  <c r="H817" i="2" s="1"/>
  <c r="G718" i="2"/>
  <c r="H718" i="2" s="1"/>
  <c r="G488" i="2"/>
  <c r="H488" i="2" s="1"/>
  <c r="G870" i="2"/>
  <c r="H870" i="2" s="1"/>
  <c r="G793" i="2"/>
  <c r="H793" i="2" s="1"/>
  <c r="G741" i="2"/>
  <c r="H741" i="2" s="1"/>
  <c r="G1011" i="2"/>
  <c r="H1011" i="2" s="1"/>
  <c r="G605" i="2"/>
  <c r="H605" i="2" s="1"/>
  <c r="G814" i="2"/>
  <c r="H814" i="2" s="1"/>
  <c r="G386" i="2"/>
  <c r="H386" i="2" s="1"/>
  <c r="G717" i="2"/>
  <c r="H717" i="2" s="1"/>
  <c r="G823" i="2"/>
  <c r="H823" i="2" s="1"/>
  <c r="G1010" i="2"/>
  <c r="H1010" i="2" s="1"/>
  <c r="G916" i="2"/>
  <c r="H916" i="2" s="1"/>
  <c r="G576" i="2"/>
  <c r="H576" i="2" s="1"/>
  <c r="G790" i="2"/>
  <c r="H790" i="2" s="1"/>
  <c r="G413" i="2"/>
  <c r="H413" i="2" s="1"/>
  <c r="G796" i="2"/>
  <c r="H796" i="2" s="1"/>
  <c r="G382" i="2"/>
  <c r="H382" i="2" s="1"/>
  <c r="G463" i="2"/>
  <c r="H463" i="2" s="1"/>
  <c r="G436" i="2"/>
  <c r="H436" i="2" s="1"/>
  <c r="G604" i="2"/>
  <c r="H604" i="2" s="1"/>
  <c r="G789" i="2"/>
  <c r="H789" i="2" s="1"/>
  <c r="G869" i="2"/>
  <c r="H869" i="2" s="1"/>
  <c r="G516" i="2"/>
  <c r="H516" i="2" s="1"/>
  <c r="G437" i="2"/>
  <c r="H437" i="2" s="1"/>
  <c r="G799" i="2"/>
  <c r="H799" i="2" s="1"/>
  <c r="G963" i="2"/>
  <c r="H963" i="2" s="1"/>
  <c r="G572" i="2"/>
  <c r="H572" i="2" s="1"/>
  <c r="G688" i="2"/>
  <c r="H688" i="2" s="1"/>
  <c r="G520" i="2"/>
  <c r="H520" i="2" s="1"/>
  <c r="G1104" i="2"/>
  <c r="H1104" i="2" s="1"/>
  <c r="G792" i="2"/>
  <c r="H792" i="2" s="1"/>
  <c r="G816" i="2"/>
  <c r="H816" i="2" s="1"/>
  <c r="G412" i="2"/>
  <c r="H412" i="2" s="1"/>
  <c r="G464" i="2"/>
  <c r="H464" i="2" s="1"/>
  <c r="G768" i="2"/>
  <c r="H768" i="2" s="1"/>
  <c r="G600" i="2"/>
  <c r="H600" i="2" s="1"/>
  <c r="G1058" i="2"/>
  <c r="H1058" i="2" s="1"/>
  <c r="G822" i="2"/>
  <c r="H822" i="2" s="1"/>
  <c r="G492" i="2"/>
  <c r="H492" i="2" s="1"/>
  <c r="G601" i="2"/>
  <c r="H601" i="2" s="1"/>
  <c r="G515" i="2"/>
  <c r="H515" i="2" s="1"/>
  <c r="G487" i="2"/>
  <c r="H487" i="2" s="1"/>
  <c r="G358" i="2"/>
  <c r="H358" i="2" s="1"/>
  <c r="G329" i="2"/>
  <c r="H329" i="2" s="1"/>
  <c r="G544" i="2"/>
  <c r="H544" i="2" s="1"/>
  <c r="G330" i="2"/>
  <c r="H330" i="2" s="1"/>
  <c r="G385" i="2"/>
  <c r="H385" i="2" s="1"/>
  <c r="G629" i="2"/>
  <c r="H629" i="2" s="1"/>
  <c r="G689" i="2"/>
  <c r="H689" i="2" s="1"/>
  <c r="G359" i="2"/>
  <c r="H359" i="2" s="1"/>
  <c r="G826" i="2"/>
  <c r="H826" i="2" s="1"/>
  <c r="G1061" i="2"/>
  <c r="H1061" i="2" s="1"/>
  <c r="G547" i="2"/>
  <c r="H547" i="2" s="1"/>
  <c r="G628" i="2"/>
  <c r="H628" i="2" s="1"/>
  <c r="G577" i="2"/>
  <c r="H577" i="2" s="1"/>
  <c r="G713" i="2"/>
  <c r="H713" i="2" s="1"/>
  <c r="G657" i="2"/>
  <c r="H657" i="2" s="1"/>
  <c r="G714" i="2"/>
  <c r="H714" i="2" s="1"/>
  <c r="G333" i="2"/>
  <c r="H333" i="2" s="1"/>
  <c r="G548" i="2"/>
  <c r="H548" i="2" s="1"/>
  <c r="G684" i="2"/>
  <c r="H684" i="2" s="1"/>
  <c r="G573" i="2"/>
  <c r="H573" i="2" s="1"/>
  <c r="G440" i="2"/>
  <c r="H440" i="2" s="1"/>
  <c r="G632" i="2"/>
  <c r="H632" i="2" s="1"/>
  <c r="G519" i="2"/>
  <c r="H519" i="2" s="1"/>
  <c r="G820" i="2"/>
  <c r="H820" i="2" s="1"/>
  <c r="G439" i="2"/>
  <c r="H439" i="2" s="1"/>
  <c r="G742" i="2"/>
  <c r="H742" i="2" s="1"/>
  <c r="G383" i="2"/>
  <c r="H383" i="2" s="1"/>
  <c r="G917" i="2"/>
  <c r="H917" i="2" s="1"/>
  <c r="G409" i="2"/>
  <c r="H409" i="2" s="1"/>
  <c r="G543" i="2"/>
  <c r="H543" i="2" s="1"/>
  <c r="G410" i="2"/>
  <c r="H410" i="2" s="1"/>
  <c r="G416" i="2"/>
  <c r="H416" i="2" s="1"/>
  <c r="G685" i="2"/>
  <c r="H685" i="2" s="1"/>
  <c r="G964" i="2"/>
  <c r="H964" i="2" s="1"/>
  <c r="G660" i="2"/>
  <c r="H660" i="2" s="1"/>
  <c r="G1057" i="2"/>
  <c r="H1057" i="2" s="1"/>
  <c r="G443" i="2"/>
  <c r="H443" i="2" s="1"/>
  <c r="G745" i="2"/>
  <c r="H745" i="2" s="1"/>
  <c r="G795" i="2"/>
  <c r="H795" i="2" s="1"/>
  <c r="G656" i="2"/>
  <c r="H656" i="2" s="1"/>
  <c r="G1078" i="2"/>
  <c r="H1078" i="2" s="1"/>
  <c r="G1046" i="2"/>
  <c r="H1046" i="2" s="1"/>
  <c r="G625" i="2"/>
  <c r="H625" i="2" s="1"/>
  <c r="G390" i="2"/>
  <c r="H390" i="2" s="1"/>
  <c r="G570" i="2"/>
  <c r="H570" i="2" s="1"/>
  <c r="G592" i="2"/>
  <c r="H592" i="2" s="1"/>
  <c r="G911" i="2"/>
  <c r="H911" i="2" s="1"/>
  <c r="G1004" i="2"/>
  <c r="H1004" i="2" s="1"/>
  <c r="G428" i="2"/>
  <c r="H428" i="2" s="1"/>
  <c r="G844" i="2"/>
  <c r="H844" i="2" s="1"/>
  <c r="G326" i="2"/>
  <c r="H326" i="2" s="1"/>
  <c r="G619" i="2"/>
  <c r="H619" i="2" s="1"/>
  <c r="G617" i="2"/>
  <c r="H617" i="2" s="1"/>
  <c r="G540" i="2"/>
  <c r="H540" i="2" s="1"/>
  <c r="G711" i="2"/>
  <c r="H711" i="2" s="1"/>
  <c r="G786" i="2"/>
  <c r="H786" i="2" s="1"/>
  <c r="G484" i="2"/>
  <c r="H484" i="2" s="1"/>
  <c r="G2952" i="2"/>
  <c r="H2952" i="2" s="1"/>
  <c r="G811" i="2"/>
  <c r="H811" i="2" s="1"/>
  <c r="G506" i="2"/>
  <c r="H506" i="2" s="1"/>
  <c r="G908" i="2"/>
  <c r="H908" i="2" s="1"/>
  <c r="G535" i="2"/>
  <c r="H535" i="2" s="1"/>
  <c r="G2821" i="2"/>
  <c r="H2821" i="2" s="1"/>
  <c r="G505" i="2"/>
  <c r="H505" i="2" s="1"/>
  <c r="G758" i="2"/>
  <c r="H758" i="2" s="1"/>
  <c r="G594" i="2"/>
  <c r="H594" i="2" s="1"/>
  <c r="G2926" i="2"/>
  <c r="H2926" i="2" s="1"/>
  <c r="G318" i="2"/>
  <c r="H318" i="2" s="1"/>
  <c r="G1076" i="2"/>
  <c r="H1076" i="2" s="1"/>
  <c r="G563" i="2"/>
  <c r="H563" i="2" s="1"/>
  <c r="G513" i="2"/>
  <c r="H513" i="2" s="1"/>
  <c r="G703" i="2"/>
  <c r="H703" i="2" s="1"/>
  <c r="G363" i="2"/>
  <c r="H363" i="2" s="1"/>
  <c r="G349" i="2"/>
  <c r="H349" i="2" s="1"/>
  <c r="G759" i="2"/>
  <c r="H759" i="2" s="1"/>
  <c r="G2963" i="2"/>
  <c r="H2963" i="2" s="1"/>
  <c r="G549" i="2"/>
  <c r="H549" i="2" s="1"/>
  <c r="G578" i="2"/>
  <c r="H578" i="2" s="1"/>
  <c r="G2960" i="2"/>
  <c r="H2960" i="2" s="1"/>
  <c r="G510" i="2"/>
  <c r="H510" i="2" s="1"/>
  <c r="G710" i="2"/>
  <c r="H710" i="2" s="1"/>
  <c r="G444" i="2"/>
  <c r="H444" i="2" s="1"/>
  <c r="G954" i="2"/>
  <c r="H954" i="2" s="1"/>
  <c r="G766" i="2"/>
  <c r="H766" i="2" s="1"/>
  <c r="G374" i="2"/>
  <c r="H374" i="2" s="1"/>
  <c r="G981" i="2"/>
  <c r="H981" i="2" s="1"/>
  <c r="G507" i="2"/>
  <c r="H507" i="2" s="1"/>
  <c r="G1007" i="2"/>
  <c r="H1007" i="2" s="1"/>
  <c r="G979" i="2"/>
  <c r="H979" i="2" s="1"/>
  <c r="G564" i="2"/>
  <c r="H564" i="2" s="1"/>
  <c r="G2832" i="2"/>
  <c r="H2832" i="2" s="1"/>
  <c r="G2951" i="2"/>
  <c r="H2951" i="2" s="1"/>
  <c r="G1005" i="2"/>
  <c r="H1005" i="2" s="1"/>
  <c r="G532" i="2"/>
  <c r="H532" i="2" s="1"/>
  <c r="G2871" i="2"/>
  <c r="H2871" i="2" s="1"/>
  <c r="G569" i="2"/>
  <c r="H569" i="2" s="1"/>
  <c r="G935" i="2"/>
  <c r="H935" i="2" s="1"/>
  <c r="G327" i="2"/>
  <c r="H327" i="2" s="1"/>
  <c r="G1049" i="2"/>
  <c r="H1049" i="2" s="1"/>
  <c r="G2925" i="2"/>
  <c r="H2925" i="2" s="1"/>
  <c r="G2910" i="2"/>
  <c r="H2910" i="2" s="1"/>
  <c r="G350" i="2"/>
  <c r="H350" i="2" s="1"/>
  <c r="G455" i="2"/>
  <c r="H455" i="2" s="1"/>
  <c r="G647" i="2"/>
  <c r="H647" i="2" s="1"/>
  <c r="G353" i="2"/>
  <c r="H353" i="2" s="1"/>
  <c r="G913" i="2"/>
  <c r="H913" i="2" s="1"/>
  <c r="G2937" i="2"/>
  <c r="H2937" i="2" s="1"/>
  <c r="G626" i="2"/>
  <c r="H626" i="2" s="1"/>
  <c r="G2936" i="2"/>
  <c r="H2936" i="2" s="1"/>
  <c r="G590" i="2"/>
  <c r="H590" i="2" s="1"/>
  <c r="G702" i="2"/>
  <c r="H702" i="2" s="1"/>
  <c r="I702" i="2" s="1"/>
  <c r="G348" i="2"/>
  <c r="H348" i="2" s="1"/>
  <c r="G938" i="2"/>
  <c r="H938" i="2" s="1"/>
  <c r="G534" i="2"/>
  <c r="H534" i="2" s="1"/>
  <c r="G784" i="2"/>
  <c r="H784" i="2" s="1"/>
  <c r="G2908" i="2"/>
  <c r="H2908" i="2" s="1"/>
  <c r="G937" i="2"/>
  <c r="H937" i="2" s="1"/>
  <c r="G460" i="2"/>
  <c r="H460" i="2" s="1"/>
  <c r="G955" i="2"/>
  <c r="H955" i="2" s="1"/>
  <c r="G509" i="2"/>
  <c r="H509" i="2" s="1"/>
  <c r="G863" i="2"/>
  <c r="H863" i="2" s="1"/>
  <c r="G957" i="2"/>
  <c r="H957" i="2" s="1"/>
  <c r="G1101" i="2"/>
  <c r="H1101" i="2" s="1"/>
  <c r="G682" i="2"/>
  <c r="H682" i="2" s="1"/>
  <c r="G2882" i="2"/>
  <c r="H2882" i="2" s="1"/>
  <c r="G485" i="2"/>
  <c r="H485" i="2" s="1"/>
  <c r="G2820" i="2"/>
  <c r="H2820" i="2" s="1"/>
  <c r="G417" i="2"/>
  <c r="H417" i="2" s="1"/>
  <c r="G1054" i="2"/>
  <c r="H1054" i="2" s="1"/>
  <c r="G885" i="2"/>
  <c r="H885" i="2" s="1"/>
  <c r="G597" i="2"/>
  <c r="H597" i="2" s="1"/>
  <c r="G765" i="2"/>
  <c r="H765" i="2" s="1"/>
  <c r="G567" i="2"/>
  <c r="H567" i="2" s="1"/>
  <c r="G1027" i="2"/>
  <c r="H1027" i="2" s="1"/>
  <c r="G906" i="2"/>
  <c r="H906" i="2" s="1"/>
  <c r="G812" i="2"/>
  <c r="H812" i="2" s="1"/>
  <c r="G2962" i="2"/>
  <c r="H2962" i="2" s="1"/>
  <c r="G2911" i="2"/>
  <c r="H2911" i="2" s="1"/>
  <c r="G887" i="2"/>
  <c r="H887" i="2" s="1"/>
  <c r="G2848" i="2"/>
  <c r="H2848" i="2" s="1"/>
  <c r="G319" i="2"/>
  <c r="H319" i="2" s="1"/>
  <c r="G645" i="2"/>
  <c r="H645" i="2" s="1"/>
  <c r="G429" i="2"/>
  <c r="H429" i="2" s="1"/>
  <c r="G840" i="2"/>
  <c r="H840" i="2" s="1"/>
  <c r="G431" i="2"/>
  <c r="H431" i="2" s="1"/>
  <c r="G838" i="2"/>
  <c r="H838" i="2" s="1"/>
  <c r="G406" i="2"/>
  <c r="H406" i="2" s="1"/>
  <c r="G589" i="2"/>
  <c r="H589" i="2" s="1"/>
  <c r="G960" i="2"/>
  <c r="H960" i="2" s="1"/>
  <c r="G2874" i="2"/>
  <c r="H2874" i="2" s="1"/>
  <c r="G2949" i="2"/>
  <c r="H2949" i="2" s="1"/>
  <c r="G2823" i="2"/>
  <c r="H2823" i="2" s="1"/>
  <c r="G598" i="2"/>
  <c r="H598" i="2" s="1"/>
  <c r="G673" i="2"/>
  <c r="H673" i="2" s="1"/>
  <c r="G2857" i="2"/>
  <c r="H2857" i="2" s="1"/>
  <c r="G521" i="2"/>
  <c r="H521" i="2" s="1"/>
  <c r="G1098" i="2"/>
  <c r="H1098" i="2" s="1"/>
  <c r="G2961" i="2"/>
  <c r="H2961" i="2" s="1"/>
  <c r="G2822" i="2"/>
  <c r="H2822" i="2" s="1"/>
  <c r="G644" i="2"/>
  <c r="H644" i="2" s="1"/>
  <c r="G376" i="2"/>
  <c r="H376" i="2" s="1"/>
  <c r="G433" i="2"/>
  <c r="H433" i="2" s="1"/>
  <c r="G2872" i="2"/>
  <c r="H2872" i="2" s="1"/>
  <c r="G402" i="2"/>
  <c r="H402" i="2" s="1"/>
  <c r="G334" i="2"/>
  <c r="H334" i="2" s="1"/>
  <c r="G633" i="2"/>
  <c r="H633" i="2" s="1"/>
  <c r="G762" i="2"/>
  <c r="H762" i="2" s="1"/>
  <c r="G2845" i="2"/>
  <c r="H2845" i="2" s="1"/>
  <c r="G982" i="2"/>
  <c r="H982" i="2" s="1"/>
  <c r="G934" i="2"/>
  <c r="H934" i="2" s="1"/>
  <c r="G999" i="2"/>
  <c r="H999" i="2" s="1"/>
  <c r="G352" i="2"/>
  <c r="H352" i="2" s="1"/>
  <c r="G1032" i="2"/>
  <c r="H1032" i="2" s="1"/>
  <c r="G907" i="2"/>
  <c r="H907" i="2" s="1"/>
  <c r="G504" i="2"/>
  <c r="H504" i="2" s="1"/>
  <c r="G707" i="2"/>
  <c r="H707" i="2" s="1"/>
  <c r="G1051" i="2"/>
  <c r="H1051" i="2" s="1"/>
  <c r="G905" i="2"/>
  <c r="H905" i="2" s="1"/>
  <c r="G430" i="2"/>
  <c r="H430" i="2" s="1"/>
  <c r="G320" i="2"/>
  <c r="H320" i="2" s="1"/>
  <c r="G479" i="2"/>
  <c r="H479" i="2" s="1"/>
  <c r="G1073" i="2"/>
  <c r="H1073" i="2" s="1"/>
  <c r="G650" i="2"/>
  <c r="H650" i="2" s="1"/>
  <c r="G2831" i="2"/>
  <c r="H2831" i="2" s="1"/>
  <c r="G324" i="2"/>
  <c r="H324" i="2" s="1"/>
  <c r="G1095" i="2"/>
  <c r="H1095" i="2" s="1"/>
  <c r="G672" i="2"/>
  <c r="H672" i="2" s="1"/>
  <c r="G356" i="2"/>
  <c r="H356" i="2" s="1"/>
  <c r="G323" i="2"/>
  <c r="H323" i="2" s="1"/>
  <c r="G1028" i="2"/>
  <c r="H1028" i="2" s="1"/>
  <c r="G2899" i="2"/>
  <c r="H2899" i="2" s="1"/>
  <c r="G595" i="2"/>
  <c r="H595" i="2" s="1"/>
  <c r="G335" i="2"/>
  <c r="H335" i="2" s="1"/>
  <c r="G2846" i="2"/>
  <c r="H2846" i="2" s="1"/>
  <c r="G886" i="2"/>
  <c r="H886" i="2" s="1"/>
  <c r="G859" i="2"/>
  <c r="H859" i="2" s="1"/>
  <c r="G456" i="2"/>
  <c r="H456" i="2" s="1"/>
  <c r="G866" i="2"/>
  <c r="H866" i="2" s="1"/>
  <c r="G461" i="2"/>
  <c r="H461" i="2" s="1"/>
  <c r="G380" i="2"/>
  <c r="H380" i="2" s="1"/>
  <c r="G952" i="2"/>
  <c r="H952" i="2" s="1"/>
  <c r="G864" i="2"/>
  <c r="H864" i="2" s="1"/>
  <c r="G2859" i="2"/>
  <c r="H2859" i="2" s="1"/>
  <c r="G760" i="2"/>
  <c r="H760" i="2" s="1"/>
  <c r="G321" i="2"/>
  <c r="H321" i="2" s="1"/>
  <c r="G620" i="2"/>
  <c r="H620" i="2" s="1"/>
  <c r="G1001" i="2"/>
  <c r="H1001" i="2" s="1"/>
  <c r="G2923" i="2"/>
  <c r="H2923" i="2" s="1"/>
  <c r="G538" i="2"/>
  <c r="H538" i="2" s="1"/>
  <c r="G2897" i="2"/>
  <c r="H2897" i="2" s="1"/>
  <c r="G468" i="2"/>
  <c r="H468" i="2" s="1"/>
  <c r="G2924" i="2"/>
  <c r="H2924" i="2" s="1"/>
  <c r="G914" i="2"/>
  <c r="H914" i="2" s="1"/>
  <c r="G2934" i="2"/>
  <c r="H2934" i="2" s="1"/>
  <c r="G1093" i="2"/>
  <c r="H1093" i="2" s="1"/>
  <c r="G738" i="2"/>
  <c r="H738" i="2" s="1"/>
  <c r="G1002" i="2"/>
  <c r="H1002" i="2" s="1"/>
  <c r="G355" i="2"/>
  <c r="H355" i="2" s="1"/>
  <c r="G2873" i="2"/>
  <c r="H2873" i="2" s="1"/>
  <c r="G731" i="2"/>
  <c r="H731" i="2" s="1"/>
  <c r="G2856" i="2"/>
  <c r="H2856" i="2" s="1"/>
  <c r="G1048" i="2"/>
  <c r="H1048" i="2" s="1"/>
  <c r="G2805" i="2"/>
  <c r="H2805" i="2" s="1"/>
  <c r="G839" i="2"/>
  <c r="H839" i="2" s="1"/>
  <c r="G1094" i="2"/>
  <c r="H1094" i="2" s="1"/>
  <c r="G401" i="2"/>
  <c r="H401" i="2" s="1"/>
  <c r="G512" i="2"/>
  <c r="H512" i="2" s="1"/>
  <c r="G734" i="2"/>
  <c r="H734" i="2" s="1"/>
  <c r="G2884" i="2"/>
  <c r="H2884" i="2" s="1"/>
  <c r="G735" i="2"/>
  <c r="H735" i="2" s="1"/>
  <c r="G706" i="2"/>
  <c r="H706" i="2" s="1"/>
  <c r="G961" i="2"/>
  <c r="H961" i="2" s="1"/>
  <c r="G932" i="2"/>
  <c r="H932" i="2" s="1"/>
  <c r="G1099" i="2"/>
  <c r="H1099" i="2" s="1"/>
  <c r="G701" i="2"/>
  <c r="H701" i="2" s="1"/>
  <c r="G933" i="2"/>
  <c r="H933" i="2" s="1"/>
  <c r="G533" i="2"/>
  <c r="H533" i="2" s="1"/>
  <c r="G763" i="2"/>
  <c r="H763" i="2" s="1"/>
  <c r="G482" i="2"/>
  <c r="H482" i="2" s="1"/>
  <c r="G481" i="2"/>
  <c r="H481" i="2" s="1"/>
  <c r="G653" i="2"/>
  <c r="H653" i="2" s="1"/>
  <c r="G675" i="2"/>
  <c r="H675" i="2" s="1"/>
  <c r="G891" i="2"/>
  <c r="H891" i="2" s="1"/>
  <c r="G1096" i="2"/>
  <c r="H1096" i="2" s="1"/>
  <c r="G1031" i="2"/>
  <c r="H1031" i="2" s="1"/>
  <c r="G729" i="2"/>
  <c r="H729" i="2" s="1"/>
  <c r="G654" i="2"/>
  <c r="H654" i="2" s="1"/>
  <c r="G591" i="2"/>
  <c r="H591" i="2" s="1"/>
  <c r="G681" i="2"/>
  <c r="H681" i="2" s="1"/>
  <c r="G379" i="2"/>
  <c r="H379" i="2" s="1"/>
  <c r="G1079" i="2"/>
  <c r="H1079" i="2" s="1"/>
  <c r="G953" i="2"/>
  <c r="H953" i="2" s="1"/>
  <c r="G985" i="2"/>
  <c r="H985" i="2" s="1"/>
  <c r="G2858" i="2"/>
  <c r="H2858" i="2" s="1"/>
  <c r="G2796" i="2"/>
  <c r="H2796" i="2" s="1"/>
  <c r="G562" i="2"/>
  <c r="H562" i="2" s="1"/>
  <c r="G2898" i="2"/>
  <c r="H2898" i="2" s="1"/>
  <c r="G785" i="2"/>
  <c r="H785" i="2" s="1"/>
  <c r="G2795" i="2"/>
  <c r="H2795" i="2" s="1"/>
  <c r="G541" i="2"/>
  <c r="H541" i="2" s="1"/>
  <c r="G841" i="2"/>
  <c r="H841" i="2" s="1"/>
  <c r="G690" i="2"/>
  <c r="H690" i="2" s="1"/>
  <c r="G623" i="2"/>
  <c r="H623" i="2" s="1"/>
  <c r="G561" i="2"/>
  <c r="H561" i="2" s="1"/>
  <c r="G649" i="2"/>
  <c r="H649" i="2" s="1"/>
  <c r="G757" i="2"/>
  <c r="H757" i="2" s="1"/>
  <c r="G2900" i="2"/>
  <c r="H2900" i="2" s="1"/>
  <c r="G566" i="2"/>
  <c r="H566" i="2" s="1"/>
  <c r="G1047" i="2"/>
  <c r="H1047" i="2" s="1"/>
  <c r="G958" i="2"/>
  <c r="H958" i="2" s="1"/>
  <c r="G375" i="2"/>
  <c r="H375" i="2" s="1"/>
  <c r="G2885" i="2"/>
  <c r="H2885" i="2" s="1"/>
  <c r="G704" i="2"/>
  <c r="H704" i="2" s="1"/>
  <c r="G730" i="2"/>
  <c r="H730" i="2" s="1"/>
  <c r="G661" i="2"/>
  <c r="H661" i="2" s="1"/>
  <c r="G1055" i="2"/>
  <c r="H1055" i="2" s="1"/>
  <c r="G347" i="2"/>
  <c r="H347" i="2" s="1"/>
  <c r="G980" i="2"/>
  <c r="H980" i="2" s="1"/>
  <c r="G984" i="2"/>
  <c r="H984" i="2" s="1"/>
  <c r="G677" i="2"/>
  <c r="H677" i="2" s="1"/>
  <c r="G888" i="2"/>
  <c r="H888" i="2" s="1"/>
  <c r="G739" i="2"/>
  <c r="H739" i="2" s="1"/>
  <c r="G843" i="2"/>
  <c r="H843" i="2" s="1"/>
  <c r="G1075" i="2"/>
  <c r="H1075" i="2" s="1"/>
  <c r="G537" i="2"/>
  <c r="H537" i="2" s="1"/>
  <c r="G732" i="2"/>
  <c r="H732" i="2" s="1"/>
  <c r="G1008" i="2"/>
  <c r="H1008" i="2" s="1"/>
  <c r="G622" i="2"/>
  <c r="H622" i="2" s="1"/>
  <c r="G787" i="2"/>
  <c r="H787" i="2" s="1"/>
  <c r="G2935" i="2"/>
  <c r="H2935" i="2" s="1"/>
  <c r="G458" i="2"/>
  <c r="H458" i="2" s="1"/>
  <c r="G1052" i="2"/>
  <c r="H1052" i="2" s="1"/>
  <c r="G434" i="2"/>
  <c r="H434" i="2" s="1"/>
  <c r="G2883" i="2"/>
  <c r="H2883" i="2" s="1"/>
  <c r="G890" i="2"/>
  <c r="H890" i="2" s="1"/>
  <c r="G910" i="2"/>
  <c r="H910" i="2" s="1"/>
  <c r="G867" i="2"/>
  <c r="H867" i="2" s="1"/>
  <c r="G1000" i="2"/>
  <c r="H1000" i="2" s="1"/>
  <c r="G1029" i="2"/>
  <c r="H1029" i="2" s="1"/>
  <c r="G2950" i="2"/>
  <c r="H2950" i="2" s="1"/>
  <c r="G404" i="2"/>
  <c r="H404" i="2" s="1"/>
  <c r="G403" i="2"/>
  <c r="H403" i="2" s="1"/>
  <c r="G480" i="2"/>
  <c r="H480" i="2" s="1"/>
  <c r="G1102" i="2"/>
  <c r="H1102" i="2" s="1"/>
  <c r="G2797" i="2"/>
  <c r="H2797" i="2" s="1"/>
  <c r="G1026" i="2"/>
  <c r="H1026" i="2" s="1"/>
  <c r="G1074" i="2"/>
  <c r="H1074" i="2" s="1"/>
  <c r="G2847" i="2"/>
  <c r="H2847" i="2" s="1"/>
  <c r="G646" i="2"/>
  <c r="H646" i="2" s="1"/>
  <c r="G377" i="2"/>
  <c r="H377" i="2" s="1"/>
  <c r="G678" i="2"/>
  <c r="H678" i="2" s="1"/>
  <c r="G858" i="2"/>
  <c r="H858" i="2" s="1"/>
  <c r="G407" i="2"/>
  <c r="H407" i="2" s="1"/>
  <c r="G674" i="2"/>
  <c r="H674" i="2" s="1"/>
  <c r="G861" i="2"/>
  <c r="H861" i="2" s="1"/>
  <c r="G457" i="2"/>
  <c r="H457" i="2" s="1"/>
  <c r="G2909" i="2"/>
  <c r="H2909" i="2" s="1"/>
  <c r="G1035" i="2"/>
  <c r="H1035" i="2" s="1"/>
  <c r="G618" i="2"/>
  <c r="H618" i="2" s="1"/>
  <c r="G860" i="2"/>
  <c r="H860" i="2" s="1"/>
  <c r="G1871" i="2"/>
  <c r="H1871" i="2" s="1"/>
  <c r="G2377" i="2"/>
  <c r="H2377" i="2" s="1"/>
  <c r="G2748" i="2"/>
  <c r="H2748" i="2" s="1"/>
  <c r="G1996" i="2"/>
  <c r="H1996" i="2" s="1"/>
  <c r="G2420" i="2"/>
  <c r="H2420" i="2" s="1"/>
  <c r="G2747" i="2"/>
  <c r="H2747" i="2" s="1"/>
  <c r="G2010" i="2"/>
  <c r="H2010" i="2" s="1"/>
  <c r="G2455" i="2"/>
  <c r="H2455" i="2" s="1"/>
  <c r="G2721" i="2"/>
  <c r="H2721" i="2" s="1"/>
  <c r="G2139" i="2"/>
  <c r="H2139" i="2" s="1"/>
  <c r="G2567" i="2"/>
  <c r="H2567" i="2" s="1"/>
  <c r="G1863" i="2"/>
  <c r="H1863" i="2" s="1"/>
  <c r="G2122" i="2"/>
  <c r="H2122" i="2" s="1"/>
  <c r="G2531" i="2"/>
  <c r="H2531" i="2" s="1"/>
  <c r="G2226" i="2"/>
  <c r="H2226" i="2" s="1"/>
  <c r="G2192" i="2"/>
  <c r="H2192" i="2" s="1"/>
  <c r="G2632" i="2"/>
  <c r="H2632" i="2" s="1"/>
  <c r="G2172" i="2"/>
  <c r="H2172" i="2" s="1"/>
  <c r="G2092" i="2"/>
  <c r="H2092" i="2" s="1"/>
  <c r="G2467" i="2"/>
  <c r="H2467" i="2" s="1"/>
  <c r="G2187" i="2"/>
  <c r="H2187" i="2" s="1"/>
  <c r="G2147" i="2"/>
  <c r="H2147" i="2" s="1"/>
  <c r="G2466" i="2"/>
  <c r="H2466" i="2" s="1"/>
  <c r="G2424" i="2"/>
  <c r="H2424" i="2" s="1"/>
  <c r="G1908" i="2"/>
  <c r="H1908" i="2" s="1"/>
  <c r="G2369" i="2"/>
  <c r="H2369" i="2" s="1"/>
  <c r="G1864" i="2"/>
  <c r="H1864" i="2" s="1"/>
  <c r="G2561" i="2"/>
  <c r="H2561" i="2" s="1"/>
  <c r="G2609" i="2"/>
  <c r="H2609" i="2" s="1"/>
  <c r="G2476" i="2"/>
  <c r="H2476" i="2" s="1"/>
  <c r="G1935" i="2"/>
  <c r="H1935" i="2" s="1"/>
  <c r="G1919" i="2"/>
  <c r="H1919" i="2" s="1"/>
  <c r="G2757" i="2"/>
  <c r="H2757" i="2" s="1"/>
  <c r="G1936" i="2"/>
  <c r="H1936" i="2" s="1"/>
  <c r="G1968" i="2"/>
  <c r="H1968" i="2" s="1"/>
  <c r="G2482" i="2"/>
  <c r="H2482" i="2" s="1"/>
  <c r="G2439" i="2"/>
  <c r="H2439" i="2" s="1"/>
  <c r="G2349" i="2"/>
  <c r="H2349" i="2" s="1"/>
  <c r="G2591" i="2"/>
  <c r="H2591" i="2" s="1"/>
  <c r="G2478" i="2"/>
  <c r="H2478" i="2" s="1"/>
  <c r="G2341" i="2"/>
  <c r="H2341" i="2" s="1"/>
  <c r="G1889" i="2"/>
  <c r="H1889" i="2" s="1"/>
  <c r="G2365" i="2"/>
  <c r="H2365" i="2" s="1"/>
  <c r="G2776" i="2"/>
  <c r="H2776" i="2" s="1"/>
  <c r="G2011" i="2"/>
  <c r="H2011" i="2" s="1"/>
  <c r="G2456" i="2"/>
  <c r="H2456" i="2" s="1"/>
  <c r="G2735" i="2"/>
  <c r="H2735" i="2" s="1"/>
  <c r="G2039" i="2"/>
  <c r="H2039" i="2" s="1"/>
  <c r="G2471" i="2"/>
  <c r="H2471" i="2" s="1"/>
  <c r="G2761" i="2"/>
  <c r="H2761" i="2" s="1"/>
  <c r="G2167" i="2"/>
  <c r="H2167" i="2" s="1"/>
  <c r="G2634" i="2"/>
  <c r="H2634" i="2" s="1"/>
  <c r="G2087" i="2"/>
  <c r="H2087" i="2" s="1"/>
  <c r="G2150" i="2"/>
  <c r="H2150" i="2" s="1"/>
  <c r="G2518" i="2"/>
  <c r="H2518" i="2" s="1"/>
  <c r="G2395" i="2"/>
  <c r="H2395" i="2" s="1"/>
  <c r="G2248" i="2"/>
  <c r="H2248" i="2" s="1"/>
  <c r="G2673" i="2"/>
  <c r="H2673" i="2" s="1"/>
  <c r="G2270" i="2"/>
  <c r="H2270" i="2" s="1"/>
  <c r="G2148" i="2"/>
  <c r="H2148" i="2" s="1"/>
  <c r="G2528" i="2"/>
  <c r="H2528" i="2" s="1"/>
  <c r="G2324" i="2"/>
  <c r="H2324" i="2" s="1"/>
  <c r="G2175" i="2"/>
  <c r="H2175" i="2" s="1"/>
  <c r="G2497" i="2"/>
  <c r="H2497" i="2" s="1"/>
  <c r="G2425" i="2"/>
  <c r="H2425" i="2" s="1"/>
  <c r="G2685" i="2"/>
  <c r="H2685" i="2" s="1"/>
  <c r="G2244" i="2"/>
  <c r="H2244" i="2" s="1"/>
  <c r="G2683" i="2"/>
  <c r="H2683" i="2" s="1"/>
  <c r="G2021" i="2"/>
  <c r="H2021" i="2" s="1"/>
  <c r="G2431" i="2"/>
  <c r="H2431" i="2" s="1"/>
  <c r="G2646" i="2"/>
  <c r="H2646" i="2" s="1"/>
  <c r="G2532" i="2"/>
  <c r="H2532" i="2" s="1"/>
  <c r="G1943" i="2"/>
  <c r="H1943" i="2" s="1"/>
  <c r="G2421" i="2"/>
  <c r="H2421" i="2" s="1"/>
  <c r="G2722" i="2"/>
  <c r="H2722" i="2" s="1"/>
  <c r="G2040" i="2"/>
  <c r="H2040" i="2" s="1"/>
  <c r="G2503" i="2"/>
  <c r="H2503" i="2" s="1"/>
  <c r="G2775" i="2"/>
  <c r="H2775" i="2" s="1"/>
  <c r="G2096" i="2"/>
  <c r="H2096" i="2" s="1"/>
  <c r="G2490" i="2"/>
  <c r="H2490" i="2" s="1"/>
  <c r="G2784" i="2"/>
  <c r="H2784" i="2" s="1"/>
  <c r="G2238" i="2"/>
  <c r="H2238" i="2" s="1"/>
  <c r="G2650" i="2"/>
  <c r="H2650" i="2" s="1"/>
  <c r="G2269" i="2"/>
  <c r="H2269" i="2" s="1"/>
  <c r="G2138" i="2"/>
  <c r="H2138" i="2" s="1"/>
  <c r="G2543" i="2"/>
  <c r="H2543" i="2" s="1"/>
  <c r="G2493" i="2"/>
  <c r="H2493" i="2" s="1"/>
  <c r="G2263" i="2"/>
  <c r="H2263" i="2" s="1"/>
  <c r="G2661" i="2"/>
  <c r="H2661" i="2" s="1"/>
  <c r="G2549" i="2"/>
  <c r="H2549" i="2" s="1"/>
  <c r="G2136" i="2"/>
  <c r="H2136" i="2" s="1"/>
  <c r="G2672" i="2"/>
  <c r="H2672" i="2" s="1"/>
  <c r="G2475" i="2"/>
  <c r="H2475" i="2" s="1"/>
  <c r="G2190" i="2"/>
  <c r="H2190" i="2" s="1"/>
  <c r="G2515" i="2"/>
  <c r="H2515" i="2" s="1"/>
  <c r="G2698" i="2"/>
  <c r="H2698" i="2" s="1"/>
  <c r="G1989" i="2"/>
  <c r="H1989" i="2" s="1"/>
  <c r="G2452" i="2"/>
  <c r="H2452" i="2" s="1"/>
  <c r="G1946" i="2"/>
  <c r="H1946" i="2" s="1"/>
  <c r="G2351" i="2"/>
  <c r="H2351" i="2" s="1"/>
  <c r="G2720" i="2"/>
  <c r="H2720" i="2" s="1"/>
  <c r="G2071" i="2"/>
  <c r="H2071" i="2" s="1"/>
  <c r="G1888" i="2"/>
  <c r="H1888" i="2" s="1"/>
  <c r="G2665" i="2"/>
  <c r="H2665" i="2" s="1"/>
  <c r="G2063" i="2"/>
  <c r="H2063" i="2" s="1"/>
  <c r="G2035" i="2"/>
  <c r="H2035" i="2" s="1"/>
  <c r="G2298" i="2"/>
  <c r="H2298" i="2" s="1"/>
  <c r="G2728" i="2"/>
  <c r="H2728" i="2" s="1"/>
  <c r="G1958" i="2"/>
  <c r="H1958" i="2" s="1"/>
  <c r="G2429" i="2"/>
  <c r="H2429" i="2" s="1"/>
  <c r="G2697" i="2"/>
  <c r="H2697" i="2" s="1"/>
  <c r="G2097" i="2"/>
  <c r="H2097" i="2" s="1"/>
  <c r="G2521" i="2"/>
  <c r="H2521" i="2" s="1"/>
  <c r="G2762" i="2"/>
  <c r="H2762" i="2" s="1"/>
  <c r="G2124" i="2"/>
  <c r="H2124" i="2" s="1"/>
  <c r="G2545" i="2"/>
  <c r="H2545" i="2" s="1"/>
  <c r="G2759" i="2"/>
  <c r="H2759" i="2" s="1"/>
  <c r="G2265" i="2"/>
  <c r="H2265" i="2" s="1"/>
  <c r="G2692" i="2"/>
  <c r="H2692" i="2" s="1"/>
  <c r="G2430" i="2"/>
  <c r="H2430" i="2" s="1"/>
  <c r="G2193" i="2"/>
  <c r="H2193" i="2" s="1"/>
  <c r="G2566" i="2"/>
  <c r="H2566" i="2" s="1"/>
  <c r="G1896" i="2"/>
  <c r="H1896" i="2" s="1"/>
  <c r="G2290" i="2"/>
  <c r="H2290" i="2" s="1"/>
  <c r="G2648" i="2"/>
  <c r="H2648" i="2" s="1"/>
  <c r="G2614" i="2"/>
  <c r="H2614" i="2" s="1"/>
  <c r="G2164" i="2"/>
  <c r="H2164" i="2" s="1"/>
  <c r="G2660" i="2"/>
  <c r="H2660" i="2" s="1"/>
  <c r="G2586" i="2"/>
  <c r="H2586" i="2" s="1"/>
  <c r="G2218" i="2"/>
  <c r="H2218" i="2" s="1"/>
  <c r="G2540" i="2"/>
  <c r="H2540" i="2" s="1"/>
  <c r="G2116" i="2"/>
  <c r="H2116" i="2" s="1"/>
  <c r="G2045" i="2"/>
  <c r="H2045" i="2" s="1"/>
  <c r="G2496" i="2"/>
  <c r="H2496" i="2" s="1"/>
  <c r="G1961" i="2"/>
  <c r="H1961" i="2" s="1"/>
  <c r="G2450" i="2"/>
  <c r="H2450" i="2" s="1"/>
  <c r="G2562" i="2"/>
  <c r="H2562" i="2" s="1"/>
  <c r="I2562" i="2" s="1"/>
  <c r="G2589" i="2"/>
  <c r="H2589" i="2" s="1"/>
  <c r="G2033" i="2"/>
  <c r="H2033" i="2" s="1"/>
  <c r="G1988" i="2"/>
  <c r="H1988" i="2" s="1"/>
  <c r="G2507" i="2"/>
  <c r="H2507" i="2" s="1"/>
  <c r="G2370" i="2"/>
  <c r="H2370" i="2" s="1"/>
  <c r="G2392" i="2"/>
  <c r="H2392" i="2" s="1"/>
  <c r="G2707" i="2"/>
  <c r="H2707" i="2" s="1"/>
  <c r="G2480" i="2"/>
  <c r="H2480" i="2" s="1"/>
  <c r="G1985" i="2"/>
  <c r="H1985" i="2" s="1"/>
  <c r="G2505" i="2"/>
  <c r="H2505" i="2" s="1"/>
  <c r="G2738" i="2"/>
  <c r="H2738" i="2" s="1"/>
  <c r="G2085" i="2"/>
  <c r="H2085" i="2" s="1"/>
  <c r="G2546" i="2"/>
  <c r="H2546" i="2" s="1"/>
  <c r="G2684" i="2"/>
  <c r="H2684" i="2" s="1"/>
  <c r="G2168" i="2"/>
  <c r="H2168" i="2" s="1"/>
  <c r="G2568" i="2"/>
  <c r="H2568" i="2" s="1"/>
  <c r="G2396" i="2"/>
  <c r="H2396" i="2" s="1"/>
  <c r="G2319" i="2"/>
  <c r="H2319" i="2" s="1"/>
  <c r="G2745" i="2"/>
  <c r="H2745" i="2" s="1"/>
  <c r="G2708" i="2"/>
  <c r="H2708" i="2" s="1"/>
  <c r="G2249" i="2"/>
  <c r="H2249" i="2" s="1"/>
  <c r="G2592" i="2"/>
  <c r="H2592" i="2" s="1"/>
  <c r="G1911" i="2"/>
  <c r="H1911" i="2" s="1"/>
  <c r="G2344" i="2"/>
  <c r="H2344" i="2" s="1"/>
  <c r="G2702" i="2"/>
  <c r="H2702" i="2" s="1"/>
  <c r="G1944" i="2"/>
  <c r="H1944" i="2" s="1"/>
  <c r="G2219" i="2"/>
  <c r="H2219" i="2" s="1"/>
  <c r="G2647" i="2"/>
  <c r="H2647" i="2" s="1"/>
  <c r="G2198" i="2"/>
  <c r="H2198" i="2" s="1"/>
  <c r="G2273" i="2"/>
  <c r="H2273" i="2" s="1"/>
  <c r="G2215" i="2"/>
  <c r="H2215" i="2" s="1"/>
  <c r="G2526" i="2"/>
  <c r="H2526" i="2" s="1"/>
  <c r="G2338" i="2"/>
  <c r="H2338" i="2" s="1"/>
  <c r="G2670" i="2"/>
  <c r="H2670" i="2" s="1"/>
  <c r="G2551" i="2"/>
  <c r="H2551" i="2" s="1"/>
  <c r="G2348" i="2"/>
  <c r="H2348" i="2" s="1"/>
  <c r="G2111" i="2"/>
  <c r="H2111" i="2" s="1"/>
  <c r="G2500" i="2"/>
  <c r="H2500" i="2" s="1"/>
  <c r="G2013" i="2"/>
  <c r="H2013" i="2" s="1"/>
  <c r="G1918" i="2"/>
  <c r="H1918" i="2" s="1"/>
  <c r="G2060" i="2"/>
  <c r="H2060" i="2" s="1"/>
  <c r="G1893" i="2"/>
  <c r="H1893" i="2" s="1"/>
  <c r="G2464" i="2"/>
  <c r="H2464" i="2" s="1"/>
  <c r="G2070" i="2"/>
  <c r="H2070" i="2" s="1"/>
  <c r="G2492" i="2"/>
  <c r="H2492" i="2" s="1"/>
  <c r="G2766" i="2"/>
  <c r="H2766" i="2" s="1"/>
  <c r="G2113" i="2"/>
  <c r="H2113" i="2" s="1"/>
  <c r="G2569" i="2"/>
  <c r="H2569" i="2" s="1"/>
  <c r="G2725" i="2"/>
  <c r="H2725" i="2" s="1"/>
  <c r="G2223" i="2"/>
  <c r="H2223" i="2" s="1"/>
  <c r="G2635" i="2"/>
  <c r="H2635" i="2" s="1"/>
  <c r="G1986" i="2"/>
  <c r="H1986" i="2" s="1"/>
  <c r="G2374" i="2"/>
  <c r="H2374" i="2" s="1"/>
  <c r="G2633" i="2"/>
  <c r="H2633" i="2" s="1"/>
  <c r="G1868" i="2"/>
  <c r="H1868" i="2" s="1"/>
  <c r="G2276" i="2"/>
  <c r="H2276" i="2" s="1"/>
  <c r="G2674" i="2"/>
  <c r="H2674" i="2" s="1"/>
  <c r="G1938" i="2"/>
  <c r="H1938" i="2" s="1"/>
  <c r="G2389" i="2"/>
  <c r="H2389" i="2" s="1"/>
  <c r="G2743" i="2"/>
  <c r="H2743" i="2" s="1"/>
  <c r="G2613" i="2"/>
  <c r="H2613" i="2" s="1"/>
  <c r="G2274" i="2"/>
  <c r="H2274" i="2" s="1"/>
  <c r="G2701" i="2"/>
  <c r="H2701" i="2" s="1"/>
  <c r="G1894" i="2"/>
  <c r="H1894" i="2" s="1"/>
  <c r="G2288" i="2"/>
  <c r="H2288" i="2" s="1"/>
  <c r="G2618" i="2"/>
  <c r="H2618" i="2" s="1"/>
  <c r="G2627" i="2"/>
  <c r="H2627" i="2" s="1"/>
  <c r="G2062" i="2"/>
  <c r="H2062" i="2" s="1"/>
  <c r="G2552" i="2"/>
  <c r="H2552" i="2" s="1"/>
  <c r="G2073" i="2"/>
  <c r="H2073" i="2" s="1"/>
  <c r="G1971" i="2"/>
  <c r="H1971" i="2" s="1"/>
  <c r="G2744" i="2"/>
  <c r="H2744" i="2" s="1"/>
  <c r="G2669" i="2"/>
  <c r="H2669" i="2" s="1"/>
  <c r="G2771" i="2"/>
  <c r="H2771" i="2" s="1"/>
  <c r="G2316" i="2"/>
  <c r="H2316" i="2" s="1"/>
  <c r="G2506" i="2"/>
  <c r="H2506" i="2" s="1"/>
  <c r="G2008" i="2"/>
  <c r="H2008" i="2" s="1"/>
  <c r="G2121" i="2"/>
  <c r="H2121" i="2" s="1"/>
  <c r="G2542" i="2"/>
  <c r="H2542" i="2" s="1"/>
  <c r="G2018" i="2"/>
  <c r="H2018" i="2" s="1"/>
  <c r="G2442" i="2"/>
  <c r="H2442" i="2" s="1"/>
  <c r="G2599" i="2"/>
  <c r="H2599" i="2" s="1"/>
  <c r="G2114" i="2"/>
  <c r="H2114" i="2" s="1"/>
  <c r="G2522" i="2"/>
  <c r="H2522" i="2" s="1"/>
  <c r="G2323" i="2"/>
  <c r="H2323" i="2" s="1"/>
  <c r="G2141" i="2"/>
  <c r="H2141" i="2" s="1"/>
  <c r="G2595" i="2"/>
  <c r="H2595" i="2" s="1"/>
  <c r="G2099" i="2"/>
  <c r="H2099" i="2" s="1"/>
  <c r="G2251" i="2"/>
  <c r="H2251" i="2" s="1"/>
  <c r="G2623" i="2"/>
  <c r="H2623" i="2" s="1"/>
  <c r="G1869" i="2"/>
  <c r="H1869" i="2" s="1"/>
  <c r="G2391" i="2"/>
  <c r="H2391" i="2" s="1"/>
  <c r="G2691" i="2"/>
  <c r="H2691" i="2" s="1"/>
  <c r="G1858" i="2"/>
  <c r="H1858" i="2" s="1"/>
  <c r="G2291" i="2"/>
  <c r="H2291" i="2" s="1"/>
  <c r="G2772" i="2"/>
  <c r="H2772" i="2" s="1"/>
  <c r="G2019" i="2"/>
  <c r="H2019" i="2" s="1"/>
  <c r="G2416" i="2"/>
  <c r="H2416" i="2" s="1"/>
  <c r="G2783" i="2"/>
  <c r="H2783" i="2" s="1"/>
  <c r="G2655" i="2"/>
  <c r="H2655" i="2" s="1"/>
  <c r="G2301" i="2"/>
  <c r="H2301" i="2" s="1"/>
  <c r="G2688" i="2"/>
  <c r="H2688" i="2" s="1"/>
  <c r="G1921" i="2"/>
  <c r="H1921" i="2" s="1"/>
  <c r="G2315" i="2"/>
  <c r="H2315" i="2" s="1"/>
  <c r="G2671" i="2"/>
  <c r="H2671" i="2" s="1"/>
  <c r="G2709" i="2"/>
  <c r="H2709" i="2" s="1"/>
  <c r="G2162" i="2"/>
  <c r="H2162" i="2" s="1"/>
  <c r="G2574" i="2"/>
  <c r="H2574" i="2" s="1"/>
  <c r="G2117" i="2"/>
  <c r="H2117" i="2" s="1"/>
  <c r="G2214" i="2"/>
  <c r="H2214" i="2" s="1"/>
  <c r="G2445" i="2"/>
  <c r="H2445" i="2" s="1"/>
  <c r="G1885" i="2"/>
  <c r="H1885" i="2" s="1"/>
  <c r="G2345" i="2"/>
  <c r="H2345" i="2" s="1"/>
  <c r="G1883" i="2"/>
  <c r="H1883" i="2" s="1"/>
  <c r="G2782" i="2"/>
  <c r="H2782" i="2" s="1"/>
  <c r="G2295" i="2"/>
  <c r="H2295" i="2" s="1"/>
  <c r="G2326" i="2"/>
  <c r="H2326" i="2" s="1"/>
  <c r="G1969" i="2"/>
  <c r="H1969" i="2" s="1"/>
  <c r="G2091" i="2"/>
  <c r="H2091" i="2" s="1"/>
  <c r="G2142" i="2"/>
  <c r="H2142" i="2" s="1"/>
  <c r="G2570" i="2"/>
  <c r="H2570" i="2" s="1"/>
  <c r="G2449" i="2"/>
  <c r="H2449" i="2" s="1"/>
  <c r="G2224" i="2"/>
  <c r="H2224" i="2" s="1"/>
  <c r="G2636" i="2"/>
  <c r="H2636" i="2" s="1"/>
  <c r="G2366" i="2"/>
  <c r="H2366" i="2" s="1"/>
  <c r="G2266" i="2"/>
  <c r="H2266" i="2" s="1"/>
  <c r="G2610" i="2"/>
  <c r="H2610" i="2" s="1"/>
  <c r="G1886" i="2"/>
  <c r="H1886" i="2" s="1"/>
  <c r="G2048" i="2"/>
  <c r="H2048" i="2" s="1"/>
  <c r="G2481" i="2"/>
  <c r="H2481" i="2" s="1"/>
  <c r="G2687" i="2"/>
  <c r="H2687" i="2" s="1"/>
  <c r="G2189" i="2"/>
  <c r="H2189" i="2" s="1"/>
  <c r="G2588" i="2"/>
  <c r="H2588" i="2" s="1"/>
  <c r="G2200" i="2"/>
  <c r="H2200" i="2" s="1"/>
  <c r="G2617" i="2"/>
  <c r="H2617" i="2" s="1"/>
  <c r="G2313" i="2"/>
  <c r="H2313" i="2" s="1"/>
  <c r="G2654" i="2"/>
  <c r="H2654" i="2" s="1"/>
  <c r="G2294" i="2"/>
  <c r="H2294" i="2" s="1"/>
  <c r="G2746" i="2"/>
  <c r="H2746" i="2" s="1"/>
  <c r="G1933" i="2"/>
  <c r="H1933" i="2" s="1"/>
  <c r="G2441" i="2"/>
  <c r="H2441" i="2" s="1"/>
  <c r="G2765" i="2"/>
  <c r="H2765" i="2" s="1"/>
  <c r="G2711" i="2"/>
  <c r="H2711" i="2" s="1"/>
  <c r="G2706" i="2"/>
  <c r="H2706" i="2" s="1"/>
  <c r="G2165" i="2"/>
  <c r="H2165" i="2" s="1"/>
  <c r="G2197" i="2"/>
  <c r="H2197" i="2" s="1"/>
  <c r="G2596" i="2"/>
  <c r="H2596" i="2" s="1"/>
  <c r="G2571" i="2"/>
  <c r="H2571" i="2" s="1"/>
  <c r="G2212" i="2"/>
  <c r="H2212" i="2" s="1"/>
  <c r="G2624" i="2"/>
  <c r="H2624" i="2" s="1"/>
  <c r="G1860" i="2"/>
  <c r="H1860" i="2" s="1"/>
  <c r="G2320" i="2"/>
  <c r="H2320" i="2" s="1"/>
  <c r="G2664" i="2"/>
  <c r="H2664" i="2" s="1"/>
  <c r="G1913" i="2"/>
  <c r="H1913" i="2" s="1"/>
  <c r="G2454" i="2"/>
  <c r="H2454" i="2" s="1"/>
  <c r="G2628" i="2"/>
  <c r="H2628" i="2" s="1"/>
  <c r="G1939" i="2"/>
  <c r="H1939" i="2" s="1"/>
  <c r="G2402" i="2"/>
  <c r="H2402" i="2" s="1"/>
  <c r="G2739" i="2"/>
  <c r="H2739" i="2" s="1"/>
  <c r="G2036" i="2"/>
  <c r="H2036" i="2" s="1"/>
  <c r="G2530" i="2"/>
  <c r="H2530" i="2" s="1"/>
  <c r="G2758" i="2"/>
  <c r="H2758" i="2" s="1"/>
  <c r="G1910" i="2"/>
  <c r="H1910" i="2" s="1"/>
  <c r="G2400" i="2"/>
  <c r="H2400" i="2" s="1"/>
  <c r="G2525" i="2"/>
  <c r="H2525" i="2" s="1"/>
  <c r="G1963" i="2"/>
  <c r="H1963" i="2" s="1"/>
  <c r="G2399" i="2"/>
  <c r="H2399" i="2" s="1"/>
  <c r="G2729" i="2"/>
  <c r="H2729" i="2" s="1"/>
  <c r="G2598" i="2"/>
  <c r="H2598" i="2" s="1"/>
  <c r="G2245" i="2"/>
  <c r="H2245" i="2" s="1"/>
  <c r="G2501" i="2"/>
  <c r="H2501" i="2" s="1"/>
  <c r="G2173" i="2"/>
  <c r="H2173" i="2" s="1"/>
  <c r="G2446" i="2"/>
  <c r="H2446" i="2" s="1"/>
  <c r="G2241" i="2"/>
  <c r="H2241" i="2" s="1"/>
  <c r="G2637" i="2"/>
  <c r="H2637" i="2" s="1"/>
  <c r="G1861" i="2"/>
  <c r="H1861" i="2" s="1"/>
  <c r="G2240" i="2"/>
  <c r="H2240" i="2" s="1"/>
  <c r="G2611" i="2"/>
  <c r="H2611" i="2" s="1"/>
  <c r="G1914" i="2"/>
  <c r="H1914" i="2" s="1"/>
  <c r="G2375" i="2"/>
  <c r="H2375" i="2" s="1"/>
  <c r="G2651" i="2"/>
  <c r="H2651" i="2" s="1"/>
  <c r="G1994" i="2"/>
  <c r="H1994" i="2" s="1"/>
  <c r="G2470" i="2"/>
  <c r="H2470" i="2" s="1"/>
  <c r="G1960" i="2"/>
  <c r="H1960" i="2" s="1"/>
  <c r="G1993" i="2"/>
  <c r="H1993" i="2" s="1"/>
  <c r="G2417" i="2"/>
  <c r="H2417" i="2" s="1"/>
  <c r="G2014" i="2"/>
  <c r="H2014" i="2" s="1"/>
  <c r="G2065" i="2"/>
  <c r="H2065" i="2" s="1"/>
  <c r="G2517" i="2"/>
  <c r="H2517" i="2" s="1"/>
  <c r="G2340" i="2"/>
  <c r="H2340" i="2" s="1"/>
  <c r="G1964" i="2"/>
  <c r="H1964" i="2" s="1"/>
  <c r="G2427" i="2"/>
  <c r="H2427" i="2" s="1"/>
  <c r="G2710" i="2"/>
  <c r="H2710" i="2" s="1"/>
  <c r="G2046" i="2"/>
  <c r="H2046" i="2" s="1"/>
  <c r="G2414" i="2"/>
  <c r="H2414" i="2" s="1"/>
  <c r="G2781" i="2"/>
  <c r="H2781" i="2" s="1"/>
  <c r="G2724" i="2"/>
  <c r="H2724" i="2" s="1"/>
  <c r="G2299" i="2"/>
  <c r="H2299" i="2" s="1"/>
  <c r="G2088" i="2"/>
  <c r="H2088" i="2" s="1"/>
  <c r="G1983" i="2"/>
  <c r="H1983" i="2" s="1"/>
  <c r="G2734" i="2"/>
  <c r="H2734" i="2" s="1"/>
  <c r="G2066" i="2"/>
  <c r="H2066" i="2" s="1"/>
  <c r="G2163" i="2"/>
  <c r="H2163" i="2" s="1"/>
  <c r="G2364" i="2"/>
  <c r="H2364" i="2" s="1"/>
  <c r="G2289" i="2"/>
  <c r="H2289" i="2" s="1"/>
  <c r="G2415" i="2"/>
  <c r="H2415" i="2" s="1"/>
  <c r="G2188" i="2"/>
  <c r="H2188" i="2" s="1"/>
  <c r="G2264" i="2"/>
  <c r="H2264" i="2" s="1"/>
  <c r="G2239" i="2"/>
  <c r="H2239" i="2" s="1"/>
  <c r="G2440" i="2"/>
  <c r="H2440" i="2" s="1"/>
  <c r="G2137" i="2"/>
  <c r="H2137" i="2" s="1"/>
  <c r="G2112" i="2"/>
  <c r="H2112" i="2" s="1"/>
  <c r="G2491" i="2"/>
  <c r="H2491" i="2" s="1"/>
  <c r="G2465" i="2"/>
  <c r="H2465" i="2" s="1"/>
  <c r="G2516" i="2"/>
  <c r="H2516" i="2" s="1"/>
  <c r="G2314" i="2"/>
  <c r="H2314" i="2" s="1"/>
  <c r="G2213" i="2"/>
  <c r="H2213" i="2" s="1"/>
  <c r="G2339" i="2"/>
  <c r="H2339" i="2" s="1"/>
  <c r="G2390" i="2"/>
  <c r="H2390" i="2" s="1"/>
  <c r="G1959" i="2"/>
  <c r="H1959" i="2" s="1"/>
  <c r="G1859" i="2"/>
  <c r="H1859" i="2" s="1"/>
  <c r="G2034" i="2"/>
  <c r="H2034" i="2" s="1"/>
  <c r="G2587" i="2"/>
  <c r="H2587" i="2" s="1"/>
  <c r="G2086" i="2"/>
  <c r="H2086" i="2" s="1"/>
  <c r="G2061" i="2"/>
  <c r="H2061" i="2" s="1"/>
  <c r="G1884" i="2"/>
  <c r="H1884" i="2" s="1"/>
  <c r="G2009" i="2"/>
  <c r="H2009" i="2" s="1"/>
  <c r="G1909" i="2"/>
  <c r="H1909" i="2" s="1"/>
  <c r="G1934" i="2"/>
  <c r="H1934" i="2" s="1"/>
  <c r="G1984" i="2"/>
  <c r="H1984" i="2" s="1"/>
  <c r="G2541" i="2"/>
  <c r="H2541" i="2" s="1"/>
  <c r="G220" i="2"/>
  <c r="H220" i="2" s="1"/>
  <c r="G204" i="2"/>
  <c r="H204" i="2" s="1"/>
  <c r="G236" i="2"/>
  <c r="H236" i="2" s="1"/>
  <c r="G172" i="2"/>
  <c r="H172" i="2" s="1"/>
  <c r="G188" i="2"/>
  <c r="H188" i="2" s="1"/>
  <c r="G268" i="2"/>
  <c r="H268" i="2" s="1"/>
  <c r="G252" i="2"/>
  <c r="H252" i="2" s="1"/>
  <c r="G1181" i="2"/>
  <c r="H1181" i="2" s="1"/>
  <c r="G1263" i="2"/>
  <c r="H1263" i="2" s="1"/>
  <c r="G1363" i="2"/>
  <c r="H1363" i="2" s="1"/>
  <c r="I1363" i="2" s="1"/>
  <c r="G1283" i="2"/>
  <c r="H1283" i="2" s="1"/>
  <c r="I1283" i="2" s="1"/>
  <c r="G1678" i="2"/>
  <c r="H1678" i="2" s="1"/>
  <c r="I1678" i="2" s="1"/>
  <c r="G1303" i="2"/>
  <c r="H1303" i="2" s="1"/>
  <c r="G1141" i="2"/>
  <c r="H1141" i="2" s="1"/>
  <c r="I1141" i="2" s="1"/>
  <c r="G1323" i="2"/>
  <c r="H1323" i="2" s="1"/>
  <c r="G1600" i="2"/>
  <c r="H1600" i="2" s="1"/>
  <c r="I1600" i="2" s="1"/>
  <c r="G1242" i="2"/>
  <c r="H1242" i="2" s="1"/>
  <c r="G1343" i="2"/>
  <c r="H1343" i="2" s="1"/>
  <c r="I1343" i="2" s="1"/>
  <c r="G1403" i="2"/>
  <c r="H1403" i="2" s="1"/>
  <c r="I1403" i="2" s="1"/>
  <c r="G1161" i="2"/>
  <c r="H1161" i="2" s="1"/>
  <c r="G1503" i="2"/>
  <c r="H1503" i="2" s="1"/>
  <c r="I1503" i="2" s="1"/>
  <c r="G1639" i="2"/>
  <c r="H1639" i="2" s="1"/>
  <c r="G1443" i="2"/>
  <c r="H1443" i="2" s="1"/>
  <c r="I1443" i="2" s="1"/>
  <c r="G1121" i="2"/>
  <c r="H1121" i="2" s="1"/>
  <c r="G1581" i="2"/>
  <c r="H1581" i="2" s="1"/>
  <c r="I1581" i="2" s="1"/>
  <c r="G1221" i="2"/>
  <c r="H1221" i="2" s="1"/>
  <c r="G1522" i="2"/>
  <c r="H1522" i="2" s="1"/>
  <c r="I1522" i="2" s="1"/>
  <c r="G1463" i="2"/>
  <c r="H1463" i="2" s="1"/>
  <c r="I1463" i="2" s="1"/>
  <c r="G1542" i="2"/>
  <c r="H1542" i="2" s="1"/>
  <c r="I1542" i="2" s="1"/>
  <c r="G1423" i="2"/>
  <c r="H1423" i="2" s="1"/>
  <c r="I1423" i="2" s="1"/>
  <c r="G1698" i="2"/>
  <c r="H1698" i="2" s="1"/>
  <c r="I1698" i="2" s="1"/>
  <c r="G1717" i="2"/>
  <c r="H1717" i="2" s="1"/>
  <c r="I1717" i="2" s="1"/>
  <c r="G1201" i="2"/>
  <c r="H1201" i="2" s="1"/>
  <c r="G1483" i="2"/>
  <c r="H1483" i="2" s="1"/>
  <c r="I1483" i="2" s="1"/>
  <c r="G1383" i="2"/>
  <c r="H1383" i="2" s="1"/>
  <c r="I1383" i="2" s="1"/>
  <c r="G1561" i="2"/>
  <c r="H1561" i="2" s="1"/>
  <c r="G1620" i="2"/>
  <c r="H1620" i="2" s="1"/>
  <c r="I1620" i="2" s="1"/>
  <c r="G1659" i="2"/>
  <c r="H1659" i="2" s="1"/>
  <c r="I1659" i="2" s="1"/>
  <c r="G302" i="2"/>
  <c r="G1784" i="2"/>
  <c r="C5" i="18"/>
  <c r="C100" i="18"/>
  <c r="G99" i="18"/>
  <c r="E98" i="18"/>
  <c r="E97" i="18"/>
  <c r="G96" i="18"/>
  <c r="C93" i="18"/>
  <c r="G92" i="18"/>
  <c r="E91" i="18"/>
  <c r="G91" i="18" s="1"/>
  <c r="E90" i="18"/>
  <c r="G89" i="18"/>
  <c r="C86" i="18"/>
  <c r="G85" i="18"/>
  <c r="E84" i="18"/>
  <c r="E83" i="18"/>
  <c r="G82" i="18"/>
  <c r="G78" i="18"/>
  <c r="E77" i="18"/>
  <c r="G76" i="18"/>
  <c r="E76" i="18"/>
  <c r="G75" i="18"/>
  <c r="C72" i="18"/>
  <c r="G71" i="18"/>
  <c r="E70" i="18"/>
  <c r="E69" i="18"/>
  <c r="G68" i="18"/>
  <c r="C65" i="18"/>
  <c r="G64" i="18"/>
  <c r="E63" i="18"/>
  <c r="E62" i="18"/>
  <c r="G61" i="18"/>
  <c r="G57" i="18"/>
  <c r="E56" i="18"/>
  <c r="E55" i="18"/>
  <c r="G54" i="18"/>
  <c r="G50" i="18"/>
  <c r="E49" i="18"/>
  <c r="E48" i="18"/>
  <c r="G47" i="18"/>
  <c r="G43" i="18"/>
  <c r="E42" i="18"/>
  <c r="E41" i="18"/>
  <c r="G40" i="18"/>
  <c r="G36" i="18"/>
  <c r="E35" i="18"/>
  <c r="E34" i="18"/>
  <c r="G33" i="18"/>
  <c r="G29" i="18"/>
  <c r="E28" i="18"/>
  <c r="E27" i="18"/>
  <c r="G26" i="18"/>
  <c r="G22" i="18"/>
  <c r="E21" i="18"/>
  <c r="E20" i="18"/>
  <c r="G19" i="18"/>
  <c r="G15" i="18"/>
  <c r="G14" i="18"/>
  <c r="E14" i="18"/>
  <c r="E13" i="18"/>
  <c r="G12" i="18"/>
  <c r="G8" i="18"/>
  <c r="E7" i="18"/>
  <c r="E6" i="18"/>
  <c r="G121" i="17"/>
  <c r="G120" i="17"/>
  <c r="G119" i="17"/>
  <c r="G118" i="17"/>
  <c r="G117" i="17"/>
  <c r="G116" i="17"/>
  <c r="G112" i="17"/>
  <c r="G111" i="17"/>
  <c r="F13" i="19" s="1"/>
  <c r="G110" i="17"/>
  <c r="G109" i="17"/>
  <c r="G108" i="17"/>
  <c r="G107" i="17"/>
  <c r="G106" i="17"/>
  <c r="G105" i="17"/>
  <c r="G104" i="17"/>
  <c r="G103" i="17"/>
  <c r="G102" i="17"/>
  <c r="G101" i="17"/>
  <c r="G100" i="17"/>
  <c r="G99" i="17"/>
  <c r="G98" i="17"/>
  <c r="G97" i="17"/>
  <c r="G96" i="17"/>
  <c r="F5" i="18" s="1"/>
  <c r="G5" i="18" s="1"/>
  <c r="G95" i="17"/>
  <c r="G94" i="17"/>
  <c r="G93" i="17"/>
  <c r="G92" i="17"/>
  <c r="G91" i="17"/>
  <c r="G90" i="17"/>
  <c r="I1561" i="2" l="1"/>
  <c r="I1862" i="2"/>
  <c r="I1263" i="2"/>
  <c r="I1887" i="2"/>
  <c r="I2367" i="2"/>
  <c r="E130" i="5"/>
  <c r="G130" i="5" s="1"/>
  <c r="E128" i="5"/>
  <c r="E129" i="5"/>
  <c r="E127" i="5"/>
  <c r="G127" i="5" s="1"/>
  <c r="H2579" i="2"/>
  <c r="E121" i="5"/>
  <c r="E122" i="5"/>
  <c r="E119" i="5"/>
  <c r="E118" i="5"/>
  <c r="E123" i="5"/>
  <c r="E120" i="5"/>
  <c r="I1121" i="2"/>
  <c r="E147" i="5"/>
  <c r="G147" i="5" s="1"/>
  <c r="E148" i="5"/>
  <c r="E144" i="5"/>
  <c r="E146" i="5"/>
  <c r="G146" i="5" s="1"/>
  <c r="E135" i="5"/>
  <c r="I889" i="2"/>
  <c r="I842" i="2"/>
  <c r="E133" i="5"/>
  <c r="E134" i="5"/>
  <c r="E149" i="5"/>
  <c r="G149" i="5" s="1"/>
  <c r="I1097" i="2"/>
  <c r="I1077" i="2"/>
  <c r="I1050" i="2"/>
  <c r="I983" i="2"/>
  <c r="I1030" i="2"/>
  <c r="I1003" i="2"/>
  <c r="I956" i="2"/>
  <c r="I936" i="2"/>
  <c r="I909" i="2"/>
  <c r="I862" i="2"/>
  <c r="I815" i="2"/>
  <c r="I788" i="2"/>
  <c r="I761" i="2"/>
  <c r="I733" i="2"/>
  <c r="I705" i="2"/>
  <c r="I676" i="2"/>
  <c r="I651" i="2"/>
  <c r="I593" i="2"/>
  <c r="I536" i="2"/>
  <c r="I565" i="2"/>
  <c r="I508" i="2"/>
  <c r="I483" i="2"/>
  <c r="I459" i="2"/>
  <c r="I432" i="2"/>
  <c r="I405" i="2"/>
  <c r="I378" i="2"/>
  <c r="I351" i="2"/>
  <c r="I322" i="2"/>
  <c r="H2942" i="2"/>
  <c r="H2943" i="2" s="1"/>
  <c r="H2944" i="2" s="1"/>
  <c r="E2921" i="2" s="1"/>
  <c r="F2921" i="2" s="1"/>
  <c r="H2968" i="2"/>
  <c r="H2969" i="2" s="1"/>
  <c r="H2970" i="2" s="1"/>
  <c r="H2813" i="2"/>
  <c r="H2814" i="2" s="1"/>
  <c r="H2815" i="2" s="1"/>
  <c r="H2916" i="2"/>
  <c r="H2917" i="2" s="1"/>
  <c r="H2918" i="2" s="1"/>
  <c r="H2838" i="2"/>
  <c r="H2839" i="2" s="1"/>
  <c r="H2840" i="2" s="1"/>
  <c r="H2864" i="2"/>
  <c r="H2865" i="2" s="1"/>
  <c r="H2866" i="2" s="1"/>
  <c r="H2890" i="2"/>
  <c r="I2530" i="2"/>
  <c r="I2454" i="2"/>
  <c r="I2598" i="2"/>
  <c r="I2723" i="2"/>
  <c r="I2649" i="2"/>
  <c r="I2646" i="2"/>
  <c r="H2675" i="2"/>
  <c r="I2568" i="2"/>
  <c r="I2757" i="2"/>
  <c r="H2787" i="2"/>
  <c r="I2683" i="2"/>
  <c r="H2712" i="2"/>
  <c r="I2612" i="2"/>
  <c r="I2686" i="2"/>
  <c r="I2551" i="2"/>
  <c r="I2720" i="2"/>
  <c r="H2749" i="2"/>
  <c r="H2638" i="2"/>
  <c r="H2639" i="2" s="1"/>
  <c r="H2640" i="2" s="1"/>
  <c r="E2606" i="2" s="1"/>
  <c r="I2609" i="2"/>
  <c r="I2505" i="2"/>
  <c r="I2429" i="2"/>
  <c r="I2759" i="2"/>
  <c r="I2480" i="2"/>
  <c r="I252" i="2"/>
  <c r="H261" i="2"/>
  <c r="I268" i="2"/>
  <c r="H277" i="2"/>
  <c r="I188" i="2"/>
  <c r="H197" i="2"/>
  <c r="I172" i="2"/>
  <c r="H181" i="2"/>
  <c r="H182" i="2" s="1"/>
  <c r="I236" i="2"/>
  <c r="H245" i="2"/>
  <c r="I204" i="2"/>
  <c r="H213" i="2"/>
  <c r="I220" i="2"/>
  <c r="H229" i="2"/>
  <c r="I2242" i="2"/>
  <c r="I2191" i="2"/>
  <c r="I2166" i="2"/>
  <c r="I2188" i="2"/>
  <c r="I2216" i="2"/>
  <c r="I2163" i="2"/>
  <c r="I2213" i="2"/>
  <c r="I2037" i="2"/>
  <c r="I785" i="2"/>
  <c r="I1303" i="2"/>
  <c r="I812" i="2"/>
  <c r="I2115" i="2"/>
  <c r="I2140" i="2"/>
  <c r="I1242" i="2"/>
  <c r="I1161" i="2"/>
  <c r="I758" i="2"/>
  <c r="I1323" i="2"/>
  <c r="I1181" i="2"/>
  <c r="I1639" i="2"/>
  <c r="I2137" i="2"/>
  <c r="I1221" i="2"/>
  <c r="I562" i="2"/>
  <c r="I1201" i="2"/>
  <c r="G70" i="18"/>
  <c r="G28" i="18"/>
  <c r="G90" i="18"/>
  <c r="G93" i="18" s="1"/>
  <c r="G42" i="18"/>
  <c r="G77" i="18"/>
  <c r="G79" i="18" s="1"/>
  <c r="G84" i="18"/>
  <c r="G98" i="18"/>
  <c r="G55" i="18"/>
  <c r="F11" i="20"/>
  <c r="G11" i="20" s="1"/>
  <c r="F27" i="19"/>
  <c r="G27" i="19" s="1"/>
  <c r="G13" i="19"/>
  <c r="F25" i="19"/>
  <c r="G25" i="19" s="1"/>
  <c r="F11" i="19"/>
  <c r="G11" i="19" s="1"/>
  <c r="F12" i="20"/>
  <c r="G12" i="20" s="1"/>
  <c r="F14" i="19"/>
  <c r="G14" i="19" s="1"/>
  <c r="F26" i="19"/>
  <c r="G26" i="19" s="1"/>
  <c r="F28" i="19"/>
  <c r="G28" i="19" s="1"/>
  <c r="F12" i="19"/>
  <c r="G12" i="19" s="1"/>
  <c r="G56" i="18"/>
  <c r="G97" i="18"/>
  <c r="G7" i="18"/>
  <c r="G21" i="18"/>
  <c r="G35" i="18"/>
  <c r="G49" i="18"/>
  <c r="G63" i="18"/>
  <c r="G69" i="18"/>
  <c r="G58" i="18"/>
  <c r="G20" i="18"/>
  <c r="G27" i="18"/>
  <c r="G30" i="18" s="1"/>
  <c r="F114" i="5" s="1"/>
  <c r="G48" i="18"/>
  <c r="G62" i="18"/>
  <c r="G6" i="18"/>
  <c r="G13" i="18"/>
  <c r="G16" i="18" s="1"/>
  <c r="G34" i="18"/>
  <c r="G41" i="18"/>
  <c r="G44" i="18" s="1"/>
  <c r="G83" i="18"/>
  <c r="G128" i="5" l="1"/>
  <c r="M2138" i="2"/>
  <c r="M2189" i="2"/>
  <c r="M2164" i="2"/>
  <c r="G120" i="5"/>
  <c r="M1324" i="2"/>
  <c r="G123" i="5"/>
  <c r="M1483" i="2"/>
  <c r="G134" i="5"/>
  <c r="M568" i="2"/>
  <c r="M538" i="2"/>
  <c r="M817" i="2"/>
  <c r="G118" i="5"/>
  <c r="M1242" i="2"/>
  <c r="G133" i="5"/>
  <c r="M460" i="2"/>
  <c r="M484" i="2"/>
  <c r="M510" i="2"/>
  <c r="M434" i="2"/>
  <c r="G119" i="5"/>
  <c r="M1345" i="2"/>
  <c r="M1283" i="2"/>
  <c r="M1304" i="2"/>
  <c r="G122" i="5"/>
  <c r="M1523" i="2"/>
  <c r="M1603" i="2"/>
  <c r="M1678" i="2"/>
  <c r="M1540" i="2"/>
  <c r="M1463" i="2"/>
  <c r="M1583" i="2"/>
  <c r="M1502" i="2"/>
  <c r="M1717" i="2"/>
  <c r="M1658" i="2"/>
  <c r="M1699" i="2"/>
  <c r="M1443" i="2"/>
  <c r="M1621" i="2"/>
  <c r="M1562" i="2"/>
  <c r="M1639" i="2"/>
  <c r="G121" i="5"/>
  <c r="M1364" i="2"/>
  <c r="M1403" i="2"/>
  <c r="M1423" i="2"/>
  <c r="M1382" i="2"/>
  <c r="G135" i="5"/>
  <c r="M597" i="2"/>
  <c r="M623" i="2"/>
  <c r="M911" i="2"/>
  <c r="M957" i="2"/>
  <c r="M1005" i="2"/>
  <c r="M864" i="2"/>
  <c r="G148" i="5"/>
  <c r="M787" i="2"/>
  <c r="M814" i="2"/>
  <c r="M565" i="2"/>
  <c r="M760" i="2"/>
  <c r="G129" i="5"/>
  <c r="M2215" i="2"/>
  <c r="H2891" i="2"/>
  <c r="H2892" i="2" s="1"/>
  <c r="E2843" i="2"/>
  <c r="F2843" i="2" s="1"/>
  <c r="E2818" i="2"/>
  <c r="F2818" i="2" s="1"/>
  <c r="E2895" i="2"/>
  <c r="F2895" i="2" s="1"/>
  <c r="E2792" i="2"/>
  <c r="F2792" i="2" s="1"/>
  <c r="E2947" i="2"/>
  <c r="F2947" i="2" s="1"/>
  <c r="J2723" i="2"/>
  <c r="J2612" i="2"/>
  <c r="J2686" i="2"/>
  <c r="J2759" i="2"/>
  <c r="H2713" i="2"/>
  <c r="J2713" i="2" s="1"/>
  <c r="J2683" i="2"/>
  <c r="H2788" i="2"/>
  <c r="J2788" i="2" s="1"/>
  <c r="J2757" i="2"/>
  <c r="J2609" i="2"/>
  <c r="F2606" i="2"/>
  <c r="E139" i="2"/>
  <c r="F139" i="2" s="1"/>
  <c r="H2676" i="2"/>
  <c r="J2676" i="2" s="1"/>
  <c r="H2750" i="2"/>
  <c r="J2750" i="2" s="1"/>
  <c r="J2646" i="2"/>
  <c r="J2720" i="2"/>
  <c r="J2649" i="2"/>
  <c r="J220" i="2"/>
  <c r="J236" i="2"/>
  <c r="J252" i="2"/>
  <c r="H246" i="2"/>
  <c r="H247" i="2" s="1"/>
  <c r="E233" i="2" s="1"/>
  <c r="J244" i="2"/>
  <c r="J239" i="2"/>
  <c r="J180" i="2"/>
  <c r="J175" i="2"/>
  <c r="H183" i="2"/>
  <c r="E169" i="2" s="1"/>
  <c r="J172" i="2"/>
  <c r="J204" i="2"/>
  <c r="J212" i="2"/>
  <c r="J207" i="2"/>
  <c r="H214" i="2"/>
  <c r="H215" i="2" s="1"/>
  <c r="E201" i="2" s="1"/>
  <c r="J196" i="2"/>
  <c r="H198" i="2"/>
  <c r="H199" i="2" s="1"/>
  <c r="E185" i="2" s="1"/>
  <c r="J191" i="2"/>
  <c r="J188" i="2"/>
  <c r="J268" i="2"/>
  <c r="J271" i="2"/>
  <c r="H278" i="2"/>
  <c r="H279" i="2" s="1"/>
  <c r="E265" i="2" s="1"/>
  <c r="J276" i="2"/>
  <c r="J223" i="2"/>
  <c r="H230" i="2"/>
  <c r="H231" i="2" s="1"/>
  <c r="E217" i="2" s="1"/>
  <c r="J228" i="2"/>
  <c r="J255" i="2"/>
  <c r="H262" i="2"/>
  <c r="H263" i="2" s="1"/>
  <c r="E249" i="2" s="1"/>
  <c r="J260" i="2"/>
  <c r="H2580" i="2"/>
  <c r="H2581" i="2" s="1"/>
  <c r="G37" i="18"/>
  <c r="G72" i="18"/>
  <c r="G51" i="18"/>
  <c r="G100" i="18"/>
  <c r="G9" i="18"/>
  <c r="F111" i="5" s="1"/>
  <c r="G16" i="19"/>
  <c r="G23" i="18"/>
  <c r="G86" i="18"/>
  <c r="G65" i="18"/>
  <c r="G30" i="19"/>
  <c r="G15" i="20"/>
  <c r="E2869" i="2" l="1"/>
  <c r="F2869" i="2" s="1"/>
  <c r="J2749" i="2"/>
  <c r="J2787" i="2"/>
  <c r="J2712" i="2"/>
  <c r="H2714" i="2"/>
  <c r="E2680" i="2" s="1"/>
  <c r="F2680" i="2" s="1"/>
  <c r="J2675" i="2"/>
  <c r="H2677" i="2"/>
  <c r="E2643" i="2" s="1"/>
  <c r="E140" i="2" s="1"/>
  <c r="F140" i="2" s="1"/>
  <c r="H2789" i="2"/>
  <c r="E2754" i="2" s="1"/>
  <c r="F2754" i="2" s="1"/>
  <c r="H2751" i="2"/>
  <c r="E2717" i="2" s="1"/>
  <c r="F2717" i="2" s="1"/>
  <c r="J231" i="2"/>
  <c r="J199" i="2"/>
  <c r="J247" i="2"/>
  <c r="J263" i="2"/>
  <c r="J183" i="2"/>
  <c r="E28" i="2"/>
  <c r="F28" i="2" s="1"/>
  <c r="F217" i="2"/>
  <c r="E27" i="2"/>
  <c r="F27" i="2" s="1"/>
  <c r="F201" i="2"/>
  <c r="F265" i="2"/>
  <c r="E31" i="2"/>
  <c r="F31" i="2" s="1"/>
  <c r="J215" i="2"/>
  <c r="J279" i="2"/>
  <c r="F169" i="2"/>
  <c r="E25" i="2"/>
  <c r="F25" i="2" s="1"/>
  <c r="F233" i="2"/>
  <c r="E29" i="2"/>
  <c r="F29" i="2" s="1"/>
  <c r="E30" i="2"/>
  <c r="F30" i="2" s="1"/>
  <c r="F249" i="2"/>
  <c r="E26" i="2"/>
  <c r="F26" i="2" s="1"/>
  <c r="F185" i="2"/>
  <c r="H17" i="15"/>
  <c r="H20" i="15"/>
  <c r="H19" i="15"/>
  <c r="H18" i="15"/>
  <c r="H16" i="15"/>
  <c r="H21" i="15" l="1"/>
  <c r="E143" i="2"/>
  <c r="F143" i="2" s="1"/>
  <c r="E141" i="2"/>
  <c r="F141" i="2" s="1"/>
  <c r="E142" i="2"/>
  <c r="F142" i="2" s="1"/>
  <c r="F2643" i="2"/>
  <c r="H1743" i="2"/>
  <c r="I1740" i="2" s="1"/>
  <c r="I648" i="2"/>
  <c r="H1812" i="2"/>
  <c r="H1790" i="2"/>
  <c r="H1815" i="2"/>
  <c r="H1144" i="2"/>
  <c r="I1144" i="2" s="1"/>
  <c r="H1787" i="2"/>
  <c r="H1837" i="2"/>
  <c r="H1765" i="2"/>
  <c r="H1762" i="2"/>
  <c r="H1840" i="2"/>
  <c r="H1124" i="2"/>
  <c r="I2590" i="2"/>
  <c r="I2544" i="2"/>
  <c r="G1834" i="2"/>
  <c r="H1834" i="2" s="1"/>
  <c r="I1834" i="2" s="1"/>
  <c r="M2088" i="2"/>
  <c r="M2446" i="2"/>
  <c r="G1809" i="2"/>
  <c r="H1809" i="2" s="1"/>
  <c r="I1809" i="2" s="1"/>
  <c r="M2037" i="2"/>
  <c r="M1932" i="2"/>
  <c r="M2240" i="2"/>
  <c r="M2470" i="2"/>
  <c r="M2113" i="2"/>
  <c r="G1759" i="2"/>
  <c r="H1759" i="2" s="1"/>
  <c r="I1759" i="2" s="1"/>
  <c r="M2059" i="2"/>
  <c r="M2295" i="2"/>
  <c r="M2367" i="2"/>
  <c r="M2420" i="2"/>
  <c r="M1982" i="2"/>
  <c r="M2345" i="2"/>
  <c r="M2522" i="2"/>
  <c r="M2319" i="2"/>
  <c r="I2086" i="2"/>
  <c r="M1957" i="2"/>
  <c r="M2009" i="2"/>
  <c r="H1784" i="2"/>
  <c r="I1784" i="2" s="1"/>
  <c r="M2266" i="2"/>
  <c r="M2396" i="2"/>
  <c r="M2496" i="2"/>
  <c r="H302" i="2"/>
  <c r="I302" i="2" s="1"/>
  <c r="G285" i="2"/>
  <c r="H285" i="2" s="1"/>
  <c r="I456" i="2"/>
  <c r="I1027" i="2"/>
  <c r="I1000" i="2"/>
  <c r="I645" i="2"/>
  <c r="G1737" i="2"/>
  <c r="H1737" i="2" s="1"/>
  <c r="I1737" i="2" s="1"/>
  <c r="I859" i="2"/>
  <c r="I429" i="2"/>
  <c r="I730" i="2"/>
  <c r="I980" i="2"/>
  <c r="I375" i="2"/>
  <c r="I2541" i="2"/>
  <c r="I348" i="2"/>
  <c r="I480" i="2"/>
  <c r="I906" i="2"/>
  <c r="M594" i="2"/>
  <c r="M322" i="2"/>
  <c r="M404" i="2"/>
  <c r="M1076" i="2"/>
  <c r="M1002" i="2"/>
  <c r="M1049" i="2"/>
  <c r="M981" i="2"/>
  <c r="M350" i="2"/>
  <c r="M861" i="2"/>
  <c r="M1096" i="2"/>
  <c r="M481" i="2"/>
  <c r="M649" i="2"/>
  <c r="M888" i="2"/>
  <c r="M620" i="2"/>
  <c r="M431" i="2"/>
  <c r="M674" i="2"/>
  <c r="M377" i="2"/>
  <c r="M837" i="2"/>
  <c r="M732" i="2"/>
  <c r="M1028" i="2"/>
  <c r="M1738" i="2"/>
  <c r="M535" i="2"/>
  <c r="M954" i="2"/>
  <c r="M933" i="2"/>
  <c r="M705" i="2"/>
  <c r="M1737" i="2"/>
  <c r="M507" i="2"/>
  <c r="M457" i="2"/>
  <c r="M908" i="2"/>
  <c r="I1787" i="2" l="1"/>
  <c r="I1812" i="2"/>
  <c r="I1124" i="2"/>
  <c r="I1762" i="2"/>
  <c r="I1837" i="2"/>
  <c r="F116" i="5"/>
  <c r="I1912" i="2"/>
  <c r="I673" i="2"/>
  <c r="I621" i="2"/>
  <c r="I1094" i="2"/>
  <c r="I2468" i="2"/>
  <c r="I2418" i="2"/>
  <c r="I2519" i="2"/>
  <c r="I2317" i="2"/>
  <c r="I2342" i="2"/>
  <c r="I2267" i="2"/>
  <c r="I2494" i="2"/>
  <c r="I2393" i="2"/>
  <c r="I2443" i="2"/>
  <c r="I886" i="2"/>
  <c r="I319" i="2"/>
  <c r="I285" i="2"/>
  <c r="I1937" i="2"/>
  <c r="I1987" i="2"/>
  <c r="I1962" i="2"/>
  <c r="I2012" i="2"/>
  <c r="I2064" i="2"/>
  <c r="I2089" i="2"/>
  <c r="I2587" i="2"/>
  <c r="I2292" i="2"/>
  <c r="I1984" i="2"/>
  <c r="I2264" i="2"/>
  <c r="I2415" i="2"/>
  <c r="I1884" i="2"/>
  <c r="I2440" i="2"/>
  <c r="I2364" i="2"/>
  <c r="I2339" i="2"/>
  <c r="I1859" i="2"/>
  <c r="I1934" i="2"/>
  <c r="I2516" i="2"/>
  <c r="I2034" i="2"/>
  <c r="I2289" i="2"/>
  <c r="I1909" i="2"/>
  <c r="I2061" i="2"/>
  <c r="I2491" i="2"/>
  <c r="I2239" i="2"/>
  <c r="I2009" i="2"/>
  <c r="I2112" i="2"/>
  <c r="I2465" i="2"/>
  <c r="I1959" i="2"/>
  <c r="I2314" i="2"/>
  <c r="I2390" i="2"/>
  <c r="F18" i="17"/>
  <c r="G18" i="17" s="1"/>
  <c r="F17" i="17"/>
  <c r="G17" i="17" s="1"/>
  <c r="F15" i="17"/>
  <c r="G15" i="17" s="1"/>
  <c r="F14" i="17"/>
  <c r="G14" i="17" s="1"/>
  <c r="F9" i="17"/>
  <c r="G9" i="17" s="1"/>
  <c r="F8" i="17"/>
  <c r="G8" i="17" s="1"/>
  <c r="F13" i="17"/>
  <c r="G13" i="17" s="1"/>
  <c r="I2575" i="2" l="1"/>
  <c r="G19" i="17"/>
  <c r="I590" i="2"/>
  <c r="I933" i="2"/>
  <c r="I618" i="2"/>
  <c r="I533" i="2"/>
  <c r="I1047" i="2"/>
  <c r="I505" i="2"/>
  <c r="I839" i="2"/>
  <c r="I953" i="2"/>
  <c r="I402" i="2" l="1"/>
  <c r="J2568" i="2"/>
  <c r="J2562" i="2"/>
  <c r="J2565" i="2"/>
  <c r="E2559" i="2"/>
  <c r="E136" i="2" s="1"/>
  <c r="F136" i="2" s="1"/>
  <c r="J2576" i="2"/>
  <c r="J2575" i="2"/>
  <c r="I1074" i="2"/>
  <c r="F2559" i="2" l="1"/>
  <c r="E114" i="5" l="1"/>
  <c r="G114" i="5" s="1"/>
  <c r="E203" i="5"/>
  <c r="G203" i="5" s="1"/>
  <c r="G144" i="5"/>
  <c r="E204" i="5"/>
  <c r="E166" i="5"/>
  <c r="G166" i="5" s="1"/>
  <c r="E205" i="5"/>
  <c r="E165" i="5"/>
  <c r="G165" i="5" s="1"/>
  <c r="E112" i="5"/>
  <c r="E164" i="5"/>
  <c r="G164" i="5" s="1"/>
  <c r="E162" i="5"/>
  <c r="E143" i="5"/>
  <c r="G143" i="5" s="1"/>
  <c r="E141" i="5"/>
  <c r="E132" i="5"/>
  <c r="E140" i="5"/>
  <c r="E111" i="5"/>
  <c r="E117" i="5"/>
  <c r="E116" i="5"/>
  <c r="E113" i="5"/>
  <c r="G52" i="12"/>
  <c r="T20" i="12"/>
  <c r="T19" i="12"/>
  <c r="G111" i="5" l="1"/>
  <c r="M816" i="2"/>
  <c r="M379" i="2"/>
  <c r="M433" i="2"/>
  <c r="M406" i="2"/>
  <c r="M352" i="2"/>
  <c r="M324" i="2"/>
  <c r="M567" i="2"/>
  <c r="M596" i="2"/>
  <c r="M483" i="2"/>
  <c r="M509" i="2"/>
  <c r="M459" i="2"/>
  <c r="M537" i="2"/>
  <c r="M622" i="2"/>
  <c r="M2587" i="2"/>
  <c r="M863" i="2"/>
  <c r="M1838" i="2"/>
  <c r="M2544" i="2"/>
  <c r="M1859" i="2"/>
  <c r="M1761" i="2"/>
  <c r="M1785" i="2"/>
  <c r="M1888" i="2"/>
  <c r="M1911" i="2"/>
  <c r="M1812" i="2"/>
  <c r="M1763" i="2"/>
  <c r="M1984" i="2"/>
  <c r="M2061" i="2"/>
  <c r="M2011" i="2"/>
  <c r="M2589" i="2"/>
  <c r="M2039" i="2"/>
  <c r="M2546" i="2"/>
  <c r="M1934" i="2"/>
  <c r="M1890" i="2"/>
  <c r="M1787" i="2"/>
  <c r="M1959" i="2"/>
  <c r="M2242" i="2"/>
  <c r="M1840" i="2"/>
  <c r="M2090" i="2"/>
  <c r="M1814" i="2"/>
  <c r="M1913" i="2"/>
  <c r="M1861" i="2"/>
  <c r="G132" i="5"/>
  <c r="M2165" i="2"/>
  <c r="M2216" i="2"/>
  <c r="M2139" i="2"/>
  <c r="M325" i="2"/>
  <c r="M407" i="2"/>
  <c r="M353" i="2"/>
  <c r="M380" i="2"/>
  <c r="M2190" i="2"/>
  <c r="M2089" i="2"/>
  <c r="M1860" i="2"/>
  <c r="M1933" i="2"/>
  <c r="M2545" i="2"/>
  <c r="M2471" i="2"/>
  <c r="M1839" i="2"/>
  <c r="M2010" i="2"/>
  <c r="M1958" i="2"/>
  <c r="M2368" i="2"/>
  <c r="M2267" i="2"/>
  <c r="M2421" i="2"/>
  <c r="M2241" i="2"/>
  <c r="M2497" i="2"/>
  <c r="M2588" i="2"/>
  <c r="M1813" i="2"/>
  <c r="M2346" i="2"/>
  <c r="M1889" i="2"/>
  <c r="M1983" i="2"/>
  <c r="M2296" i="2"/>
  <c r="M2320" i="2"/>
  <c r="M1912" i="2"/>
  <c r="M2397" i="2"/>
  <c r="M1762" i="2"/>
  <c r="M2523" i="2"/>
  <c r="M2038" i="2"/>
  <c r="M1786" i="2"/>
  <c r="M2447" i="2"/>
  <c r="M2114" i="2"/>
  <c r="M2060" i="2"/>
  <c r="M2191" i="2"/>
  <c r="M2166" i="2"/>
  <c r="M2140" i="2"/>
  <c r="M2217" i="2"/>
  <c r="M2472" i="2"/>
  <c r="M2422" i="2"/>
  <c r="M2321" i="2"/>
  <c r="M2115" i="2"/>
  <c r="M2448" i="2"/>
  <c r="M2398" i="2"/>
  <c r="M2297" i="2"/>
  <c r="M2347" i="2"/>
  <c r="M2369" i="2"/>
  <c r="M2524" i="2"/>
  <c r="M2268" i="2"/>
  <c r="M2498" i="2"/>
  <c r="G117" i="5"/>
  <c r="M1222" i="2"/>
  <c r="M1262" i="2"/>
  <c r="G162" i="5"/>
  <c r="M2141" i="2"/>
  <c r="M2218" i="2"/>
  <c r="M2167" i="2"/>
  <c r="M2192" i="2"/>
  <c r="M2348" i="2"/>
  <c r="M2473" i="2"/>
  <c r="M1815" i="2"/>
  <c r="M2370" i="2"/>
  <c r="M2525" i="2"/>
  <c r="M1788" i="2"/>
  <c r="M1764" i="2"/>
  <c r="M2298" i="2"/>
  <c r="M2040" i="2"/>
  <c r="M1841" i="2"/>
  <c r="M2243" i="2"/>
  <c r="M2423" i="2"/>
  <c r="M2590" i="2"/>
  <c r="M1891" i="2"/>
  <c r="M2062" i="2"/>
  <c r="M2547" i="2"/>
  <c r="M1914" i="2"/>
  <c r="M2399" i="2"/>
  <c r="M2449" i="2"/>
  <c r="M2116" i="2"/>
  <c r="M2269" i="2"/>
  <c r="M1960" i="2"/>
  <c r="M2322" i="2"/>
  <c r="M2499" i="2"/>
  <c r="M2091" i="2"/>
  <c r="M1935" i="2"/>
  <c r="M1862" i="2"/>
  <c r="M2012" i="2"/>
  <c r="M1985" i="2"/>
  <c r="G204" i="5"/>
  <c r="M2219" i="2"/>
  <c r="M2168" i="2"/>
  <c r="M2142" i="2"/>
  <c r="M2193" i="2"/>
  <c r="M2474" i="2"/>
  <c r="M2548" i="2"/>
  <c r="M2063" i="2"/>
  <c r="M2349" i="2"/>
  <c r="M2500" i="2"/>
  <c r="M2526" i="2"/>
  <c r="M2400" i="2"/>
  <c r="M2424" i="2"/>
  <c r="M1986" i="2"/>
  <c r="M2591" i="2"/>
  <c r="M2013" i="2"/>
  <c r="M2299" i="2"/>
  <c r="M1936" i="2"/>
  <c r="M2371" i="2"/>
  <c r="M2092" i="2"/>
  <c r="M2323" i="2"/>
  <c r="M2117" i="2"/>
  <c r="M1765" i="2"/>
  <c r="M2041" i="2"/>
  <c r="M1863" i="2"/>
  <c r="M1915" i="2"/>
  <c r="M1961" i="2"/>
  <c r="M1816" i="2"/>
  <c r="M1842" i="2"/>
  <c r="M2270" i="2"/>
  <c r="M2244" i="2"/>
  <c r="M1892" i="2"/>
  <c r="M2450" i="2"/>
  <c r="M1789" i="2"/>
  <c r="G112" i="5"/>
  <c r="M1004" i="2"/>
  <c r="M956" i="2"/>
  <c r="M910" i="2"/>
  <c r="G113" i="5"/>
  <c r="M707" i="2"/>
  <c r="M789" i="2"/>
  <c r="M762" i="2"/>
  <c r="M676" i="2"/>
  <c r="M651" i="2"/>
  <c r="M734" i="2"/>
  <c r="G205" i="5"/>
  <c r="M1485" i="2"/>
  <c r="M1486" i="2" s="1"/>
  <c r="H1492" i="2" s="1"/>
  <c r="M1425" i="2"/>
  <c r="M1426" i="2" s="1"/>
  <c r="H1432" i="2" s="1"/>
  <c r="M1465" i="2"/>
  <c r="M1466" i="2" s="1"/>
  <c r="H1472" i="2" s="1"/>
  <c r="M1244" i="2"/>
  <c r="M1245" i="2" s="1"/>
  <c r="H1251" i="2" s="1"/>
  <c r="M1504" i="2"/>
  <c r="M1505" i="2" s="1"/>
  <c r="H1511" i="2" s="1"/>
  <c r="M1224" i="2"/>
  <c r="M1585" i="2"/>
  <c r="M1586" i="2" s="1"/>
  <c r="H1589" i="2" s="1"/>
  <c r="M1405" i="2"/>
  <c r="M1406" i="2" s="1"/>
  <c r="H1412" i="2" s="1"/>
  <c r="M1605" i="2"/>
  <c r="M1606" i="2" s="1"/>
  <c r="H1609" i="2" s="1"/>
  <c r="M1525" i="2"/>
  <c r="M1526" i="2" s="1"/>
  <c r="H1531" i="2" s="1"/>
  <c r="M1123" i="2"/>
  <c r="M1623" i="2"/>
  <c r="M1624" i="2" s="1"/>
  <c r="H1628" i="2" s="1"/>
  <c r="M1285" i="2"/>
  <c r="M1286" i="2" s="1"/>
  <c r="H1291" i="2" s="1"/>
  <c r="M1326" i="2"/>
  <c r="M1327" i="2" s="1"/>
  <c r="H1332" i="2" s="1"/>
  <c r="M1347" i="2"/>
  <c r="M1348" i="2" s="1"/>
  <c r="H1352" i="2" s="1"/>
  <c r="M1660" i="2"/>
  <c r="M1661" i="2" s="1"/>
  <c r="H1667" i="2" s="1"/>
  <c r="M1680" i="2"/>
  <c r="M1681" i="2" s="1"/>
  <c r="H1687" i="2" s="1"/>
  <c r="M1641" i="2"/>
  <c r="M1642" i="2" s="1"/>
  <c r="H1648" i="2" s="1"/>
  <c r="M1445" i="2"/>
  <c r="M1446" i="2" s="1"/>
  <c r="H1452" i="2" s="1"/>
  <c r="M1306" i="2"/>
  <c r="M1307" i="2" s="1"/>
  <c r="H1312" i="2" s="1"/>
  <c r="M566" i="2"/>
  <c r="M1183" i="2"/>
  <c r="M1204" i="2"/>
  <c r="M815" i="2"/>
  <c r="M818" i="2" s="1"/>
  <c r="H827" i="2" s="1"/>
  <c r="M761" i="2"/>
  <c r="M764" i="2" s="1"/>
  <c r="H773" i="2" s="1"/>
  <c r="M1542" i="2"/>
  <c r="M1543" i="2" s="1"/>
  <c r="H1550" i="2" s="1"/>
  <c r="M788" i="2"/>
  <c r="M791" i="2" s="1"/>
  <c r="H800" i="2" s="1"/>
  <c r="M1701" i="2"/>
  <c r="M1702" i="2" s="1"/>
  <c r="H1706" i="2" s="1"/>
  <c r="M1142" i="2"/>
  <c r="M1564" i="2"/>
  <c r="M1565" i="2" s="1"/>
  <c r="H1570" i="2" s="1"/>
  <c r="M1384" i="2"/>
  <c r="M1385" i="2" s="1"/>
  <c r="H1392" i="2" s="1"/>
  <c r="M1264" i="2"/>
  <c r="M1719" i="2"/>
  <c r="M1720" i="2" s="1"/>
  <c r="H1726" i="2" s="1"/>
  <c r="M1162" i="2"/>
  <c r="M1366" i="2"/>
  <c r="M1367" i="2" s="1"/>
  <c r="H1372" i="2" s="1"/>
  <c r="M982" i="2"/>
  <c r="M983" i="2" s="1"/>
  <c r="H988" i="2" s="1"/>
  <c r="M482" i="2"/>
  <c r="M485" i="2" s="1"/>
  <c r="H493" i="2" s="1"/>
  <c r="M706" i="2"/>
  <c r="M709" i="2" s="1"/>
  <c r="H719" i="2" s="1"/>
  <c r="I719" i="2" s="1"/>
  <c r="M378" i="2"/>
  <c r="M381" i="2" s="1"/>
  <c r="H391" i="2" s="1"/>
  <c r="I391" i="2" s="1"/>
  <c r="M1050" i="2"/>
  <c r="M1051" i="2" s="1"/>
  <c r="H1062" i="2" s="1"/>
  <c r="M1739" i="2"/>
  <c r="M1740" i="2" s="1"/>
  <c r="M733" i="2"/>
  <c r="M736" i="2" s="1"/>
  <c r="H746" i="2" s="1"/>
  <c r="M838" i="2"/>
  <c r="M839" i="2" s="1"/>
  <c r="H847" i="2" s="1"/>
  <c r="M889" i="2"/>
  <c r="M890" i="2" s="1"/>
  <c r="H894" i="2" s="1"/>
  <c r="M595" i="2"/>
  <c r="M598" i="2" s="1"/>
  <c r="M909" i="2"/>
  <c r="M912" i="2" s="1"/>
  <c r="H921" i="2" s="1"/>
  <c r="M650" i="2"/>
  <c r="M653" i="2" s="1"/>
  <c r="H662" i="2" s="1"/>
  <c r="I662" i="2" s="1"/>
  <c r="M621" i="2"/>
  <c r="M624" i="2" s="1"/>
  <c r="M323" i="2"/>
  <c r="M326" i="2" s="1"/>
  <c r="H336" i="2" s="1"/>
  <c r="M508" i="2"/>
  <c r="M511" i="2" s="1"/>
  <c r="H522" i="2" s="1"/>
  <c r="M432" i="2"/>
  <c r="M435" i="2" s="1"/>
  <c r="M405" i="2"/>
  <c r="M408" i="2" s="1"/>
  <c r="M934" i="2"/>
  <c r="M935" i="2" s="1"/>
  <c r="H941" i="2" s="1"/>
  <c r="M458" i="2"/>
  <c r="M461" i="2" s="1"/>
  <c r="H469" i="2" s="1"/>
  <c r="M955" i="2"/>
  <c r="M958" i="2" s="1"/>
  <c r="H968" i="2" s="1"/>
  <c r="M1003" i="2"/>
  <c r="M1006" i="2" s="1"/>
  <c r="H1015" i="2" s="1"/>
  <c r="M675" i="2"/>
  <c r="M678" i="2" s="1"/>
  <c r="H691" i="2" s="1"/>
  <c r="M351" i="2"/>
  <c r="M354" i="2" s="1"/>
  <c r="H364" i="2" s="1"/>
  <c r="M862" i="2"/>
  <c r="M865" i="2" s="1"/>
  <c r="H874" i="2" s="1"/>
  <c r="M1097" i="2"/>
  <c r="M1100" i="2" s="1"/>
  <c r="H1109" i="2" s="1"/>
  <c r="M1029" i="2"/>
  <c r="M1030" i="2" s="1"/>
  <c r="H1036" i="2" s="1"/>
  <c r="M536" i="2"/>
  <c r="M539" i="2" s="1"/>
  <c r="H550" i="2" s="1"/>
  <c r="M1077" i="2"/>
  <c r="M1078" i="2" s="1"/>
  <c r="H1082" i="2" s="1"/>
  <c r="G116" i="5"/>
  <c r="M1202" i="2"/>
  <c r="M1205" i="2" s="1"/>
  <c r="H1210" i="2" s="1"/>
  <c r="M1121" i="2"/>
  <c r="M1124" i="2" s="1"/>
  <c r="H1130" i="2" s="1"/>
  <c r="M1160" i="2"/>
  <c r="M1163" i="2" s="1"/>
  <c r="H1170" i="2" s="1"/>
  <c r="M1140" i="2"/>
  <c r="M1143" i="2" s="1"/>
  <c r="H1150" i="2" s="1"/>
  <c r="M1181" i="2"/>
  <c r="M1184" i="2" s="1"/>
  <c r="H1190" i="2" s="1"/>
  <c r="G140" i="5"/>
  <c r="F5" i="17"/>
  <c r="G5" i="17" s="1"/>
  <c r="G141" i="5"/>
  <c r="F6" i="17"/>
  <c r="G6" i="17" s="1"/>
  <c r="G209" i="5"/>
  <c r="H1133" i="2" l="1"/>
  <c r="I1130" i="2"/>
  <c r="J1130" i="2" s="1"/>
  <c r="H554" i="2"/>
  <c r="I550" i="2"/>
  <c r="H525" i="2"/>
  <c r="I522" i="2"/>
  <c r="I1550" i="2"/>
  <c r="H1553" i="2"/>
  <c r="H1335" i="2"/>
  <c r="I1332" i="2"/>
  <c r="J1332" i="2" s="1"/>
  <c r="I1432" i="2"/>
  <c r="H1435" i="2"/>
  <c r="M2401" i="2"/>
  <c r="H2403" i="2" s="1"/>
  <c r="M2271" i="2"/>
  <c r="H2277" i="2" s="1"/>
  <c r="M1817" i="2"/>
  <c r="H1822" i="2" s="1"/>
  <c r="H1173" i="2"/>
  <c r="I1170" i="2"/>
  <c r="I493" i="2"/>
  <c r="H497" i="2"/>
  <c r="I773" i="2"/>
  <c r="H777" i="2"/>
  <c r="H1295" i="2"/>
  <c r="I1291" i="2"/>
  <c r="H1495" i="2"/>
  <c r="I1492" i="2"/>
  <c r="M2372" i="2"/>
  <c r="H2378" i="2" s="1"/>
  <c r="M1916" i="2"/>
  <c r="H1922" i="2" s="1"/>
  <c r="I1036" i="2"/>
  <c r="H1039" i="2"/>
  <c r="I988" i="2"/>
  <c r="H992" i="2"/>
  <c r="I827" i="2"/>
  <c r="H831" i="2"/>
  <c r="I1628" i="2"/>
  <c r="H1631" i="2"/>
  <c r="M2324" i="2"/>
  <c r="H2327" i="2" s="1"/>
  <c r="M1962" i="2"/>
  <c r="H1972" i="2" s="1"/>
  <c r="M1893" i="2"/>
  <c r="H1897" i="2" s="1"/>
  <c r="H1113" i="2"/>
  <c r="I1109" i="2"/>
  <c r="J1109" i="2" s="1"/>
  <c r="I874" i="2"/>
  <c r="H878" i="2"/>
  <c r="I1372" i="2"/>
  <c r="H1375" i="2"/>
  <c r="M2300" i="2"/>
  <c r="H2302" i="2" s="1"/>
  <c r="M2014" i="2"/>
  <c r="H2022" i="2" s="1"/>
  <c r="M2143" i="2"/>
  <c r="H2151" i="2" s="1"/>
  <c r="M1790" i="2"/>
  <c r="H1797" i="2" s="1"/>
  <c r="H367" i="2"/>
  <c r="I364" i="2"/>
  <c r="H925" i="2"/>
  <c r="I921" i="2"/>
  <c r="I1531" i="2"/>
  <c r="H1534" i="2"/>
  <c r="M1987" i="2"/>
  <c r="H1997" i="2" s="1"/>
  <c r="M2220" i="2"/>
  <c r="H2227" i="2" s="1"/>
  <c r="M1766" i="2"/>
  <c r="H1772" i="2" s="1"/>
  <c r="M569" i="2"/>
  <c r="H579" i="2" s="1"/>
  <c r="I691" i="2"/>
  <c r="H694" i="2"/>
  <c r="I1726" i="2"/>
  <c r="H1729" i="2"/>
  <c r="I1609" i="2"/>
  <c r="H1612" i="2"/>
  <c r="M2064" i="2"/>
  <c r="H2074" i="2" s="1"/>
  <c r="M2475" i="2"/>
  <c r="H2479" i="2" s="1"/>
  <c r="M2169" i="2"/>
  <c r="H2176" i="2" s="1"/>
  <c r="M1864" i="2"/>
  <c r="H1872" i="2" s="1"/>
  <c r="H1193" i="2"/>
  <c r="I1190" i="2"/>
  <c r="J1190" i="2" s="1"/>
  <c r="H1153" i="2"/>
  <c r="I1150" i="2"/>
  <c r="H1019" i="2"/>
  <c r="I1015" i="2"/>
  <c r="I894" i="2"/>
  <c r="H898" i="2"/>
  <c r="H1315" i="2"/>
  <c r="I1312" i="2"/>
  <c r="I1412" i="2"/>
  <c r="H1415" i="2"/>
  <c r="M2118" i="2"/>
  <c r="H2125" i="2" s="1"/>
  <c r="M2350" i="2"/>
  <c r="H2352" i="2" s="1"/>
  <c r="M2549" i="2"/>
  <c r="H2550" i="2" s="1"/>
  <c r="I847" i="2"/>
  <c r="H851" i="2"/>
  <c r="I1392" i="2"/>
  <c r="H1395" i="2"/>
  <c r="I1452" i="2"/>
  <c r="H1455" i="2"/>
  <c r="I1589" i="2"/>
  <c r="H1592" i="2"/>
  <c r="M2451" i="2"/>
  <c r="H2453" i="2" s="1"/>
  <c r="M1937" i="2"/>
  <c r="H1947" i="2" s="1"/>
  <c r="M1843" i="2"/>
  <c r="H1847" i="2" s="1"/>
  <c r="H472" i="2"/>
  <c r="I469" i="2"/>
  <c r="I1570" i="2"/>
  <c r="H1573" i="2"/>
  <c r="I1648" i="2"/>
  <c r="H1651" i="2"/>
  <c r="H750" i="2"/>
  <c r="I746" i="2"/>
  <c r="H1213" i="2"/>
  <c r="I1210" i="2"/>
  <c r="J1210" i="2" s="1"/>
  <c r="I941" i="2"/>
  <c r="H945" i="2"/>
  <c r="I1687" i="2"/>
  <c r="H1690" i="2"/>
  <c r="I1511" i="2"/>
  <c r="H1514" i="2"/>
  <c r="M2042" i="2"/>
  <c r="H2049" i="2" s="1"/>
  <c r="M2501" i="2"/>
  <c r="H2504" i="2" s="1"/>
  <c r="M2093" i="2"/>
  <c r="H2100" i="2" s="1"/>
  <c r="M2592" i="2"/>
  <c r="H2597" i="2" s="1"/>
  <c r="H972" i="2"/>
  <c r="I968" i="2"/>
  <c r="J968" i="2" s="1"/>
  <c r="I1062" i="2"/>
  <c r="H1066" i="2"/>
  <c r="I1706" i="2"/>
  <c r="H1709" i="2"/>
  <c r="I1667" i="2"/>
  <c r="H1670" i="2"/>
  <c r="H1255" i="2"/>
  <c r="I1251" i="2"/>
  <c r="J1251" i="2" s="1"/>
  <c r="M1265" i="2"/>
  <c r="H1272" i="2" s="1"/>
  <c r="M2527" i="2"/>
  <c r="H2529" i="2" s="1"/>
  <c r="M2245" i="2"/>
  <c r="H2252" i="2" s="1"/>
  <c r="M2194" i="2"/>
  <c r="H2201" i="2" s="1"/>
  <c r="H1086" i="2"/>
  <c r="I1082" i="2"/>
  <c r="J1082" i="2" s="1"/>
  <c r="I800" i="2"/>
  <c r="H804" i="2"/>
  <c r="I1352" i="2"/>
  <c r="H1355" i="2"/>
  <c r="I1472" i="2"/>
  <c r="H1475" i="2"/>
  <c r="M1225" i="2"/>
  <c r="H1230" i="2" s="1"/>
  <c r="M2425" i="2"/>
  <c r="H2428" i="2" s="1"/>
  <c r="G10" i="17"/>
  <c r="G71" i="17" s="1"/>
  <c r="G167" i="5"/>
  <c r="G168" i="5" s="1"/>
  <c r="G169" i="5" s="1"/>
  <c r="G210" i="5"/>
  <c r="G211" i="5" s="1"/>
  <c r="J847" i="2" l="1"/>
  <c r="J1706" i="2"/>
  <c r="J1687" i="2"/>
  <c r="J1291" i="2"/>
  <c r="J1432" i="2"/>
  <c r="J1589" i="2"/>
  <c r="J1170" i="2"/>
  <c r="J988" i="2"/>
  <c r="J921" i="2"/>
  <c r="J1015" i="2"/>
  <c r="J874" i="2"/>
  <c r="I2151" i="2"/>
  <c r="H2155" i="2"/>
  <c r="H751" i="2"/>
  <c r="J730" i="2"/>
  <c r="J733" i="2"/>
  <c r="J747" i="2"/>
  <c r="J508" i="2"/>
  <c r="H526" i="2"/>
  <c r="J505" i="2"/>
  <c r="J1642" i="2"/>
  <c r="J1639" i="2"/>
  <c r="J1649" i="2"/>
  <c r="H1652" i="2"/>
  <c r="H1653" i="2" s="1"/>
  <c r="E1636" i="2" s="1"/>
  <c r="J1610" i="2"/>
  <c r="H1613" i="2"/>
  <c r="H1614" i="2" s="1"/>
  <c r="E1597" i="2" s="1"/>
  <c r="J1600" i="2"/>
  <c r="J1603" i="2"/>
  <c r="H1174" i="2"/>
  <c r="H1175" i="2" s="1"/>
  <c r="E1158" i="2" s="1"/>
  <c r="E70" i="2" s="1"/>
  <c r="F70" i="2" s="1"/>
  <c r="J1161" i="2"/>
  <c r="J1171" i="2"/>
  <c r="J1164" i="2"/>
  <c r="I2049" i="2"/>
  <c r="H2053" i="2"/>
  <c r="J1648" i="2"/>
  <c r="J1609" i="2"/>
  <c r="J1097" i="2"/>
  <c r="H1114" i="2"/>
  <c r="H1115" i="2" s="1"/>
  <c r="E1091" i="2" s="1"/>
  <c r="J1110" i="2"/>
  <c r="J1094" i="2"/>
  <c r="J1659" i="2"/>
  <c r="J1668" i="2"/>
  <c r="H1671" i="2"/>
  <c r="H1672" i="2" s="1"/>
  <c r="E1656" i="2" s="1"/>
  <c r="J1662" i="2"/>
  <c r="J800" i="2"/>
  <c r="J788" i="2"/>
  <c r="J801" i="2"/>
  <c r="J785" i="2"/>
  <c r="H805" i="2"/>
  <c r="H806" i="2" s="1"/>
  <c r="E782" i="2" s="1"/>
  <c r="J1698" i="2"/>
  <c r="J1707" i="2"/>
  <c r="J1701" i="2"/>
  <c r="H1710" i="2"/>
  <c r="H1711" i="2" s="1"/>
  <c r="E1695" i="2" s="1"/>
  <c r="H1691" i="2"/>
  <c r="H1692" i="2" s="1"/>
  <c r="E1675" i="2" s="1"/>
  <c r="J1678" i="2"/>
  <c r="J1688" i="2"/>
  <c r="J1681" i="2"/>
  <c r="J1150" i="2"/>
  <c r="I1797" i="2"/>
  <c r="H1801" i="2"/>
  <c r="I2327" i="2"/>
  <c r="H2331" i="2"/>
  <c r="J1493" i="2"/>
  <c r="J1483" i="2"/>
  <c r="H1496" i="2"/>
  <c r="H1497" i="2" s="1"/>
  <c r="E1480" i="2" s="1"/>
  <c r="J1486" i="2"/>
  <c r="J1433" i="2"/>
  <c r="H1436" i="2"/>
  <c r="H1437" i="2" s="1"/>
  <c r="E1420" i="2" s="1"/>
  <c r="J1426" i="2"/>
  <c r="J1423" i="2"/>
  <c r="H1154" i="2"/>
  <c r="H1155" i="2" s="1"/>
  <c r="E1138" i="2" s="1"/>
  <c r="J1151" i="2"/>
  <c r="J1141" i="2"/>
  <c r="J1144" i="2"/>
  <c r="J941" i="2"/>
  <c r="I2125" i="2"/>
  <c r="J2125" i="2" s="1"/>
  <c r="H2129" i="2"/>
  <c r="I2302" i="2"/>
  <c r="H2306" i="2"/>
  <c r="J936" i="2"/>
  <c r="H946" i="2"/>
  <c r="H947" i="2" s="1"/>
  <c r="E930" i="2" s="1"/>
  <c r="J933" i="2"/>
  <c r="J942" i="2"/>
  <c r="I2352" i="2"/>
  <c r="H2356" i="2"/>
  <c r="I2022" i="2"/>
  <c r="H2026" i="2"/>
  <c r="J1628" i="2"/>
  <c r="J1062" i="2"/>
  <c r="I1947" i="2"/>
  <c r="H1951" i="2"/>
  <c r="J1191" i="2"/>
  <c r="J1184" i="2"/>
  <c r="J1181" i="2"/>
  <c r="H1194" i="2"/>
  <c r="H1195" i="2" s="1"/>
  <c r="E1178" i="2" s="1"/>
  <c r="I1772" i="2"/>
  <c r="H1776" i="2"/>
  <c r="J815" i="2"/>
  <c r="J828" i="2"/>
  <c r="H832" i="2"/>
  <c r="H833" i="2" s="1"/>
  <c r="E809" i="2" s="1"/>
  <c r="J812" i="2"/>
  <c r="H778" i="2"/>
  <c r="H779" i="2" s="1"/>
  <c r="E755" i="2" s="1"/>
  <c r="J761" i="2"/>
  <c r="J774" i="2"/>
  <c r="J758" i="2"/>
  <c r="J1326" i="2"/>
  <c r="H1336" i="2"/>
  <c r="H1337" i="2" s="1"/>
  <c r="E1320" i="2" s="1"/>
  <c r="J1333" i="2"/>
  <c r="J1323" i="2"/>
  <c r="I2201" i="2"/>
  <c r="H2205" i="2"/>
  <c r="I2453" i="2"/>
  <c r="H2457" i="2"/>
  <c r="I1872" i="2"/>
  <c r="H1876" i="2"/>
  <c r="J1372" i="2"/>
  <c r="H1376" i="2"/>
  <c r="H1377" i="2" s="1"/>
  <c r="E1360" i="2" s="1"/>
  <c r="J1366" i="2"/>
  <c r="J1363" i="2"/>
  <c r="J1373" i="2"/>
  <c r="J827" i="2"/>
  <c r="J773" i="2"/>
  <c r="J1551" i="2"/>
  <c r="J1542" i="2"/>
  <c r="J1545" i="2"/>
  <c r="H1554" i="2"/>
  <c r="H1555" i="2" s="1"/>
  <c r="E1539" i="2" s="1"/>
  <c r="I2252" i="2"/>
  <c r="H2256" i="2"/>
  <c r="J969" i="2"/>
  <c r="H973" i="2"/>
  <c r="H974" i="2" s="1"/>
  <c r="E950" i="2" s="1"/>
  <c r="J956" i="2"/>
  <c r="J953" i="2"/>
  <c r="J1201" i="2"/>
  <c r="J1204" i="2"/>
  <c r="J1211" i="2"/>
  <c r="H1214" i="2"/>
  <c r="H1215" i="2" s="1"/>
  <c r="E1198" i="2" s="1"/>
  <c r="J1590" i="2"/>
  <c r="J1584" i="2"/>
  <c r="J1581" i="2"/>
  <c r="H1593" i="2"/>
  <c r="H1594" i="2" s="1"/>
  <c r="E1578" i="2" s="1"/>
  <c r="J1412" i="2"/>
  <c r="I2176" i="2"/>
  <c r="H2180" i="2"/>
  <c r="I1997" i="2"/>
  <c r="H2001" i="2"/>
  <c r="J980" i="2"/>
  <c r="J989" i="2"/>
  <c r="H993" i="2"/>
  <c r="H994" i="2" s="1"/>
  <c r="E977" i="2" s="1"/>
  <c r="J983" i="2"/>
  <c r="J1550" i="2"/>
  <c r="J1620" i="2"/>
  <c r="J1629" i="2"/>
  <c r="H1632" i="2"/>
  <c r="H1633" i="2" s="1"/>
  <c r="E1617" i="2" s="1"/>
  <c r="J1623" i="2"/>
  <c r="J1063" i="2"/>
  <c r="H1067" i="2"/>
  <c r="H1068" i="2" s="1"/>
  <c r="E1044" i="2" s="1"/>
  <c r="J1050" i="2"/>
  <c r="J1047" i="2"/>
  <c r="I1847" i="2"/>
  <c r="H1851" i="2"/>
  <c r="I579" i="2"/>
  <c r="H582" i="2"/>
  <c r="J1292" i="2"/>
  <c r="H1296" i="2"/>
  <c r="H1297" i="2" s="1"/>
  <c r="E1280" i="2" s="1"/>
  <c r="J1293" i="2"/>
  <c r="J1286" i="2"/>
  <c r="J1283" i="2"/>
  <c r="H1087" i="2"/>
  <c r="H1088" i="2" s="1"/>
  <c r="E1071" i="2" s="1"/>
  <c r="J1077" i="2"/>
  <c r="J1074" i="2"/>
  <c r="J1083" i="2"/>
  <c r="J1406" i="2"/>
  <c r="J1403" i="2"/>
  <c r="H1416" i="2"/>
  <c r="H1417" i="2" s="1"/>
  <c r="E1400" i="2" s="1"/>
  <c r="I2227" i="2"/>
  <c r="H2231" i="2"/>
  <c r="I2428" i="2"/>
  <c r="H2432" i="2"/>
  <c r="H2533" i="2"/>
  <c r="I2529" i="2"/>
  <c r="J2529" i="2" s="1"/>
  <c r="I2597" i="2"/>
  <c r="H2601" i="2"/>
  <c r="J746" i="2"/>
  <c r="J1312" i="2"/>
  <c r="I2479" i="2"/>
  <c r="H2483" i="2"/>
  <c r="J1531" i="2"/>
  <c r="J1522" i="2"/>
  <c r="J1525" i="2"/>
  <c r="H1535" i="2"/>
  <c r="H1536" i="2" s="1"/>
  <c r="E1519" i="2" s="1"/>
  <c r="J1532" i="2"/>
  <c r="J875" i="2"/>
  <c r="J862" i="2"/>
  <c r="H879" i="2"/>
  <c r="H880" i="2" s="1"/>
  <c r="E856" i="2" s="1"/>
  <c r="J859" i="2"/>
  <c r="J522" i="2"/>
  <c r="I2550" i="2"/>
  <c r="H2554" i="2"/>
  <c r="I1272" i="2"/>
  <c r="J1272" i="2" s="1"/>
  <c r="H1275" i="2"/>
  <c r="J1443" i="2"/>
  <c r="J1453" i="2"/>
  <c r="J1446" i="2"/>
  <c r="H1456" i="2"/>
  <c r="H1457" i="2" s="1"/>
  <c r="E1440" i="2" s="1"/>
  <c r="I2074" i="2"/>
  <c r="H2078" i="2"/>
  <c r="I2504" i="2"/>
  <c r="H2508" i="2"/>
  <c r="J1452" i="2"/>
  <c r="J1036" i="2"/>
  <c r="J894" i="2"/>
  <c r="H1234" i="2"/>
  <c r="I1230" i="2"/>
  <c r="I2100" i="2"/>
  <c r="H2104" i="2"/>
  <c r="J1303" i="2"/>
  <c r="J1313" i="2"/>
  <c r="J1306" i="2"/>
  <c r="H1316" i="2"/>
  <c r="H1317" i="2" s="1"/>
  <c r="E1300" i="2" s="1"/>
  <c r="H1040" i="2"/>
  <c r="H1041" i="2" s="1"/>
  <c r="E1024" i="2" s="1"/>
  <c r="J1037" i="2"/>
  <c r="J1027" i="2"/>
  <c r="J1030" i="2"/>
  <c r="J1472" i="2"/>
  <c r="H1476" i="2"/>
  <c r="H1477" i="2" s="1"/>
  <c r="E1460" i="2" s="1"/>
  <c r="J1473" i="2"/>
  <c r="J1466" i="2"/>
  <c r="J1463" i="2"/>
  <c r="H899" i="2"/>
  <c r="H900" i="2" s="1"/>
  <c r="E883" i="2" s="1"/>
  <c r="J886" i="2"/>
  <c r="J895" i="2"/>
  <c r="J889" i="2"/>
  <c r="J1252" i="2"/>
  <c r="J1245" i="2"/>
  <c r="J1242" i="2"/>
  <c r="H1256" i="2"/>
  <c r="H1257" i="2"/>
  <c r="E1239" i="2" s="1"/>
  <c r="H1396" i="2"/>
  <c r="H1397" i="2" s="1"/>
  <c r="E1380" i="2" s="1"/>
  <c r="J1386" i="2"/>
  <c r="J1383" i="2"/>
  <c r="J1393" i="2"/>
  <c r="H926" i="2"/>
  <c r="H927" i="2" s="1"/>
  <c r="E903" i="2" s="1"/>
  <c r="J909" i="2"/>
  <c r="J922" i="2"/>
  <c r="J906" i="2"/>
  <c r="I1922" i="2"/>
  <c r="H1926" i="2"/>
  <c r="I1822" i="2"/>
  <c r="H1826" i="2"/>
  <c r="J1346" i="2"/>
  <c r="H1356" i="2"/>
  <c r="H1357" i="2" s="1"/>
  <c r="E1340" i="2" s="1"/>
  <c r="J1343" i="2"/>
  <c r="J1353" i="2"/>
  <c r="J1503" i="2"/>
  <c r="H1515" i="2"/>
  <c r="H1516" i="2" s="1"/>
  <c r="E1500" i="2" s="1"/>
  <c r="J1506" i="2"/>
  <c r="J1512" i="2"/>
  <c r="J1561" i="2"/>
  <c r="J1564" i="2"/>
  <c r="J1571" i="2"/>
  <c r="H1574" i="2"/>
  <c r="H1575" i="2" s="1"/>
  <c r="E1558" i="2" s="1"/>
  <c r="J1392" i="2"/>
  <c r="J1720" i="2"/>
  <c r="J1717" i="2"/>
  <c r="J1727" i="2"/>
  <c r="H1730" i="2"/>
  <c r="H1731" i="2" s="1"/>
  <c r="E1714" i="2" s="1"/>
  <c r="I1897" i="2"/>
  <c r="H1901" i="2"/>
  <c r="I2378" i="2"/>
  <c r="H2382" i="2"/>
  <c r="I2277" i="2"/>
  <c r="H2281" i="2"/>
  <c r="J1352" i="2"/>
  <c r="J1667" i="2"/>
  <c r="J1511" i="2"/>
  <c r="J1570" i="2"/>
  <c r="H852" i="2"/>
  <c r="H853" i="2" s="1"/>
  <c r="E836" i="2" s="1"/>
  <c r="J839" i="2"/>
  <c r="J848" i="2"/>
  <c r="J842" i="2"/>
  <c r="H1020" i="2"/>
  <c r="H1021" i="2" s="1"/>
  <c r="E997" i="2" s="1"/>
  <c r="J1000" i="2"/>
  <c r="J1003" i="2"/>
  <c r="J1016" i="2"/>
  <c r="J1726" i="2"/>
  <c r="I1972" i="2"/>
  <c r="H1976" i="2"/>
  <c r="J1492" i="2"/>
  <c r="I2403" i="2"/>
  <c r="H2407" i="2"/>
  <c r="J1124" i="2"/>
  <c r="H1134" i="2"/>
  <c r="H1135" i="2" s="1"/>
  <c r="E1118" i="2" s="1"/>
  <c r="J1131" i="2"/>
  <c r="J1121" i="2"/>
  <c r="H473" i="2"/>
  <c r="J1847" i="2" l="1"/>
  <c r="J1066" i="2"/>
  <c r="J1067" i="2" s="1"/>
  <c r="J2074" i="2"/>
  <c r="J2428" i="2"/>
  <c r="J2176" i="2"/>
  <c r="J2453" i="2"/>
  <c r="J777" i="2"/>
  <c r="J1086" i="2"/>
  <c r="J1087" i="2" s="1"/>
  <c r="J2378" i="2"/>
  <c r="J527" i="2"/>
  <c r="E63" i="2"/>
  <c r="F63" i="2" s="1"/>
  <c r="F1024" i="2"/>
  <c r="F836" i="2"/>
  <c r="E55" i="2"/>
  <c r="F55" i="2" s="1"/>
  <c r="E56" i="2"/>
  <c r="F56" i="2" s="1"/>
  <c r="F856" i="2"/>
  <c r="J2188" i="2"/>
  <c r="J2191" i="2"/>
  <c r="J2202" i="2"/>
  <c r="H2206" i="2"/>
  <c r="H2207" i="2" s="1"/>
  <c r="E2185" i="2" s="1"/>
  <c r="F1380" i="2"/>
  <c r="E81" i="2"/>
  <c r="F81" i="2" s="1"/>
  <c r="E84" i="2"/>
  <c r="F84" i="2" s="1"/>
  <c r="F1440" i="2"/>
  <c r="H2332" i="2"/>
  <c r="H2333" i="2" s="1"/>
  <c r="E2311" i="2" s="1"/>
  <c r="J2314" i="2"/>
  <c r="J2328" i="2"/>
  <c r="J2317" i="2"/>
  <c r="H2105" i="2"/>
  <c r="J2101" i="2"/>
  <c r="J2089" i="2"/>
  <c r="H2106" i="2"/>
  <c r="E2083" i="2" s="1"/>
  <c r="J2086" i="2"/>
  <c r="J2339" i="2"/>
  <c r="J2342" i="2"/>
  <c r="H2357" i="2"/>
  <c r="H2358" i="2" s="1"/>
  <c r="E2336" i="2" s="1"/>
  <c r="J2353" i="2"/>
  <c r="F782" i="2"/>
  <c r="E53" i="2"/>
  <c r="F53" i="2" s="1"/>
  <c r="J1920" i="2"/>
  <c r="J1923" i="2"/>
  <c r="J1912" i="2"/>
  <c r="H1927" i="2"/>
  <c r="H1928" i="2" s="1"/>
  <c r="E1906" i="2" s="1"/>
  <c r="J1909" i="2"/>
  <c r="F1460" i="2"/>
  <c r="E85" i="2"/>
  <c r="F85" i="2" s="1"/>
  <c r="J1997" i="2"/>
  <c r="J925" i="2"/>
  <c r="J926" i="2" s="1"/>
  <c r="J1231" i="2"/>
  <c r="J1224" i="2"/>
  <c r="H1235" i="2"/>
  <c r="H1236" i="2" s="1"/>
  <c r="E1218" i="2" s="1"/>
  <c r="J1221" i="2"/>
  <c r="J1266" i="2"/>
  <c r="J1273" i="2"/>
  <c r="H1276" i="2"/>
  <c r="H1277" i="2" s="1"/>
  <c r="E1260" i="2" s="1"/>
  <c r="J1263" i="2"/>
  <c r="E60" i="2"/>
  <c r="F60" i="2" s="1"/>
  <c r="F950" i="2"/>
  <c r="J945" i="2"/>
  <c r="J946" i="2" s="1"/>
  <c r="J2390" i="2"/>
  <c r="J2404" i="2"/>
  <c r="J2393" i="2"/>
  <c r="H2408" i="2"/>
  <c r="H2409" i="2" s="1"/>
  <c r="E2387" i="2" s="1"/>
  <c r="E58" i="2"/>
  <c r="F58" i="2" s="1"/>
  <c r="F903" i="2"/>
  <c r="E93" i="2"/>
  <c r="F93" i="2" s="1"/>
  <c r="F1617" i="2"/>
  <c r="J2403" i="2"/>
  <c r="E87" i="2"/>
  <c r="F87" i="2" s="1"/>
  <c r="F1500" i="2"/>
  <c r="J1039" i="2"/>
  <c r="J1040" i="2" s="1"/>
  <c r="J2227" i="2"/>
  <c r="E91" i="2"/>
  <c r="F91" i="2" s="1"/>
  <c r="F1578" i="2"/>
  <c r="J2049" i="2"/>
  <c r="J851" i="2"/>
  <c r="J852" i="2" s="1"/>
  <c r="J2550" i="2"/>
  <c r="J2252" i="2"/>
  <c r="E95" i="2"/>
  <c r="F95" i="2" s="1"/>
  <c r="F1656" i="2"/>
  <c r="J2479" i="2"/>
  <c r="J1895" i="2"/>
  <c r="J1887" i="2"/>
  <c r="H1902" i="2"/>
  <c r="H1903" i="2" s="1"/>
  <c r="E1881" i="2" s="1"/>
  <c r="J1884" i="2"/>
  <c r="J1898" i="2"/>
  <c r="E59" i="2"/>
  <c r="F59" i="2" s="1"/>
  <c r="F930" i="2"/>
  <c r="J1897" i="2"/>
  <c r="E57" i="2"/>
  <c r="F57" i="2" s="1"/>
  <c r="F883" i="2"/>
  <c r="H2257" i="2"/>
  <c r="H2258" i="2" s="1"/>
  <c r="E2236" i="2" s="1"/>
  <c r="J2239" i="2"/>
  <c r="J2253" i="2"/>
  <c r="J2242" i="2"/>
  <c r="E83" i="2"/>
  <c r="F83" i="2" s="1"/>
  <c r="F1420" i="2"/>
  <c r="E98" i="2"/>
  <c r="F98" i="2" s="1"/>
  <c r="F1714" i="2"/>
  <c r="F1400" i="2"/>
  <c r="E82" i="2"/>
  <c r="F82" i="2" s="1"/>
  <c r="J1859" i="2"/>
  <c r="J1873" i="2"/>
  <c r="H1877" i="2"/>
  <c r="H1878" i="2" s="1"/>
  <c r="E1856" i="2" s="1"/>
  <c r="J1870" i="2"/>
  <c r="J1862" i="2"/>
  <c r="J2289" i="2"/>
  <c r="J2292" i="2"/>
  <c r="H2307" i="2"/>
  <c r="H2308" i="2" s="1"/>
  <c r="E2286" i="2" s="1"/>
  <c r="J2303" i="2"/>
  <c r="H2509" i="2"/>
  <c r="H2510" i="2" s="1"/>
  <c r="E2488" i="2" s="1"/>
  <c r="J2505" i="2"/>
  <c r="J2491" i="2"/>
  <c r="J2494" i="2"/>
  <c r="E89" i="2"/>
  <c r="F89" i="2" s="1"/>
  <c r="F1539" i="2"/>
  <c r="J1872" i="2"/>
  <c r="F755" i="2"/>
  <c r="E52" i="2"/>
  <c r="F52" i="2" s="1"/>
  <c r="J1947" i="2"/>
  <c r="J2302" i="2"/>
  <c r="E96" i="2"/>
  <c r="F96" i="2" s="1"/>
  <c r="F1675" i="2"/>
  <c r="J1972" i="2"/>
  <c r="J898" i="2"/>
  <c r="J899" i="2" s="1"/>
  <c r="E77" i="2"/>
  <c r="F77" i="2" s="1"/>
  <c r="F1300" i="2"/>
  <c r="J2504" i="2"/>
  <c r="J579" i="2"/>
  <c r="J2443" i="2"/>
  <c r="J2454" i="2"/>
  <c r="J2440" i="2"/>
  <c r="H2458" i="2"/>
  <c r="H2459" i="2" s="1"/>
  <c r="E2437" i="2" s="1"/>
  <c r="J831" i="2"/>
  <c r="J832" i="2" s="1"/>
  <c r="H2130" i="2"/>
  <c r="H2131" i="2" s="1"/>
  <c r="E2109" i="2" s="1"/>
  <c r="J2112" i="2"/>
  <c r="J2115" i="2"/>
  <c r="J2126" i="2"/>
  <c r="E86" i="2"/>
  <c r="F86" i="2" s="1"/>
  <c r="F1480" i="2"/>
  <c r="E97" i="2"/>
  <c r="F97" i="2" s="1"/>
  <c r="F1695" i="2"/>
  <c r="J2213" i="2"/>
  <c r="H2232" i="2"/>
  <c r="H2233" i="2" s="1"/>
  <c r="E2210" i="2" s="1"/>
  <c r="J2216" i="2"/>
  <c r="J2228" i="2"/>
  <c r="F1360" i="2"/>
  <c r="E80" i="2"/>
  <c r="F80" i="2" s="1"/>
  <c r="H2054" i="2"/>
  <c r="H2055" i="2" s="1"/>
  <c r="E2031" i="2" s="1"/>
  <c r="J2037" i="2"/>
  <c r="J2050" i="2"/>
  <c r="J2034" i="2"/>
  <c r="H2555" i="2"/>
  <c r="H2556" i="2" s="1"/>
  <c r="E2538" i="2" s="1"/>
  <c r="J2541" i="2"/>
  <c r="J2544" i="2"/>
  <c r="J2547" i="2"/>
  <c r="J2551" i="2"/>
  <c r="F1280" i="2"/>
  <c r="E76" i="2"/>
  <c r="F76" i="2" s="1"/>
  <c r="J2480" i="2"/>
  <c r="J2468" i="2"/>
  <c r="H2484" i="2"/>
  <c r="H2485" i="2" s="1"/>
  <c r="E2462" i="2" s="1"/>
  <c r="J2465" i="2"/>
  <c r="J1937" i="2"/>
  <c r="J1934" i="2"/>
  <c r="J1948" i="2"/>
  <c r="H1952" i="2"/>
  <c r="H1953" i="2" s="1"/>
  <c r="E1931" i="2" s="1"/>
  <c r="J1945" i="2"/>
  <c r="J1959" i="2"/>
  <c r="J1973" i="2"/>
  <c r="J1962" i="2"/>
  <c r="H1977" i="2"/>
  <c r="H1978" i="2" s="1"/>
  <c r="E1956" i="2" s="1"/>
  <c r="J1970" i="2"/>
  <c r="J562" i="2"/>
  <c r="J565" i="2"/>
  <c r="H583" i="2"/>
  <c r="H584" i="2" s="1"/>
  <c r="E559" i="2" s="1"/>
  <c r="F559" i="2" s="1"/>
  <c r="E79" i="2"/>
  <c r="F79" i="2" s="1"/>
  <c r="F1340" i="2"/>
  <c r="H2079" i="2"/>
  <c r="J2064" i="2"/>
  <c r="H2080" i="2"/>
  <c r="E2058" i="2" s="1"/>
  <c r="J2061" i="2"/>
  <c r="J2075" i="2"/>
  <c r="J1845" i="2"/>
  <c r="J1837" i="2"/>
  <c r="J1848" i="2"/>
  <c r="H1852" i="2"/>
  <c r="H1853" i="2" s="1"/>
  <c r="E1831" i="2" s="1"/>
  <c r="J1834" i="2"/>
  <c r="E61" i="2"/>
  <c r="F61" i="2" s="1"/>
  <c r="F977" i="2"/>
  <c r="E72" i="2"/>
  <c r="F72" i="2" s="1"/>
  <c r="F1198" i="2"/>
  <c r="E54" i="2"/>
  <c r="F54" i="2" s="1"/>
  <c r="F809" i="2"/>
  <c r="J1113" i="2"/>
  <c r="J1114" i="2" s="1"/>
  <c r="E62" i="2"/>
  <c r="F62" i="2" s="1"/>
  <c r="F997" i="2"/>
  <c r="J2593" i="2"/>
  <c r="J2598" i="2"/>
  <c r="H2602" i="2"/>
  <c r="H2603" i="2" s="1"/>
  <c r="E2584" i="2" s="1"/>
  <c r="J2587" i="2"/>
  <c r="J2590" i="2"/>
  <c r="E66" i="2"/>
  <c r="F66" i="2" s="1"/>
  <c r="F1091" i="2"/>
  <c r="H1827" i="2"/>
  <c r="H1828" i="2" s="1"/>
  <c r="E1806" i="2" s="1"/>
  <c r="J1812" i="2"/>
  <c r="J1823" i="2"/>
  <c r="J1809" i="2"/>
  <c r="J2597" i="2"/>
  <c r="J992" i="2"/>
  <c r="J993" i="2" s="1"/>
  <c r="J2022" i="2"/>
  <c r="J1822" i="2"/>
  <c r="J1762" i="2"/>
  <c r="H1777" i="2"/>
  <c r="H1778" i="2" s="1"/>
  <c r="E1756" i="2" s="1"/>
  <c r="J1759" i="2"/>
  <c r="J1773" i="2"/>
  <c r="J1019" i="2"/>
  <c r="J1020" i="2" s="1"/>
  <c r="J2100" i="2"/>
  <c r="E65" i="2"/>
  <c r="F65" i="2" s="1"/>
  <c r="F1071" i="2"/>
  <c r="H2027" i="2"/>
  <c r="H2028" i="2"/>
  <c r="E2006" i="2" s="1"/>
  <c r="J2023" i="2"/>
  <c r="J2009" i="2"/>
  <c r="J2012" i="2"/>
  <c r="F1558" i="2"/>
  <c r="E90" i="2"/>
  <c r="F90" i="2" s="1"/>
  <c r="J2201" i="2"/>
  <c r="H2282" i="2"/>
  <c r="H2283" i="2" s="1"/>
  <c r="E2261" i="2" s="1"/>
  <c r="J2267" i="2"/>
  <c r="J2264" i="2"/>
  <c r="J2278" i="2"/>
  <c r="F1239" i="2"/>
  <c r="E74" i="2"/>
  <c r="F74" i="2" s="1"/>
  <c r="H2002" i="2"/>
  <c r="H2003" i="2" s="1"/>
  <c r="E1981" i="2" s="1"/>
  <c r="J1998" i="2"/>
  <c r="J1984" i="2"/>
  <c r="J1987" i="2"/>
  <c r="J2327" i="2"/>
  <c r="E92" i="2"/>
  <c r="F92" i="2" s="1"/>
  <c r="F1597" i="2"/>
  <c r="J2277" i="2"/>
  <c r="J2530" i="2"/>
  <c r="H2534" i="2"/>
  <c r="H2535" i="2" s="1"/>
  <c r="E2513" i="2" s="1"/>
  <c r="J2516" i="2"/>
  <c r="J2519" i="2"/>
  <c r="E64" i="2"/>
  <c r="F64" i="2" s="1"/>
  <c r="F1044" i="2"/>
  <c r="J972" i="2"/>
  <c r="J973" i="2" s="1"/>
  <c r="J1772" i="2"/>
  <c r="J2352" i="2"/>
  <c r="H1802" i="2"/>
  <c r="H1803" i="2" s="1"/>
  <c r="E1781" i="2" s="1"/>
  <c r="J1798" i="2"/>
  <c r="J1784" i="2"/>
  <c r="J1787" i="2"/>
  <c r="J804" i="2"/>
  <c r="J805" i="2" s="1"/>
  <c r="J2140" i="2"/>
  <c r="H2156" i="2"/>
  <c r="H2157" i="2" s="1"/>
  <c r="E2134" i="2" s="1"/>
  <c r="J2152" i="2"/>
  <c r="J2137" i="2"/>
  <c r="E68" i="2"/>
  <c r="F68" i="2" s="1"/>
  <c r="F1118" i="2"/>
  <c r="J2367" i="2"/>
  <c r="J2379" i="2"/>
  <c r="H2383" i="2"/>
  <c r="H2384" i="2" s="1"/>
  <c r="E2361" i="2" s="1"/>
  <c r="J2364" i="2"/>
  <c r="J1922" i="2"/>
  <c r="J1230" i="2"/>
  <c r="E88" i="2"/>
  <c r="F88" i="2" s="1"/>
  <c r="F1519" i="2"/>
  <c r="J2415" i="2"/>
  <c r="H2433" i="2"/>
  <c r="H2434" i="2" s="1"/>
  <c r="E2412" i="2" s="1"/>
  <c r="J2418" i="2"/>
  <c r="J2429" i="2"/>
  <c r="J2166" i="2"/>
  <c r="J2163" i="2"/>
  <c r="J2177" i="2"/>
  <c r="H2181" i="2"/>
  <c r="H2182" i="2" s="1"/>
  <c r="E2160" i="2" s="1"/>
  <c r="E78" i="2"/>
  <c r="F78" i="2" s="1"/>
  <c r="F1320" i="2"/>
  <c r="E71" i="2"/>
  <c r="F71" i="2" s="1"/>
  <c r="F1178" i="2"/>
  <c r="E69" i="2"/>
  <c r="F69" i="2" s="1"/>
  <c r="F1138" i="2"/>
  <c r="J1797" i="2"/>
  <c r="E94" i="2"/>
  <c r="F94" i="2" s="1"/>
  <c r="F1636" i="2"/>
  <c r="J2151" i="2"/>
  <c r="J459" i="2"/>
  <c r="J456" i="2"/>
  <c r="J469" i="2"/>
  <c r="H1750" i="2"/>
  <c r="E111" i="2" l="1"/>
  <c r="F111" i="2" s="1"/>
  <c r="F1981" i="2"/>
  <c r="F2236" i="2"/>
  <c r="E121" i="2"/>
  <c r="F121" i="2" s="1"/>
  <c r="E113" i="2"/>
  <c r="F113" i="2" s="1"/>
  <c r="F2031" i="2"/>
  <c r="E110" i="2"/>
  <c r="F110" i="2" s="1"/>
  <c r="F1956" i="2"/>
  <c r="E122" i="2"/>
  <c r="F122" i="2" s="1"/>
  <c r="F2261" i="2"/>
  <c r="E104" i="2"/>
  <c r="F104" i="2" s="1"/>
  <c r="F1806" i="2"/>
  <c r="F2134" i="2"/>
  <c r="E117" i="2"/>
  <c r="F117" i="2" s="1"/>
  <c r="E109" i="2"/>
  <c r="F109" i="2" s="1"/>
  <c r="F1931" i="2"/>
  <c r="E134" i="2"/>
  <c r="F134" i="2" s="1"/>
  <c r="F2538" i="2"/>
  <c r="E127" i="2"/>
  <c r="F127" i="2" s="1"/>
  <c r="F2387" i="2"/>
  <c r="F2210" i="2"/>
  <c r="E120" i="2"/>
  <c r="F120" i="2" s="1"/>
  <c r="E105" i="2"/>
  <c r="F105" i="2" s="1"/>
  <c r="F1831" i="2"/>
  <c r="J584" i="2"/>
  <c r="E126" i="2"/>
  <c r="F126" i="2" s="1"/>
  <c r="F2361" i="2"/>
  <c r="E130" i="2"/>
  <c r="F130" i="2" s="1"/>
  <c r="F2462" i="2"/>
  <c r="E115" i="2"/>
  <c r="F115" i="2" s="1"/>
  <c r="F2083" i="2"/>
  <c r="F1260" i="2"/>
  <c r="E75" i="2"/>
  <c r="F75" i="2" s="1"/>
  <c r="E106" i="2"/>
  <c r="F106" i="2" s="1"/>
  <c r="F1856" i="2"/>
  <c r="F2185" i="2"/>
  <c r="E119" i="2"/>
  <c r="F119" i="2" s="1"/>
  <c r="E114" i="2"/>
  <c r="F114" i="2" s="1"/>
  <c r="F2058" i="2"/>
  <c r="E116" i="2"/>
  <c r="F116" i="2" s="1"/>
  <c r="F2109" i="2"/>
  <c r="E108" i="2"/>
  <c r="F108" i="2" s="1"/>
  <c r="F1906" i="2"/>
  <c r="E128" i="2"/>
  <c r="F128" i="2" s="1"/>
  <c r="F2412" i="2"/>
  <c r="E102" i="2"/>
  <c r="F102" i="2" s="1"/>
  <c r="F1756" i="2"/>
  <c r="E131" i="2"/>
  <c r="F131" i="2" s="1"/>
  <c r="F2488" i="2"/>
  <c r="E103" i="2"/>
  <c r="F103" i="2" s="1"/>
  <c r="F1781" i="2"/>
  <c r="E73" i="2"/>
  <c r="F73" i="2" s="1"/>
  <c r="F1218" i="2"/>
  <c r="E129" i="2"/>
  <c r="F129" i="2" s="1"/>
  <c r="F2437" i="2"/>
  <c r="E137" i="2"/>
  <c r="F137" i="2" s="1"/>
  <c r="F2584" i="2"/>
  <c r="E123" i="2"/>
  <c r="F123" i="2" s="1"/>
  <c r="F2286" i="2"/>
  <c r="E132" i="2"/>
  <c r="F132" i="2" s="1"/>
  <c r="F2513" i="2"/>
  <c r="E112" i="2"/>
  <c r="F112" i="2" s="1"/>
  <c r="F2006" i="2"/>
  <c r="E124" i="2"/>
  <c r="F124" i="2" s="1"/>
  <c r="F2311" i="2"/>
  <c r="E107" i="2"/>
  <c r="F107" i="2" s="1"/>
  <c r="F1881" i="2"/>
  <c r="E125" i="2"/>
  <c r="F125" i="2" s="1"/>
  <c r="F2336" i="2"/>
  <c r="F2160" i="2"/>
  <c r="E118" i="2"/>
  <c r="F118" i="2" s="1"/>
  <c r="J474" i="2"/>
  <c r="F1158" i="2"/>
  <c r="I1749" i="2"/>
  <c r="F53" i="14"/>
  <c r="E53" i="14"/>
  <c r="F52" i="14"/>
  <c r="G83" i="14"/>
  <c r="G82" i="14"/>
  <c r="G79" i="14"/>
  <c r="F34" i="14"/>
  <c r="E34" i="14"/>
  <c r="G78" i="14"/>
  <c r="F33" i="14"/>
  <c r="E33" i="14"/>
  <c r="G77" i="14"/>
  <c r="G72" i="14"/>
  <c r="G74" i="14"/>
  <c r="G71" i="14"/>
  <c r="F25" i="14"/>
  <c r="E25" i="14"/>
  <c r="F24" i="14"/>
  <c r="E24" i="14"/>
  <c r="F23" i="14"/>
  <c r="E23" i="14"/>
  <c r="G76" i="14"/>
  <c r="F22" i="14"/>
  <c r="E22" i="14"/>
  <c r="G73" i="14"/>
  <c r="F21" i="14"/>
  <c r="E21" i="14"/>
  <c r="S20" i="14"/>
  <c r="S19" i="14"/>
  <c r="G75" i="14"/>
  <c r="G62" i="14"/>
  <c r="G53" i="14" l="1"/>
  <c r="G54" i="14" s="1"/>
  <c r="G55" i="14" s="1"/>
  <c r="G22" i="14"/>
  <c r="G24" i="14"/>
  <c r="G63" i="14"/>
  <c r="G64" i="14" s="1"/>
  <c r="G21" i="14"/>
  <c r="G36" i="14"/>
  <c r="G37" i="14" s="1"/>
  <c r="G23" i="14"/>
  <c r="G45" i="14"/>
  <c r="G25" i="14"/>
  <c r="G46" i="14" l="1"/>
  <c r="G47" i="14" s="1"/>
  <c r="G48" i="14" s="1"/>
  <c r="G49" i="14" s="1"/>
  <c r="G26" i="14"/>
  <c r="G27" i="14" s="1"/>
  <c r="G28" i="14" s="1"/>
  <c r="G29" i="14" s="1"/>
  <c r="G30" i="14" s="1"/>
  <c r="G56" i="14"/>
  <c r="G57" i="14" s="1"/>
  <c r="G38" i="14"/>
  <c r="G39" i="14" s="1"/>
  <c r="G66" i="14" l="1"/>
  <c r="J66" i="14" s="1"/>
  <c r="D70" i="14"/>
  <c r="G70" i="14" s="1"/>
  <c r="G50" i="12"/>
  <c r="G46" i="12"/>
  <c r="G43" i="12"/>
  <c r="G42" i="12"/>
  <c r="G47" i="12"/>
  <c r="G44" i="12"/>
  <c r="G45" i="12"/>
  <c r="F35" i="12"/>
  <c r="G84" i="14" l="1"/>
  <c r="G86" i="14" s="1"/>
  <c r="F24" i="12"/>
  <c r="G41" i="12" l="1"/>
  <c r="G53" i="12" s="1"/>
  <c r="F36" i="12"/>
  <c r="F37" i="12" s="1"/>
  <c r="G55" i="12" l="1"/>
  <c r="G14" i="5" l="1"/>
  <c r="G42" i="5"/>
  <c r="G40" i="5"/>
  <c r="G39" i="5"/>
  <c r="G22" i="5"/>
  <c r="G23" i="5"/>
  <c r="G20" i="5"/>
  <c r="G19" i="5"/>
  <c r="G21" i="5"/>
  <c r="G105" i="5" l="1"/>
  <c r="G106" i="5" l="1"/>
  <c r="G107" i="5" s="1"/>
  <c r="G213" i="5" s="1"/>
  <c r="H394" i="2" l="1"/>
  <c r="H395" i="2" l="1"/>
  <c r="J378" i="2"/>
  <c r="J375" i="2"/>
  <c r="J391" i="2"/>
  <c r="J396" i="2" l="1"/>
  <c r="H396" i="2"/>
  <c r="E372" i="2" s="1"/>
  <c r="E38" i="2" s="1"/>
  <c r="F38" i="2" l="1"/>
  <c r="F372" i="2"/>
  <c r="H527" i="2" l="1"/>
  <c r="E502" i="2" s="1"/>
  <c r="E43" i="2" s="1"/>
  <c r="H555" i="2"/>
  <c r="F43" i="2" l="1"/>
  <c r="J533" i="2"/>
  <c r="J550" i="2"/>
  <c r="J536" i="2"/>
  <c r="F502" i="2"/>
  <c r="J556" i="2" l="1"/>
  <c r="H556" i="2"/>
  <c r="E530" i="2" s="1"/>
  <c r="E44" i="2" l="1"/>
  <c r="E45" i="2"/>
  <c r="F45" i="2" s="1"/>
  <c r="F530" i="2"/>
  <c r="F44" i="2" l="1"/>
  <c r="H665" i="2"/>
  <c r="H666" i="2" l="1"/>
  <c r="J645" i="2"/>
  <c r="J663" i="2"/>
  <c r="J662" i="2"/>
  <c r="J651" i="2"/>
  <c r="J648" i="2"/>
  <c r="H667" i="2" l="1"/>
  <c r="E642" i="2" s="1"/>
  <c r="E48" i="2" s="1"/>
  <c r="F48" i="2" l="1"/>
  <c r="F642" i="2"/>
  <c r="H722" i="2" l="1"/>
  <c r="H723" i="2" s="1"/>
  <c r="J702" i="2" l="1"/>
  <c r="J720" i="2"/>
  <c r="J719" i="2"/>
  <c r="J705" i="2"/>
  <c r="H724" i="2" l="1"/>
  <c r="E699" i="2" s="1"/>
  <c r="E50" i="2" s="1"/>
  <c r="F50" i="2" l="1"/>
  <c r="F699" i="2"/>
  <c r="H752" i="2"/>
  <c r="E727" i="2" l="1"/>
  <c r="E51" i="2" s="1"/>
  <c r="F51" i="2" l="1"/>
  <c r="F727" i="2"/>
  <c r="H474" i="2" l="1"/>
  <c r="E453" i="2" s="1"/>
  <c r="E41" i="2" s="1"/>
  <c r="F41" i="2" l="1"/>
  <c r="F453" i="2"/>
  <c r="J483" i="2" l="1"/>
  <c r="H498" i="2"/>
  <c r="J480" i="2"/>
  <c r="J493" i="2"/>
  <c r="J497" i="2" l="1"/>
  <c r="H499" i="2"/>
  <c r="E477" i="2" s="1"/>
  <c r="E42" i="2" s="1"/>
  <c r="F42" i="2" l="1"/>
  <c r="F477" i="2"/>
  <c r="H695" i="2" l="1"/>
  <c r="J692" i="2" l="1"/>
  <c r="J673" i="2"/>
  <c r="J691" i="2"/>
  <c r="J676" i="2"/>
  <c r="H696" i="2" l="1"/>
  <c r="E670" i="2" s="1"/>
  <c r="E49" i="2" s="1"/>
  <c r="F49" i="2" l="1"/>
  <c r="F670" i="2"/>
  <c r="H294" i="2" l="1"/>
  <c r="I294" i="2" l="1"/>
  <c r="H295" i="2"/>
  <c r="H296" i="2" s="1"/>
  <c r="J288" i="2" l="1"/>
  <c r="J285" i="2"/>
  <c r="J294" i="2"/>
  <c r="H297" i="2"/>
  <c r="E282" i="2" s="1"/>
  <c r="E33" i="2" s="1"/>
  <c r="H311" i="2"/>
  <c r="H312" i="2" s="1"/>
  <c r="H313" i="2" s="1"/>
  <c r="F33" i="2" l="1"/>
  <c r="J297" i="2"/>
  <c r="F282" i="2"/>
  <c r="I311" i="2"/>
  <c r="H314" i="2" l="1"/>
  <c r="E299" i="2" s="1"/>
  <c r="E34" i="2" s="1"/>
  <c r="J302" i="2"/>
  <c r="J305" i="2"/>
  <c r="J311" i="2"/>
  <c r="H340" i="2"/>
  <c r="J314" i="2" l="1"/>
  <c r="F34" i="2"/>
  <c r="I336" i="2"/>
  <c r="H341" i="2"/>
  <c r="F299" i="2"/>
  <c r="J336" i="2" l="1"/>
  <c r="J322" i="2"/>
  <c r="H342" i="2"/>
  <c r="E316" i="2" s="1"/>
  <c r="E36" i="2" s="1"/>
  <c r="J319" i="2"/>
  <c r="J342" i="2" l="1"/>
  <c r="F36" i="2"/>
  <c r="F316" i="2"/>
  <c r="H368" i="2" l="1"/>
  <c r="H369" i="2" s="1"/>
  <c r="E345" i="2" s="1"/>
  <c r="E37" i="2" s="1"/>
  <c r="J364" i="2"/>
  <c r="J351" i="2"/>
  <c r="J348" i="2"/>
  <c r="H418" i="2"/>
  <c r="H421" i="2" s="1"/>
  <c r="I418" i="2" l="1"/>
  <c r="F37" i="2"/>
  <c r="J369" i="2"/>
  <c r="F345" i="2"/>
  <c r="H422" i="2" l="1"/>
  <c r="H423" i="2" s="1"/>
  <c r="E399" i="2" s="1"/>
  <c r="E39" i="2" s="1"/>
  <c r="J402" i="2"/>
  <c r="J405" i="2"/>
  <c r="J418" i="2"/>
  <c r="H445" i="2"/>
  <c r="H448" i="2" l="1"/>
  <c r="H449" i="2" s="1"/>
  <c r="H450" i="2" s="1"/>
  <c r="E426" i="2" s="1"/>
  <c r="E40" i="2" s="1"/>
  <c r="F39" i="2"/>
  <c r="J423" i="2"/>
  <c r="F399" i="2"/>
  <c r="I445" i="2"/>
  <c r="J445" i="2" l="1"/>
  <c r="J432" i="2"/>
  <c r="J429" i="2"/>
  <c r="F40" i="2"/>
  <c r="F426" i="2"/>
  <c r="H607" i="2"/>
  <c r="J450" i="2" l="1"/>
  <c r="I607" i="2"/>
  <c r="H610" i="2"/>
  <c r="H611" i="2" s="1"/>
  <c r="H634" i="2"/>
  <c r="I634" i="2" l="1"/>
  <c r="H637" i="2"/>
  <c r="J590" i="2"/>
  <c r="J593" i="2"/>
  <c r="J607" i="2"/>
  <c r="H612" i="2"/>
  <c r="E587" i="2" s="1"/>
  <c r="E46" i="2" s="1"/>
  <c r="H638" i="2" l="1"/>
  <c r="H639" i="2" s="1"/>
  <c r="E615" i="2" s="1"/>
  <c r="E47" i="2" s="1"/>
  <c r="F46" i="2"/>
  <c r="J612" i="2"/>
  <c r="F587" i="2"/>
  <c r="J635" i="2"/>
  <c r="J618" i="2"/>
  <c r="J621" i="2"/>
  <c r="J624" i="2"/>
  <c r="J634" i="2"/>
  <c r="F47" i="2" l="1"/>
  <c r="F615" i="2"/>
  <c r="H1748" i="2"/>
  <c r="H1751" i="2" s="1"/>
  <c r="H1752" i="2" l="1"/>
  <c r="H1753" i="2" s="1"/>
  <c r="E1734" i="2" s="1"/>
  <c r="J1737" i="2"/>
  <c r="I1748" i="2"/>
  <c r="J1749" i="2" l="1"/>
  <c r="J1748" i="2"/>
  <c r="J1740" i="2"/>
  <c r="E100" i="2"/>
  <c r="F100" i="2" s="1"/>
  <c r="F146" i="2" s="1"/>
  <c r="F1734" i="2"/>
  <c r="F147" i="2" l="1"/>
  <c r="F148" i="2" s="1"/>
  <c r="F149" i="2" s="1"/>
  <c r="F150" i="2" l="1"/>
  <c r="G151" i="2" s="1"/>
  <c r="G154" i="2" s="1"/>
  <c r="G215" i="5" l="1"/>
  <c r="G214" i="5" s="1"/>
  <c r="F214" i="5" s="1"/>
</calcChain>
</file>

<file path=xl/sharedStrings.xml><?xml version="1.0" encoding="utf-8"?>
<sst xmlns="http://schemas.openxmlformats.org/spreadsheetml/2006/main" count="5634" uniqueCount="1050">
  <si>
    <t>CANT.</t>
  </si>
  <si>
    <t>P. TOTAL</t>
  </si>
  <si>
    <t>PRECIO NETO</t>
  </si>
  <si>
    <t>P . TOTAL</t>
  </si>
  <si>
    <t>P . UNIT.</t>
  </si>
  <si>
    <t xml:space="preserve">CONDICIONES COMERCIALES </t>
  </si>
  <si>
    <t>ITEM</t>
  </si>
  <si>
    <t>I.G.V. (18%)</t>
  </si>
  <si>
    <t>DESCRIPCIÓN</t>
  </si>
  <si>
    <t>Margen</t>
  </si>
  <si>
    <t>Pza</t>
  </si>
  <si>
    <t>Placa de Fabricante</t>
  </si>
  <si>
    <t>250x100mm</t>
  </si>
  <si>
    <t>Placa de Identificación Tablero</t>
  </si>
  <si>
    <t>140x40mm</t>
  </si>
  <si>
    <t>Placa de Identificación Componentes</t>
  </si>
  <si>
    <t>50x20mm</t>
  </si>
  <si>
    <t>Glb.</t>
  </si>
  <si>
    <t>Estimados Sres:</t>
  </si>
  <si>
    <t>En atencion a su grata solicitud, tenemos a bien alcanzarles nuestra propuesta tecnico economica</t>
  </si>
  <si>
    <t>Barra a tierra de Cu</t>
  </si>
  <si>
    <t>Mandil y señalizaciones</t>
  </si>
  <si>
    <t>CALIDAD Y GARANTIA</t>
  </si>
  <si>
    <t>S/</t>
  </si>
  <si>
    <t>dimensiones plancha</t>
  </si>
  <si>
    <t>area plancha</t>
  </si>
  <si>
    <t>1200x2400x1450mm.</t>
  </si>
  <si>
    <t>mm.</t>
  </si>
  <si>
    <t>30 dias</t>
  </si>
  <si>
    <t>8 horas diarias</t>
  </si>
  <si>
    <t>Alto</t>
  </si>
  <si>
    <t>Ancho</t>
  </si>
  <si>
    <t>Descripción</t>
  </si>
  <si>
    <t>Cant.</t>
  </si>
  <si>
    <t>P.U (S/)</t>
  </si>
  <si>
    <t>P.T (S/)</t>
  </si>
  <si>
    <t>H-H(Operario)</t>
  </si>
  <si>
    <t>Profundidad</t>
  </si>
  <si>
    <t>H-H(Ayudante)</t>
  </si>
  <si>
    <t>m2</t>
  </si>
  <si>
    <t>Techo</t>
  </si>
  <si>
    <t>Puerta</t>
  </si>
  <si>
    <t>Placa Base</t>
  </si>
  <si>
    <t>Mandil</t>
  </si>
  <si>
    <t>m</t>
  </si>
  <si>
    <t>Kg</t>
  </si>
  <si>
    <t>Dimensiones ( mm)</t>
  </si>
  <si>
    <t>PRECIO TOTAL (SOLES)</t>
  </si>
  <si>
    <t>Armado, Cableado, conexionado, terminales y materiales menores</t>
  </si>
  <si>
    <t xml:space="preserve">Rotulado de nombre del tablero </t>
  </si>
  <si>
    <t>Soles</t>
  </si>
  <si>
    <t>Juego de barras de Cu</t>
  </si>
  <si>
    <t>Portaplano con planos mecanicos</t>
  </si>
  <si>
    <t>Gabinete metalico fabricado con plancha LAF 1.5mm. de espesor, recubierto con pintura en polvo del tipo epoxica aplicado electrostatica y secado al horno, color RAL 7035, grado de proteccion IP 54</t>
  </si>
  <si>
    <t>Placa de montaje, plancha LAF, color RAL7035</t>
  </si>
  <si>
    <t>Rotulado de nombre del tablero y circuitos derivados</t>
  </si>
  <si>
    <t>Juego de barras de Cu principales y derivaciones</t>
  </si>
  <si>
    <t>Barra Neutro de Cu</t>
  </si>
  <si>
    <t xml:space="preserve">Portaplano con planos mecanicos </t>
  </si>
  <si>
    <t>Parante Posterior</t>
  </si>
  <si>
    <t>Parante Frontal</t>
  </si>
  <si>
    <t>Base Posterior</t>
  </si>
  <si>
    <t>Base Frontal</t>
  </si>
  <si>
    <t>Base Lateral</t>
  </si>
  <si>
    <t>Panel Posterior</t>
  </si>
  <si>
    <t>Panel Lateral</t>
  </si>
  <si>
    <t>Zócalo Frontal</t>
  </si>
  <si>
    <t>Zócalo posterior</t>
  </si>
  <si>
    <t>Zócalo lateral</t>
  </si>
  <si>
    <t>Mandil de proteccion y señalizaciones</t>
  </si>
  <si>
    <t>Interruptor principal</t>
  </si>
  <si>
    <t>Interruptores secundarios</t>
  </si>
  <si>
    <t>CANTIDAD</t>
  </si>
  <si>
    <t>DESCRIPCION</t>
  </si>
  <si>
    <t>PRECIO S/</t>
  </si>
  <si>
    <t>Base y Techo</t>
  </si>
  <si>
    <t>Sueldo Operario</t>
  </si>
  <si>
    <t>Total (m2)</t>
  </si>
  <si>
    <t>Sueldo Ayudante</t>
  </si>
  <si>
    <t>Tapapuerta</t>
  </si>
  <si>
    <t>Borde superior e inferior</t>
  </si>
  <si>
    <t>Chapa Push boton</t>
  </si>
  <si>
    <t>Borde Lateral</t>
  </si>
  <si>
    <t>Sub Total</t>
  </si>
  <si>
    <t>PRECIOS EMPOTRADOS</t>
  </si>
  <si>
    <t>Precio (S/)</t>
  </si>
  <si>
    <t>PRECIOS ADOSADOS IP66</t>
  </si>
  <si>
    <t>Materiales y Accesorios</t>
  </si>
  <si>
    <t>Descripcion</t>
  </si>
  <si>
    <t>Total S/</t>
  </si>
  <si>
    <t>Hora-Hombre(Operario)</t>
  </si>
  <si>
    <t>Sueldo</t>
  </si>
  <si>
    <t>Hora-Hombre(Ayudante)</t>
  </si>
  <si>
    <t>Soportes</t>
  </si>
  <si>
    <t>Tapa inferior</t>
  </si>
  <si>
    <t>Total costo Planchas LAF</t>
  </si>
  <si>
    <t xml:space="preserve">Juego de barras de Cu </t>
  </si>
  <si>
    <t>SUB TOTAL</t>
  </si>
  <si>
    <t>I.G.V.</t>
  </si>
  <si>
    <t>SUB TOTAL S/</t>
  </si>
  <si>
    <t>TOTAL EQUIPOS</t>
  </si>
  <si>
    <t>Merma 30%</t>
  </si>
  <si>
    <t>DESCRIPCION (EQUIPOS)</t>
  </si>
  <si>
    <t>T. Cambio</t>
  </si>
  <si>
    <t>TOTAL EQUIPOS + GAB.</t>
  </si>
  <si>
    <t>MARGEN</t>
  </si>
  <si>
    <t>Transporte Tableros</t>
  </si>
  <si>
    <t>Viaticos (supervisor)</t>
  </si>
  <si>
    <t>TOTAL COTIZACION</t>
  </si>
  <si>
    <t>BARRA DE CU</t>
  </si>
  <si>
    <t>UNIDAD</t>
  </si>
  <si>
    <t>PRECIO (S/)</t>
  </si>
  <si>
    <t>SUB TOTAL (S/)</t>
  </si>
  <si>
    <t>Cu Barra a tierra</t>
  </si>
  <si>
    <t xml:space="preserve">Aisladores </t>
  </si>
  <si>
    <t>Cl 1/1000</t>
  </si>
  <si>
    <t>Perneria</t>
  </si>
  <si>
    <t>Otros</t>
  </si>
  <si>
    <t>AMPERAJE</t>
  </si>
  <si>
    <t>DECRIPCION</t>
  </si>
  <si>
    <t>Pintura polvo m2</t>
  </si>
  <si>
    <t>kg</t>
  </si>
  <si>
    <t>Aislador 0.5/450</t>
  </si>
  <si>
    <t>Aislador 1/1000</t>
  </si>
  <si>
    <t>Prensa estopas PG 36</t>
  </si>
  <si>
    <t>BARRAS DE COBRE</t>
  </si>
  <si>
    <t>Barra de cobre de 5x40x1mt</t>
  </si>
  <si>
    <t>Barra de cobre de 5x30x1mt</t>
  </si>
  <si>
    <t>Barra de cobre de 5x20x1mt</t>
  </si>
  <si>
    <t>Barra de cobre de 3x25x1mt</t>
  </si>
  <si>
    <t>Barra de cobre de 3x20x1mt</t>
  </si>
  <si>
    <t>Barra de cobre de 3x15x1mt</t>
  </si>
  <si>
    <t>Panel de barras de cobre 06-08 polos, R, S, T, Princ. 3x20mm/Derivac. 2x10mm.</t>
  </si>
  <si>
    <t>Jgo</t>
  </si>
  <si>
    <t>237A</t>
  </si>
  <si>
    <t>Panel de barras de cobre 10-12 polos, R, S, T, Princ. 3x20mm/Derivac. 2x10mm.</t>
  </si>
  <si>
    <t>Panel de barras de cobre 14-16 polos, R, S, T, Princ. 3x20mm/Derivac. 2x10mm.</t>
  </si>
  <si>
    <t>Panel de barras de cobre 18-20 polos, R, S, T, Princ. 3x20mm/Derivac. 2x10mm.</t>
  </si>
  <si>
    <t>Panel de barras de cobre 22-24 polos, R, S, T, Princ. 3x20mm/Derivac. 2x10mm.</t>
  </si>
  <si>
    <t>Panel de barras de cobre 26-28 polos, R, S, T, Princ. 3x20mm/Derivac. 2x10mm.</t>
  </si>
  <si>
    <t>Panel de barras de cobre 30-32 polos, R, S, T, Princ. 3x20mm/Derivac. 2x10mm.</t>
  </si>
  <si>
    <t>Panel de barras de cobre 34-36 polos, R, S, T, Princ. 3x20mm/Derivac. 2x10mm.</t>
  </si>
  <si>
    <t>Panel de barras de cobre 38-40 polos, R, S, T, Princ. 3x20mm/Derivac. 2x10mm.</t>
  </si>
  <si>
    <t>Panel de barras de cobre 42-44 polos, R, S, T, Princ. 3x20mm/Derivac. 2x10mm.</t>
  </si>
  <si>
    <t>Panel de barras de cobre 46-48 polos, R, S, T, Princ. 3x20mm/Derivac. 2x10mm.</t>
  </si>
  <si>
    <t>Panel de barras de cobre 50-52 polos, R, S, T, Princ. 3x20mm/Derivac. 2x10mm.</t>
  </si>
  <si>
    <t>Panel de barras de cobre 54-56 polos, R, S, T, Princ. 3x20mm/Derivac. 2x10mm.</t>
  </si>
  <si>
    <t>Panel de barras de cobre 58-60 polos, R, S, T, Princ. 3x20mm/Derivac. 2x10mm.</t>
  </si>
  <si>
    <t>CABLES</t>
  </si>
  <si>
    <t>Cable NH-80, 2.5mm2, INDECO</t>
  </si>
  <si>
    <t>BORNERAS</t>
  </si>
  <si>
    <t>Bornera de 2.5mm2/12AWG, 24A, Riel Din, Tipo Tornillo, MRK-2.5, ONKA</t>
  </si>
  <si>
    <t>Bornera de 4mm2/10AWG, 32A, Riel Din, Tipo Tornillo, MRK-4, ONKA</t>
  </si>
  <si>
    <t>Bornera de 6mm2/8AWG, 41A, Riel Din, tipo Tornillo, MRK-6, ONKA</t>
  </si>
  <si>
    <t>Bornera de 10mm2/8AWG, 57A, Riel Din, tipo tornillo, MRK-10, ONKA</t>
  </si>
  <si>
    <t>Bornera de 16mm2/6AWG, 76A, Riel Din, tipo tornillo, MRK-16, ONKA</t>
  </si>
  <si>
    <t>Bornera de 35mm2/2AWG, 125A, Riel Din, tipo tornillo, MRK-35, ONKA</t>
  </si>
  <si>
    <t>PERNOS</t>
  </si>
  <si>
    <t>Kits de pernos en general 08-14 polos</t>
  </si>
  <si>
    <t>Kits de pernos en general 16-22 polos</t>
  </si>
  <si>
    <t>Kits de pernos en general 24-30 polos</t>
  </si>
  <si>
    <t>Kits de pernos en general 32-38 polos</t>
  </si>
  <si>
    <t>Kits de pernos en general 40-46 polos</t>
  </si>
  <si>
    <t>Kits de pernos en general 48-54 polos</t>
  </si>
  <si>
    <t>Kits de pernos en general 56-62 polos</t>
  </si>
  <si>
    <t>M. Menores (canaletas, terminales, marcadores, contillo, etc) 08-14 polos</t>
  </si>
  <si>
    <t>M. Menores (canaletas, terminales, marcadores, contillo, etc) 16-22 polos</t>
  </si>
  <si>
    <t>M. Menores (canaletas, terminales, marcadores, contillo, etc) 24-30 polos</t>
  </si>
  <si>
    <t>M. Menores (canaletas, terminales, marcadores, contillo, etc) 32-38 polos</t>
  </si>
  <si>
    <t>M. Menores (canaletas, terminales, marcadores, contillo, etc) 40-46 polos</t>
  </si>
  <si>
    <t>M. Menores (canaletas, terminales, marcadores, contillo, etc) 48-54 polos</t>
  </si>
  <si>
    <t>M. Menores (canaletas, terminales, marcadores, contillo, etc) 56-62 polos</t>
  </si>
  <si>
    <t>SISTEMA DE BARRAS 06-08 POLOS</t>
  </si>
  <si>
    <t>06-08 POLOS</t>
  </si>
  <si>
    <t>Suples 3x20mm</t>
  </si>
  <si>
    <t>Tierra</t>
  </si>
  <si>
    <t>SISTEMA DE BARRAS 08-10 POLOS</t>
  </si>
  <si>
    <t>SISTEMA DE BARRAS 10-12 POLOS</t>
  </si>
  <si>
    <t>10-12 POLOS</t>
  </si>
  <si>
    <t>SISTEMA DE BARRAS 14-16 POLOS</t>
  </si>
  <si>
    <t>14-16 POLOS</t>
  </si>
  <si>
    <t>SISTEMA DE BARRAS 18-20 POLOS</t>
  </si>
  <si>
    <t>18-20 POLOS</t>
  </si>
  <si>
    <t>SISTEMA DE BARRAS 22-24 POLOS</t>
  </si>
  <si>
    <t>22-24 POLOS</t>
  </si>
  <si>
    <t>SISTEMA DE BARRAS 26-28 POLOS</t>
  </si>
  <si>
    <t>26-28 POLOS</t>
  </si>
  <si>
    <t>SISTEMA DE BARRAS 30-32 POLOS</t>
  </si>
  <si>
    <t>30-32 POLOS</t>
  </si>
  <si>
    <t>SISTEMA DE BARRAS 34-36 POLOS</t>
  </si>
  <si>
    <t>34-36 POLOS</t>
  </si>
  <si>
    <t>SISTEMA DE BARRAS 38-40 POLOS</t>
  </si>
  <si>
    <t>38-40 POLOS</t>
  </si>
  <si>
    <t>SISTEMA DE BARRAS 42-44 POLOS</t>
  </si>
  <si>
    <t>42-44 POLOS</t>
  </si>
  <si>
    <t>SISTEMA DE BARRAS 46-48 POLOS</t>
  </si>
  <si>
    <t>46-48 POLOS</t>
  </si>
  <si>
    <t>SISTEMA DE BARRAS 50-52 POLOS</t>
  </si>
  <si>
    <t>50-52 POLOS</t>
  </si>
  <si>
    <t>SISTEMA DE BARRAS 54-56 POLOS</t>
  </si>
  <si>
    <t>54-56 POLOS</t>
  </si>
  <si>
    <t>SISTEMA DE BARRAS 58-60 POLOS</t>
  </si>
  <si>
    <t>58-60 POLOS</t>
  </si>
  <si>
    <t>cant.</t>
  </si>
  <si>
    <t>DESCRIPCION (BARRAS, CABLEADO, M. OBRA)</t>
  </si>
  <si>
    <t>Cable NH-80, 4mm2, 32A, INDECO</t>
  </si>
  <si>
    <t>Cable NH-80, 6mm2, 41A, INDECO</t>
  </si>
  <si>
    <t>Cable NH-80, 10mm2, 57A, INDECO</t>
  </si>
  <si>
    <t>Cable NH-80, 16mm2, 76A, INDECO</t>
  </si>
  <si>
    <t>Cable NH-80, 35mm2, 125A, INDECO</t>
  </si>
  <si>
    <t>CABLEADO 2 DIFERENCIALES</t>
  </si>
  <si>
    <t>Cantidad Diferenciales Bipolar 25A</t>
  </si>
  <si>
    <t>Cantidad Diferenciales Bipolar 40A</t>
  </si>
  <si>
    <t>Cantidad Diferenciales Tripolar + N 25A</t>
  </si>
  <si>
    <t>Cantidad Diferenciales Tripolar + N 40A</t>
  </si>
  <si>
    <t>N° POLOS</t>
  </si>
  <si>
    <t>INGRESAR CANTIDADES DE DIFERENCIALES</t>
  </si>
  <si>
    <t>CABLEADO 3 DIFERENCIALES</t>
  </si>
  <si>
    <t xml:space="preserve">CABLEADO 2 DIFERENCIALES </t>
  </si>
  <si>
    <t xml:space="preserve">CABLEADO 3 DIFERENCIALES </t>
  </si>
  <si>
    <t xml:space="preserve">CABLEADO 4 DIFERENCIALES </t>
  </si>
  <si>
    <t xml:space="preserve">CABLEADO 5 DIFERENCIALES </t>
  </si>
  <si>
    <t xml:space="preserve">CABLEADO 6 DIFERENCIALES </t>
  </si>
  <si>
    <t xml:space="preserve">CABLEADO 7 DIFERENCIALES </t>
  </si>
  <si>
    <t xml:space="preserve">CABLEADO 8 DIFERENCIALES </t>
  </si>
  <si>
    <t xml:space="preserve">CABLEADO 9 DIFERENCIALES </t>
  </si>
  <si>
    <t>RESUMEN CABLEADO DIFERENCIALES 3P+N</t>
  </si>
  <si>
    <t>RESUMEN CABLEADO DIFERENCIALES 2 POLOS 25A</t>
  </si>
  <si>
    <t xml:space="preserve">CABLEADO 1 DIFERENCIALES </t>
  </si>
  <si>
    <t>CABLEADO DE BORNERAS</t>
  </si>
  <si>
    <t>INGRESAR CANTIDADES DE BORNERAS</t>
  </si>
  <si>
    <t>RESUMEN CABLEADO BORNERAS 4MM2</t>
  </si>
  <si>
    <t>CABLEADO 2 BORNERAS</t>
  </si>
  <si>
    <t>CALIBRE</t>
  </si>
  <si>
    <t>4mm2</t>
  </si>
  <si>
    <t>CABLEADO 3 BORNERAS</t>
  </si>
  <si>
    <t>CABLEADO 4 BORNERAS</t>
  </si>
  <si>
    <t>CABLEADO 5 BORNERAS</t>
  </si>
  <si>
    <t>CABLEADO 6 BORNERAS</t>
  </si>
  <si>
    <t>CABLEADO 7 BORNERAS</t>
  </si>
  <si>
    <t>CABLEADO 8 BORNERAS</t>
  </si>
  <si>
    <t>CABLEADO 9 BORNERAS</t>
  </si>
  <si>
    <t>CABLEADO 10 BORNERAS</t>
  </si>
  <si>
    <t>CABLEADO 11 BORNERAS</t>
  </si>
  <si>
    <t>CABLEADO 12 BORNERAS</t>
  </si>
  <si>
    <t>CABLEADO 13 BORNERAS</t>
  </si>
  <si>
    <t>CABLEADO 14 BORNERAS</t>
  </si>
  <si>
    <t>CABLEADO 15 BORNERAS</t>
  </si>
  <si>
    <t>CABLEADO 16 BORNERAS</t>
  </si>
  <si>
    <t>CABLEADO 17 BORNERAS</t>
  </si>
  <si>
    <t>CABLEADO 18 BORNERAS</t>
  </si>
  <si>
    <t>CABLEADO 19 BORNERAS</t>
  </si>
  <si>
    <t>CABLEADO 20 BORNERAS</t>
  </si>
  <si>
    <t>Interruptores Secundarios</t>
  </si>
  <si>
    <t>CABLEADO 2 DIFERENCIALES, 2P</t>
  </si>
  <si>
    <t>CABLEADO 3 DIFERENCIALES, 2P</t>
  </si>
  <si>
    <t>CABLEADO 4 DIFERENCIALES, 2P</t>
  </si>
  <si>
    <t>CABLEADO 5 DIFERENCIALES, 2P</t>
  </si>
  <si>
    <t>CABLEADO 6 DIFERENCIALES, 2P</t>
  </si>
  <si>
    <t>CABLEADO 7 DIFERENCIALES, 2P</t>
  </si>
  <si>
    <t>CABLEADO 8 DIFERENCIALES, 2P</t>
  </si>
  <si>
    <t>CABLEADO 9 DIFERENCIALES, 2P</t>
  </si>
  <si>
    <t xml:space="preserve">CABLEADO 10 DIFERENCIALES, 2P </t>
  </si>
  <si>
    <t>CABLEADO 11 DIFERENCIALES, 2P</t>
  </si>
  <si>
    <t>CABLEADO 12 DIFERENCIALES, 2P</t>
  </si>
  <si>
    <t>CABLEADO 13 DIFERENCIALES, 2P</t>
  </si>
  <si>
    <t>CABLEADO 14 DIFERENCIALES, 2P</t>
  </si>
  <si>
    <t>CABLEADO 15 DIFERENCIALES, 2P</t>
  </si>
  <si>
    <t>CABLEADO 16 DIFERENCIALES, 2P</t>
  </si>
  <si>
    <t>CABLEADO 17 DIFERENCIALES, 2P</t>
  </si>
  <si>
    <t>CABLEADO 18 DIFERENCIALES, 2P</t>
  </si>
  <si>
    <t>CABLEADO 19 DIFERENCIALES, 2P</t>
  </si>
  <si>
    <t>CABLEADO 20 DIFERENCIALES, 2P</t>
  </si>
  <si>
    <t>PLANCHA Y ACCESORIOS</t>
  </si>
  <si>
    <t>CABLEADO 1 DIFERENCIALES, 2P</t>
  </si>
  <si>
    <t>MANO DE OBRA ELECTRICIDAD DIFERENCIALES</t>
  </si>
  <si>
    <t>Mano de obra 6-8 Diferenciales</t>
  </si>
  <si>
    <t>Mano de obra 9-11 Diferenciales</t>
  </si>
  <si>
    <t>Mano de obra 12-16 Diferenciales</t>
  </si>
  <si>
    <t>Mano de obra 18-22 Diferenciales</t>
  </si>
  <si>
    <t>Mano de obra 3-5 Diferenciales</t>
  </si>
  <si>
    <t>MANO DE OBRA ELECTRICIDAD INTERRUPTORES</t>
  </si>
  <si>
    <t>Mano de obra 6-10 polos (3-5 ITM)</t>
  </si>
  <si>
    <t>Mano de obra 12-16 polos (6-8 ITM)</t>
  </si>
  <si>
    <t>Mano de obra 18-22 polos (9-11 ITM)</t>
  </si>
  <si>
    <t>Mano de obra 24-28 polos (12-16 ITM)</t>
  </si>
  <si>
    <t>Mano de obra 30-34 polos (18-22 ITM)</t>
  </si>
  <si>
    <t>MANO DE OBRA GABINETE EMPOTRADO</t>
  </si>
  <si>
    <t>M. Obra Empotrado 700x450x150mm (Mecanica, Soldadura, Pintura, Armado)</t>
  </si>
  <si>
    <t>M. Obra Empotrado 800x450x150mm (Mecanica, Soldadura, Pintura, Armado)</t>
  </si>
  <si>
    <t>M. Obra Empotrado 1000x600x150mm (Mecanica, Soldadura, Pintura, Armado)</t>
  </si>
  <si>
    <t>M. Obra Empotrado 1200x600x150mm (Mecanica, Soldadura, Pintura, Armado)</t>
  </si>
  <si>
    <t>MANO DE OBRA GABINETE AUTOSOPORTADO</t>
  </si>
  <si>
    <t>M. Obra Autosoportado 2100x800x600mm (Mecanica, Soldadura, Pintura, Armado)</t>
  </si>
  <si>
    <t>TOTAL MANO DE OBRA</t>
  </si>
  <si>
    <t>OTROS</t>
  </si>
  <si>
    <t>COSTO GABINETE EMPOTRADO</t>
  </si>
  <si>
    <t>Cantidad</t>
  </si>
  <si>
    <t>Unidad</t>
  </si>
  <si>
    <t>Dimensiones del Gabinete (mm.)</t>
  </si>
  <si>
    <t>1200x2400mm.</t>
  </si>
  <si>
    <t>Area de plancha Plancha</t>
  </si>
  <si>
    <t>Caja (laterales)</t>
  </si>
  <si>
    <t>Gabinete Empotrado 700x450x150mm.</t>
  </si>
  <si>
    <t>Gabinete Empotrado 1200x600x150mm.</t>
  </si>
  <si>
    <t>Gabinete Empotrado 1000x600x150mm.</t>
  </si>
  <si>
    <t>Gabinete Empotrado 800x450x150mm.</t>
  </si>
  <si>
    <t>Costo Material</t>
  </si>
  <si>
    <t>M. Obra</t>
  </si>
  <si>
    <t>Lijas y trapo industrial</t>
  </si>
  <si>
    <t>Glb</t>
  </si>
  <si>
    <t>Pernos Gabinete empotrado</t>
  </si>
  <si>
    <t>Und</t>
  </si>
  <si>
    <t>Rotulo Logo peligro pintado</t>
  </si>
  <si>
    <t>Rotulo placa circuitos derivados</t>
  </si>
  <si>
    <t>Und.</t>
  </si>
  <si>
    <t>PINTADO, INSUMOS Y ACCESORIOS - GABINETE EMPOTRADO</t>
  </si>
  <si>
    <t>Dimensiones plancha</t>
  </si>
  <si>
    <t>COSTO GABINETE AUTOSOPORTADO</t>
  </si>
  <si>
    <t>Tipo de Cambio</t>
  </si>
  <si>
    <t>A1</t>
  </si>
  <si>
    <t>A2</t>
  </si>
  <si>
    <t>AT</t>
  </si>
  <si>
    <t>Cantidad Plancha</t>
  </si>
  <si>
    <t>Costo Material: Cuerpo, Techo y puerta</t>
  </si>
  <si>
    <t>Costo Material: Paneles posteriores y laterales</t>
  </si>
  <si>
    <t>Costo</t>
  </si>
  <si>
    <t>Costo + merma</t>
  </si>
  <si>
    <t xml:space="preserve">                                                                             Costo Material: Zocalo</t>
  </si>
  <si>
    <t>Costo Material: Mandil y Soportes</t>
  </si>
  <si>
    <t xml:space="preserve">Costo Material: Tapa Inferior </t>
  </si>
  <si>
    <t>PINTADO, INSUMOS Y ACCESORIOS - GABINETE AUTOSOPORTADO</t>
  </si>
  <si>
    <t>Bisagra Autosoportados</t>
  </si>
  <si>
    <t>Chapa para Autosoportado</t>
  </si>
  <si>
    <t>Pernos Gabinete autosoportado</t>
  </si>
  <si>
    <t>Frisa plana Adhesiva 1" X 5 MM</t>
  </si>
  <si>
    <t>Frisa plana Adhesiva 12X5MM</t>
  </si>
  <si>
    <t>Cancamos de izaje</t>
  </si>
  <si>
    <t>PRECIOS AUTOSOPORTADOS</t>
  </si>
  <si>
    <t>Portaplanos empotrado</t>
  </si>
  <si>
    <t>Portaplanos Autosoportado</t>
  </si>
  <si>
    <t>MANO DE OBRA ELECTRICIDAD AUTOSOPORTADO</t>
  </si>
  <si>
    <t>Mano de obra Autosoportado TGN-1</t>
  </si>
  <si>
    <t>Mano de obra Autosoportado TGE-1</t>
  </si>
  <si>
    <t>Mano de obra Autosoportado TGES-1</t>
  </si>
  <si>
    <t>Tipo de cambio</t>
  </si>
  <si>
    <t>MANO DE OBRA E INSUMOS - GABINETE ADOSADO</t>
  </si>
  <si>
    <t>Unid.</t>
  </si>
  <si>
    <t>Lijas</t>
  </si>
  <si>
    <t>Trapos</t>
  </si>
  <si>
    <t>Pernos</t>
  </si>
  <si>
    <t>Logo Peligro</t>
  </si>
  <si>
    <t>M.O. Mecanica</t>
  </si>
  <si>
    <t>Sub-Total</t>
  </si>
  <si>
    <t>Base</t>
  </si>
  <si>
    <t>M.O. Soldadura</t>
  </si>
  <si>
    <t>M.O. Pintura</t>
  </si>
  <si>
    <t>M.O. Armado</t>
  </si>
  <si>
    <t>Bisagra</t>
  </si>
  <si>
    <t>Frisa</t>
  </si>
  <si>
    <t>Chapa</t>
  </si>
  <si>
    <t>Pintura</t>
  </si>
  <si>
    <t>Portaplanos</t>
  </si>
  <si>
    <t>Embalado</t>
  </si>
  <si>
    <t>Costo Total</t>
  </si>
  <si>
    <t>P.Venta</t>
  </si>
  <si>
    <t>Precio O.C. Intelsac (S/)</t>
  </si>
  <si>
    <t>Precio Venta Costo (S/)</t>
  </si>
  <si>
    <t>700x450x180</t>
  </si>
  <si>
    <t>700x500x180</t>
  </si>
  <si>
    <t>700x600x180</t>
  </si>
  <si>
    <t>700x600x200</t>
  </si>
  <si>
    <t>800x600x180</t>
  </si>
  <si>
    <t>900x600x180</t>
  </si>
  <si>
    <t>900x800x180</t>
  </si>
  <si>
    <t>1000x800x180</t>
  </si>
  <si>
    <t>1000x800x200</t>
  </si>
  <si>
    <t>1000x800x300</t>
  </si>
  <si>
    <t>1100x800x180</t>
  </si>
  <si>
    <t>1100x800x200</t>
  </si>
  <si>
    <t>1200x800x180</t>
  </si>
  <si>
    <t>1200x800x200</t>
  </si>
  <si>
    <t>1200x800x300</t>
  </si>
  <si>
    <t>1300x800x180</t>
  </si>
  <si>
    <t>1400x800x180</t>
  </si>
  <si>
    <t>1400x800x200</t>
  </si>
  <si>
    <t>COSTO GABINETE ADOSADO</t>
  </si>
  <si>
    <t>Bisagra Piano para empotrado</t>
  </si>
  <si>
    <t>Bisagra de 3 puntos HL011-1, Adosados</t>
  </si>
  <si>
    <t>Chapa Circular con llave metal MS705-1-1 TKL, ACSA</t>
  </si>
  <si>
    <t>https://www.acsa.com.pe/tienda/tableros-y-gabinetes-metalicos/chapa-circular-c-llave-metal-ms705-1-1</t>
  </si>
  <si>
    <t>Pernos Gabinete adosado</t>
  </si>
  <si>
    <t>Portaplanos adosado</t>
  </si>
  <si>
    <t>Embalaje Adosado</t>
  </si>
  <si>
    <t>Embalaje Autosoportado</t>
  </si>
  <si>
    <t>Embalaje Empotrado</t>
  </si>
  <si>
    <t>Desgaste de Maquinarias Adosado y empotrado</t>
  </si>
  <si>
    <t>Desgaste de Maquinarias Autosoportado</t>
  </si>
  <si>
    <t>Rotulo placa Nombre de tablero</t>
  </si>
  <si>
    <t>Dossier, hojas, micas impresiones (Adosado-Empotrado)</t>
  </si>
  <si>
    <t>Dossier, hojas, micas impresiones (Autosoportado)</t>
  </si>
  <si>
    <t>Costo Material para Gabinete Empotrado</t>
  </si>
  <si>
    <t>Caja</t>
  </si>
  <si>
    <t>Costo Material para gabinete Adosado</t>
  </si>
  <si>
    <t>PRECIOS ADOSADOS</t>
  </si>
  <si>
    <t>Gabinete Adosado 1200x600x150mm.</t>
  </si>
  <si>
    <t>MANO DE OBRA GABINETE ADOSADO</t>
  </si>
  <si>
    <t>COSTO CABLEADO A BORNERAS</t>
  </si>
  <si>
    <t xml:space="preserve">COSTO CABLEADO DE DIFERENCIALES </t>
  </si>
  <si>
    <t>COSTO SISTEMA DE BARRAS POR NUMERO DE POLOS</t>
  </si>
  <si>
    <t>COSTO DE MATERIALES</t>
  </si>
  <si>
    <t>COSTO DE MANO DE OBRA</t>
  </si>
  <si>
    <t>RESUMEN DE COSTOS (EQUIPOS, BARRAS, GABINETE, M. OBRA)</t>
  </si>
  <si>
    <t>Incremento ABB</t>
  </si>
  <si>
    <t>Dscto. ABB</t>
  </si>
  <si>
    <t>alto (mm.)</t>
  </si>
  <si>
    <t>Tablero 8 polos (4 ITM Bipolar + 7 Diferenciales)</t>
  </si>
  <si>
    <t>Tablero 12 polos (6 ITM Bipolar + 7 Diferenciales)</t>
  </si>
  <si>
    <t>Tablero 16 polos (8 ITM Bipolar + 7 Diferenciales)</t>
  </si>
  <si>
    <t>Tablero 20 polos (10 ITM Bipolar + 7 Diferenciales)</t>
  </si>
  <si>
    <t>Tablero 24 polos (12 ITM Bipolar + 7 Diferenciales)</t>
  </si>
  <si>
    <t>Tablero 28 polos (14 ITM Bipolar + 7 Diferenciales)</t>
  </si>
  <si>
    <t>Tablero 32 polos (16 ITM Bipolar + 10 Diferenciales + 10 Diferenciales)</t>
  </si>
  <si>
    <t>Tablero 36 polos (18 ITM Bipolar + 10 Diferenciales + 10 Diferenciales)</t>
  </si>
  <si>
    <t>Tablero 40 polos (20 ITM Bipolar + 10 Diferenciales + 10 Diferenciales)</t>
  </si>
  <si>
    <t>Tablero 44 polos (22 ITM Bipolar + 10 Diferenciales + 10 Diferenciales + 10 Diferencailes)</t>
  </si>
  <si>
    <t>Tablero 48 polos (24 ITM Bipolar + 10 Diferenciales + 10 Diferenciales + 10 Diferenciales)</t>
  </si>
  <si>
    <t>ancho (mm)</t>
  </si>
  <si>
    <t>DIMENSIONAMIENTO DE TABLEROS</t>
  </si>
  <si>
    <t>M. Obra Empotrado 1100x600x150mm (Mecanica, Soldadura, Pintura, Armado)</t>
  </si>
  <si>
    <t>M. Obra Adosado 700x450x150mm (Mecanica, Soldadura, Pintura, Armado)</t>
  </si>
  <si>
    <t>M. Obra Adosado 800x450x150mm (Mecanica, Soldadura, Pintura, Armado)</t>
  </si>
  <si>
    <t>M. Obra Adosado 1000x600x150mm (Mecanica, Soldadura, Pintura, Armado)</t>
  </si>
  <si>
    <t>M. Obra Adosado 1100x600x150mm (Mecanica, Soldadura, Pintura, Armado)</t>
  </si>
  <si>
    <t>M. Obra Adosado 1200x600x150mm (Mecanica, Soldadura, Pintura, Armado)</t>
  </si>
  <si>
    <t>ELECTRICIDAD ITM</t>
  </si>
  <si>
    <t>ELECTRICIDAD DIFERENCIALE</t>
  </si>
  <si>
    <t>ELECTRICIDAD AUTOSOPORTADO</t>
  </si>
  <si>
    <t>EMPOTRADO</t>
  </si>
  <si>
    <t>ADOSADO</t>
  </si>
  <si>
    <t>M. Obra Autosoportado 2100x800x800mm (Mecanica, Soldadura, Pintura, Armado)</t>
  </si>
  <si>
    <t>AUTOSOPORTADO</t>
  </si>
  <si>
    <t>DISEÑO INGENIERIA</t>
  </si>
  <si>
    <t>Diseño Ingenieria Tableros Adosados</t>
  </si>
  <si>
    <t>Diseño Ingenieria Tableros Empotrados</t>
  </si>
  <si>
    <t>Diseño Ingenieria Tableros Autosoportados</t>
  </si>
  <si>
    <t>Plancha LAF 1.5mm 1200x2400mm.</t>
  </si>
  <si>
    <t>Plancha LAF 2.0mm 1200x2400mm.</t>
  </si>
  <si>
    <t>Plancha LAF 2.5mm 1200x2400mm.</t>
  </si>
  <si>
    <t>Plancha Galvanizada 1.5mm 1200x2400mm.</t>
  </si>
  <si>
    <t>P. UNITARIO</t>
  </si>
  <si>
    <t>COBRE, CABLEADO, M. OBRA, OTROS</t>
  </si>
  <si>
    <t>P. VENTA</t>
  </si>
  <si>
    <t>DESCRIPCION (GABINETE, DISEÑO, TRANSPORTE)</t>
  </si>
  <si>
    <t xml:space="preserve">TABLERO   ELÉCTRICO </t>
  </si>
  <si>
    <t>Mano de obra 1-2 Diferenciales</t>
  </si>
  <si>
    <t>Gabinete Empotrado 900x450x150mm.</t>
  </si>
  <si>
    <t>M. Obra Empotrado 900x450x150mm (Mecanica, Soldadura, Pintura, Armado)</t>
  </si>
  <si>
    <t>Gabinete Adosado 1400x600x150mm.</t>
  </si>
  <si>
    <t>M. Obra Adosado 1400x600x150mm (Mecanica, Soldadura, Pintura, Armado)</t>
  </si>
  <si>
    <t>Gabinete Empotrado 1400x600x150mm.</t>
  </si>
  <si>
    <t>M. Obra Empotrado 1400x600x150mm (Mecanica, Soldadura, Pintura, Armado)</t>
  </si>
  <si>
    <t>M. Obra Autosoportado 2100x(3)800x800mm (Mecanica, Soldadura, Pintura, Armado)</t>
  </si>
  <si>
    <t>Interruptor Principal y Sistema de Medicion</t>
  </si>
  <si>
    <t>M. Obra Autosoportado 2100x(2)800x800mm (Mecanica, Soldadura, Pintura, Armado)</t>
  </si>
  <si>
    <t>M. Obra Autosoportado 2100x900x800mm (Mecanica, Soldadura, Pintura, Armado)</t>
  </si>
  <si>
    <t>Mano de obra Autosoportado TTA-1</t>
  </si>
  <si>
    <t>Mano de obra Autosoportado TGE</t>
  </si>
  <si>
    <t>Mano de obra Autosoportado TGES.EI</t>
  </si>
  <si>
    <t>Mano de obra Autosoportado TBCI</t>
  </si>
  <si>
    <t>M. Obra Adosado 1000x450x150mm (Mecanica, Soldadura, Pintura, Armado)</t>
  </si>
  <si>
    <t>R.U.C.</t>
  </si>
  <si>
    <t>Atencion</t>
  </si>
  <si>
    <t>Asunto</t>
  </si>
  <si>
    <t>:</t>
  </si>
  <si>
    <t>BBTI S.A.C</t>
  </si>
  <si>
    <t>GARANTIA</t>
  </si>
  <si>
    <t>EMBALAJE</t>
  </si>
  <si>
    <t>T.ENTREGA</t>
  </si>
  <si>
    <t>Sres</t>
  </si>
  <si>
    <t>Ref</t>
  </si>
  <si>
    <t>:1 Año</t>
  </si>
  <si>
    <t>:Carton Corrugado y Empaque Stretch Film</t>
  </si>
  <si>
    <t>:11 - 12 semanas de aprobados los planos y/o previo deposito de adelanto</t>
  </si>
  <si>
    <t>:En nuestra planta, en Callao</t>
  </si>
  <si>
    <t>:Adelanto 50%, saldo contraentrega a tratar</t>
  </si>
  <si>
    <t>:07 días</t>
  </si>
  <si>
    <t>L. ENTREGA</t>
  </si>
  <si>
    <t>F. PAGO</t>
  </si>
  <si>
    <t>VALIDEZ COT.</t>
  </si>
  <si>
    <t>INTERRUPTORES DIFERENCIALES</t>
  </si>
  <si>
    <t>SISTEMAS DE BARRAS (ADOSADOS - EMPOTRADOS)</t>
  </si>
  <si>
    <t>SISTEMAS DE BARRAS (AUTOSOPORTADOS)</t>
  </si>
  <si>
    <t>CABLEADO 0 DIFERENCIALES, 2P</t>
  </si>
  <si>
    <t>CABLEADO DIFERENCIALES 2 POLOS</t>
  </si>
  <si>
    <t>MANO DE OBRA ELECTRICIDAD - ITM ( CAJA MOLDEADA &amp; RIEL DIN)</t>
  </si>
  <si>
    <t>MANO DE OBRA ELECTRICIDAD - AUTOSOPORTADOS</t>
  </si>
  <si>
    <t>MANO DE OBRA ELECTRICIDAD - DIFERENCIALES</t>
  </si>
  <si>
    <t>CANT</t>
  </si>
  <si>
    <t>TOTAL B,C,M.O</t>
  </si>
  <si>
    <t>GABINETES ADOSADOS</t>
  </si>
  <si>
    <t>COSTO DE DISEÑO DE INGENIERÍA</t>
  </si>
  <si>
    <t>TRANSPORTE + VIATICOS</t>
  </si>
  <si>
    <t>TOTAL G,D,T</t>
  </si>
  <si>
    <t>FABRICANTES DE TABLEROS ELECTRICOS</t>
  </si>
  <si>
    <t>Ancho x Espesor</t>
  </si>
  <si>
    <t>Área</t>
  </si>
  <si>
    <t>Peso (i)</t>
  </si>
  <si>
    <t>Corriente alterna hasta 60 Hz</t>
  </si>
  <si>
    <t>Corriente Continua y Alterna 16 2/3 Hz</t>
  </si>
  <si>
    <t>Pintado</t>
  </si>
  <si>
    <t>Brillante</t>
  </si>
  <si>
    <t>Número de Barras</t>
  </si>
  <si>
    <t>mm</t>
  </si>
  <si>
    <t>kg/m</t>
  </si>
  <si>
    <t>12 x 2</t>
  </si>
  <si>
    <t>15 x 2</t>
  </si>
  <si>
    <t>15 x 3</t>
  </si>
  <si>
    <t>20 x 2</t>
  </si>
  <si>
    <t>20 x 3</t>
  </si>
  <si>
    <t>20 x 5</t>
  </si>
  <si>
    <t>20 x 10</t>
  </si>
  <si>
    <t>25 x 3</t>
  </si>
  <si>
    <t>25 x 5</t>
  </si>
  <si>
    <t>30 x 3</t>
  </si>
  <si>
    <t>30 x 5</t>
  </si>
  <si>
    <t>30 x 10</t>
  </si>
  <si>
    <t>40 x 3</t>
  </si>
  <si>
    <t>40 x 5</t>
  </si>
  <si>
    <t>40 x 10</t>
  </si>
  <si>
    <t>50 x 5</t>
  </si>
  <si>
    <t>50 x 10</t>
  </si>
  <si>
    <t>60 x 5</t>
  </si>
  <si>
    <t>60 x 10</t>
  </si>
  <si>
    <t>80 x 5</t>
  </si>
  <si>
    <t>80 x 10</t>
  </si>
  <si>
    <t>100 x 5</t>
  </si>
  <si>
    <t>100 x 10</t>
  </si>
  <si>
    <t>120 x 10</t>
  </si>
  <si>
    <t>160 x 10</t>
  </si>
  <si>
    <t>200 x 10</t>
  </si>
  <si>
    <r>
      <t>mm</t>
    </r>
    <r>
      <rPr>
        <vertAlign val="superscript"/>
        <sz val="11"/>
        <rFont val="Cambria"/>
        <family val="1"/>
        <scheme val="major"/>
      </rPr>
      <t>2</t>
    </r>
  </si>
  <si>
    <t>Precio</t>
  </si>
  <si>
    <t>946-928-450</t>
  </si>
  <si>
    <t>Largo</t>
  </si>
  <si>
    <t>Suples 1</t>
  </si>
  <si>
    <t>Suples 2</t>
  </si>
  <si>
    <t>Fases</t>
  </si>
  <si>
    <t>N° Barras</t>
  </si>
  <si>
    <t>Equipamiento para controlador</t>
  </si>
  <si>
    <t>CONTAINER 01 - GRUPO 01 (C1.1)</t>
  </si>
  <si>
    <t>CONTAINER 01 - GRUPO 2 (C1.2)</t>
  </si>
  <si>
    <t>CONTAINER 01 - GRUPO 3 (C1.3)</t>
  </si>
  <si>
    <t>CONTAINER 01 - GRUPO 4 (C1.4)</t>
  </si>
  <si>
    <t>CONTAINER 02 - GRUPO 01 (C2.1)</t>
  </si>
  <si>
    <t>CONTAINER 02 - GRUPO 02 (C2.2)</t>
  </si>
  <si>
    <t>CONTAINER 02 - GRUPO 03 (C2.3)</t>
  </si>
  <si>
    <t>CONTAINER 02 - GRUPO 04 (C2.4)</t>
  </si>
  <si>
    <t>CONTAINER 03 - GRUPO 01 (C3.1)</t>
  </si>
  <si>
    <t>CONTAINER 03 - GRUPO 02 (C3.2)</t>
  </si>
  <si>
    <t>CONTAINER 03 - GRUPO 03 (C3.3)</t>
  </si>
  <si>
    <t>CONTAINER 03 - GRUPO 04 (C3.4)</t>
  </si>
  <si>
    <t>CAJA PARA ENTRADA DE 04 STRING 1KV EN PARALELAJE PARA SALIDA DE 02 STRINGS 1KV</t>
  </si>
  <si>
    <t>CAJA PARA ENTRADA DE 06 STRING 1KV EN PARALELAJE PARA SALIDA DE 02 STRINGS 1KV</t>
  </si>
  <si>
    <t>TABLERO GENERAL ADOSADO 1-2X25A, 3-2X20A, DIFERENCIAL 3-2X30MA Y TABLERO EN AG 220V</t>
  </si>
  <si>
    <t>Interruptores Diferenciales 2x25A, 30mA, Tipo AC, F200, ABB</t>
  </si>
  <si>
    <t>EQUIPAMIENTO SUMINISTRADO POR CLIENTE</t>
  </si>
  <si>
    <t>GABINETE DE POLIESTER</t>
  </si>
  <si>
    <t>Equipado con:</t>
  </si>
  <si>
    <t>Embalaje</t>
  </si>
  <si>
    <t>M. Obra Autosoportado 2100x1000x700mm (Mecanica, Soldadura, Pintura, Armado)</t>
  </si>
  <si>
    <t>Cant Interruptores</t>
  </si>
  <si>
    <t>Cu Barras Colectoras 2P</t>
  </si>
  <si>
    <t>CALCULO DE COSTO BARRAS DE COBRE Y ACCESORIOS  EN AUTOSOPORTADOS</t>
  </si>
  <si>
    <t>Mano de obra Autosoportado ITEM 2</t>
  </si>
  <si>
    <t>(Suministro cliente)</t>
  </si>
  <si>
    <t>Mano de obra Autosoportado ITEM PARA TIPO 1 AL TIPO 4.2</t>
  </si>
  <si>
    <t>Interruptor Riel Din 2x25A. S202M 20kA en 250VDC, ABB</t>
  </si>
  <si>
    <t>Interruptor Riel Din 2x04A. S200 20kA en 230V en 250VAC, ABB</t>
  </si>
  <si>
    <t>Interruptor Riel Din 2x25A. S202 20kA en 220VAC, ABB</t>
  </si>
  <si>
    <t>Mano de obra Autosoportado 800A</t>
  </si>
  <si>
    <t>Rejilla de ventilacion 152x152</t>
  </si>
  <si>
    <t>Soporte de elevacion para Gabinete Metalico</t>
  </si>
  <si>
    <t>Soporte para caja de PVC (Inc. Riel, Tuberia Flexible y conectores)</t>
  </si>
  <si>
    <t>Sistema de Generacion DC</t>
  </si>
  <si>
    <t>Controlador 24 VDC</t>
  </si>
  <si>
    <t xml:space="preserve">Inversor DC/AC </t>
  </si>
  <si>
    <t>Bateria de Litio 24 Vcd</t>
  </si>
  <si>
    <t>Interruptor Riel Din 2x32A. S202M 20kA en 250VDC, ABB</t>
  </si>
  <si>
    <t>Total</t>
  </si>
  <si>
    <t>M. Obra Electricidad Tablero Domiciliario</t>
  </si>
  <si>
    <t>Cableado, canaletas, borneras Tablero Domiciliario</t>
  </si>
  <si>
    <t>M. menores Tablero Domiciliario</t>
  </si>
  <si>
    <t>TABLERO BUSBAR</t>
  </si>
  <si>
    <t>TABLERO BUSBAR - TIPO 14 (C1.1)</t>
  </si>
  <si>
    <t>TABLERO BUSBAR - TIPO 14 (C1.2)</t>
  </si>
  <si>
    <t>TABLERO BUSBAR - TIPO 14 (C1.3)</t>
  </si>
  <si>
    <t>TABLERO BUSBAR - TIPO 14 (C1.4)</t>
  </si>
  <si>
    <t>TABLERO BUSBAR - TIPO 14 (C2.1)</t>
  </si>
  <si>
    <t>TABLERO BUSBAR - TIPO 14 (C2.2)</t>
  </si>
  <si>
    <t>TABLERO BUSBAR - TIPO 14 (C2.3)</t>
  </si>
  <si>
    <t>TABLERO BUSBAR - TIPO 14 (C2.4)</t>
  </si>
  <si>
    <t>TABLERO BUSBAR - TIPO 14 (C3.1)</t>
  </si>
  <si>
    <t>TABLERO BUSBAR - TIPO 14 (C3.2)</t>
  </si>
  <si>
    <t>TABLERO BUSBAR - TIPO 14 (C3.3)</t>
  </si>
  <si>
    <t>TABLERO BUSBAR - TIPO 14 (C3.4)</t>
  </si>
  <si>
    <t>P.UNIT</t>
  </si>
  <si>
    <t>GABINETES DE POTENCIA</t>
  </si>
  <si>
    <t>TABLERO FOTOVOLTAICO TFV-AC</t>
  </si>
  <si>
    <r>
      <t xml:space="preserve">ITM 3x320A, Caja Moldeada (128-320)A, 70kA en 220V, XT5N,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</si>
  <si>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2x225A, Caja Moldeada 225A, 36kA en 220V, A2N,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</si>
  <si>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2x175A, Caja Moldeada 175A, 36kA en 220V, A2N,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</si>
  <si>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2x125A, Caja Moldeada 125A, 25kA en 220V, A1N/P,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</si>
  <si>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2x160A, Caja Moldeada 160A, 50kA en 220V, A2N 250,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</si>
  <si>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2x63A, Caja Moldeada 63A, 50kA en 220V, A1N/P,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</si>
  <si>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2x50A, Caja Moldeada, 50kA en 220V, A1N,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</si>
  <si>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ITM 2x40A, Caja Moldeada, 50kA en 220V, A1N, ABB, </t>
    </r>
    <r>
      <rPr>
        <b/>
        <sz val="11"/>
        <color theme="1"/>
        <rFont val="Cambria"/>
        <family val="1"/>
        <scheme val="major"/>
      </rPr>
      <t>DC</t>
    </r>
  </si>
  <si>
    <r>
      <t xml:space="preserve">Protector de sobretension SPD DC 2P, </t>
    </r>
    <r>
      <rPr>
        <b/>
        <sz val="11"/>
        <color theme="1"/>
        <rFont val="Cambria"/>
        <family val="1"/>
        <scheme val="major"/>
      </rPr>
      <t>1000V DC</t>
    </r>
    <r>
      <rPr>
        <sz val="11"/>
        <color theme="1"/>
        <rFont val="Cambria"/>
        <family val="1"/>
        <scheme val="major"/>
      </rPr>
      <t>, CLAMPER/DC SURGE PROTECCION</t>
    </r>
  </si>
  <si>
    <r>
      <t xml:space="preserve">Protector de sobretension SPD AC 2P, </t>
    </r>
    <r>
      <rPr>
        <b/>
        <sz val="11"/>
        <color theme="1"/>
        <rFont val="Cambria"/>
        <family val="1"/>
        <scheme val="major"/>
      </rPr>
      <t>1000V AC</t>
    </r>
    <r>
      <rPr>
        <sz val="11"/>
        <color theme="1"/>
        <rFont val="Cambria"/>
        <family val="1"/>
        <scheme val="major"/>
      </rPr>
      <t>, CLAMPER/DC SURGE PROTECCION</t>
    </r>
  </si>
  <si>
    <r>
      <t xml:space="preserve">INTERRUPTORES CAJA MOLDEADA </t>
    </r>
    <r>
      <rPr>
        <b/>
        <i/>
        <u/>
        <sz val="11"/>
        <color rgb="FF0000FF"/>
        <rFont val="Cambria"/>
        <family val="1"/>
        <scheme val="major"/>
      </rPr>
      <t>CORRIENTE ALTERNA</t>
    </r>
  </si>
  <si>
    <r>
      <t xml:space="preserve">INTERRUPTORES CAJA MOLDEADA </t>
    </r>
    <r>
      <rPr>
        <b/>
        <i/>
        <u/>
        <sz val="11"/>
        <color rgb="FF0000FF"/>
        <rFont val="Cambria"/>
        <family val="1"/>
        <scheme val="major"/>
      </rPr>
      <t>CORRIENTE CONTINUA</t>
    </r>
  </si>
  <si>
    <r>
      <t xml:space="preserve">INTERRUPTORES RIEL DIN </t>
    </r>
    <r>
      <rPr>
        <b/>
        <i/>
        <u/>
        <sz val="11"/>
        <color rgb="FF0000FF"/>
        <rFont val="Cambria"/>
        <family val="1"/>
        <scheme val="major"/>
      </rPr>
      <t>CORRIENTE ALTERNA</t>
    </r>
  </si>
  <si>
    <r>
      <t xml:space="preserve">INTERRUPTORES RIEL DIN </t>
    </r>
    <r>
      <rPr>
        <b/>
        <i/>
        <u/>
        <sz val="11"/>
        <color rgb="FF0000FF"/>
        <rFont val="Cambria"/>
        <family val="1"/>
        <scheme val="major"/>
      </rPr>
      <t>CORRIENTE CONTINUA</t>
    </r>
  </si>
  <si>
    <t>Interruptor Riel Din 2x06A. S200 20kA en 230VAC</t>
  </si>
  <si>
    <t>PROTECTOR DE SOBRETENSIONES Y OTROS</t>
  </si>
  <si>
    <r>
      <t xml:space="preserve">Bornera 4mm2, Riel Din, tipo tornillo, </t>
    </r>
    <r>
      <rPr>
        <b/>
        <sz val="11"/>
        <color theme="1"/>
        <rFont val="Cambria"/>
        <family val="1"/>
        <scheme val="major"/>
      </rPr>
      <t>ONKA</t>
    </r>
  </si>
  <si>
    <r>
      <t xml:space="preserve">Conector </t>
    </r>
    <r>
      <rPr>
        <b/>
        <sz val="11"/>
        <color theme="1"/>
        <rFont val="Cambria"/>
        <family val="1"/>
        <scheme val="major"/>
      </rPr>
      <t>MC4</t>
    </r>
  </si>
  <si>
    <r>
      <t xml:space="preserve">Centro de Control y Monitoreo de Microgridador de carga </t>
    </r>
    <r>
      <rPr>
        <b/>
        <sz val="11"/>
        <color theme="1"/>
        <rFont val="Cambria"/>
        <family val="1"/>
        <scheme val="major"/>
      </rPr>
      <t>450V/100A</t>
    </r>
  </si>
  <si>
    <r>
      <t xml:space="preserve">Centro de Control y Monitoreo de Microgridador de carga </t>
    </r>
    <r>
      <rPr>
        <b/>
        <sz val="11"/>
        <color theme="1"/>
        <rFont val="Cambria"/>
        <family val="1"/>
        <scheme val="major"/>
      </rPr>
      <t>450V/200A</t>
    </r>
  </si>
  <si>
    <r>
      <t xml:space="preserve">Aire Acondicionado </t>
    </r>
    <r>
      <rPr>
        <b/>
        <sz val="11"/>
        <color theme="1"/>
        <rFont val="Cambria"/>
        <family val="1"/>
        <scheme val="major"/>
      </rPr>
      <t>100W</t>
    </r>
  </si>
  <si>
    <r>
      <t xml:space="preserve">Aire Acondicionado </t>
    </r>
    <r>
      <rPr>
        <b/>
        <sz val="11"/>
        <color theme="1"/>
        <rFont val="Cambria"/>
        <family val="1"/>
        <scheme val="major"/>
      </rPr>
      <t>300W</t>
    </r>
  </si>
  <si>
    <r>
      <t xml:space="preserve">Aire Acondicionado </t>
    </r>
    <r>
      <rPr>
        <b/>
        <sz val="11"/>
        <color theme="1"/>
        <rFont val="Cambria"/>
        <family val="1"/>
        <scheme val="major"/>
      </rPr>
      <t>500W</t>
    </r>
  </si>
  <si>
    <r>
      <t xml:space="preserve">Aire Acondicionado </t>
    </r>
    <r>
      <rPr>
        <b/>
        <sz val="11"/>
        <color theme="1"/>
        <rFont val="Cambria"/>
        <family val="1"/>
        <scheme val="major"/>
      </rPr>
      <t>1000W</t>
    </r>
  </si>
  <si>
    <r>
      <t xml:space="preserve">Aire Acondicionado </t>
    </r>
    <r>
      <rPr>
        <b/>
        <sz val="11"/>
        <color theme="1"/>
        <rFont val="Cambria"/>
        <family val="1"/>
        <scheme val="major"/>
      </rPr>
      <t>1250W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</si>
  <si>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0.8 KVA</t>
    </r>
  </si>
  <si>
    <r>
      <t>Inversor Bidireccional</t>
    </r>
    <r>
      <rPr>
        <b/>
        <sz val="11"/>
        <color theme="1"/>
        <rFont val="Cambria"/>
        <family val="1"/>
        <scheme val="major"/>
      </rPr>
      <t xml:space="preserve"> 1.2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</si>
  <si>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1.5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</si>
  <si>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2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</si>
  <si>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3 KVA</t>
    </r>
  </si>
  <si>
    <r>
      <t>Inversor Bidireccional</t>
    </r>
    <r>
      <rPr>
        <b/>
        <sz val="11"/>
        <color theme="1"/>
        <rFont val="Cambria"/>
        <family val="1"/>
        <scheme val="major"/>
      </rPr>
      <t xml:space="preserve"> 5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</si>
  <si>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8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</si>
  <si>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10 KVA</t>
    </r>
  </si>
  <si>
    <r>
      <t xml:space="preserve">Inversor Bidireccional </t>
    </r>
    <r>
      <rPr>
        <b/>
        <sz val="11"/>
        <color theme="1"/>
        <rFont val="Cambria"/>
        <family val="1"/>
        <scheme val="major"/>
      </rPr>
      <t>15 KVA</t>
    </r>
  </si>
  <si>
    <t>UND</t>
  </si>
  <si>
    <t>P.TOTAL</t>
  </si>
  <si>
    <r>
      <t>ITM 2x16A,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</si>
  <si>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r>
      <t>ITM 2x25A,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</si>
  <si>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r>
      <t>ITM 2x32A,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</si>
  <si>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r>
      <t>ITM 2x100A, Caja Moldeada 100A,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A1N/P, ABB</t>
    </r>
  </si>
  <si>
    <r>
      <t>ITM 3x25A, Caja Moldeada (17.5-25)A, 25kA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XT1C, ABB</t>
    </r>
  </si>
  <si>
    <r>
      <t>ITM 3x32A, Caja Moldeada (22.4-32)A, 25kA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XT1C, ABB</t>
    </r>
  </si>
  <si>
    <r>
      <t>ITM 3x50A, Caja Moldeada (35-50)A, 25kA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XT1C, ABB</t>
    </r>
  </si>
  <si>
    <r>
      <t>ITM 3x80A, Caja Moldeada (56-80)A, 25kA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XT1C, ABB</t>
    </r>
  </si>
  <si>
    <r>
      <t>ITM 4x100A, Caja Moldeada (70-100)A, 36kA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XT1, ABB</t>
    </r>
  </si>
  <si>
    <r>
      <t>ITM 4x100A, Caja Moldeada (70-100)A, 25kA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XT1C, ABB</t>
    </r>
  </si>
  <si>
    <r>
      <t>ITM 3x800A, Caja Moldeada (320-800)A, 36kA en 380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XT6N, ABB</t>
    </r>
  </si>
  <si>
    <t>MANO DE OBRA DOMICILIARIO</t>
  </si>
  <si>
    <t>TABLA DE MARGENES</t>
  </si>
  <si>
    <t>TABLEROS PV- BOX</t>
  </si>
  <si>
    <t>TABLEROS DE PARALELAJE</t>
  </si>
  <si>
    <t>TABLERO GENERAL ADOSADO</t>
  </si>
  <si>
    <t>TABLERO DOMICILIARIO</t>
  </si>
  <si>
    <t>TABLERO FOTOVOLTAICO AUTOSOPORTADO</t>
  </si>
  <si>
    <t>%</t>
  </si>
  <si>
    <t>TABLERO DE DISTRIBUCIÓN</t>
  </si>
  <si>
    <t>TABLERO DE DISTRIBUCIÓN COMPLETA PARA S.E.
MONOFASICA DE 05 KVA, 440-220V</t>
  </si>
  <si>
    <t>TABLERO DE DISTRIBUCIÓN COMPLETA PARA S.E.
MONOFASICA DE 10 KVA, 440-220V</t>
  </si>
  <si>
    <t>Canaletas 25x40mm</t>
  </si>
  <si>
    <t>Riel din</t>
  </si>
  <si>
    <t>Barra a tierra</t>
  </si>
  <si>
    <t>Cableado (Incluye terminales, marcadores, cintillos)</t>
  </si>
  <si>
    <t>Mano de obra (Electricidad)</t>
  </si>
  <si>
    <t>Otros gastos</t>
  </si>
  <si>
    <t>Prensaestopa PG09</t>
  </si>
  <si>
    <t>Plancha LAF 3mm 1200x2400mm.</t>
  </si>
  <si>
    <t>GABINETES AUTOSOPORTADOS 2 MM</t>
  </si>
  <si>
    <t>CORRIENTE</t>
  </si>
  <si>
    <t>Interruptor General</t>
  </si>
  <si>
    <t>Circuitos de Servicio Particular</t>
  </si>
  <si>
    <t>Circuitos de Alumbrado Publico</t>
  </si>
  <si>
    <t>Sistema de Medicion</t>
  </si>
  <si>
    <t>Juego de barras de Cu, principales y derivaciones</t>
  </si>
  <si>
    <t>Barra neutro de Cu</t>
  </si>
  <si>
    <t>Juego de aisladores de resina</t>
  </si>
  <si>
    <t>Juego de abrazaderas galvanizadas</t>
  </si>
  <si>
    <t>Portaplanos con sus planos mecanicos y diagramas unifilares</t>
  </si>
  <si>
    <t>Acrilico de proteccion ante contacto con barras de Cu</t>
  </si>
  <si>
    <t>Armado, conexionado y materiales menores</t>
  </si>
  <si>
    <t>ITM</t>
  </si>
  <si>
    <t>Interruptor unipolar y tomacorriente</t>
  </si>
  <si>
    <t>Lampara Incandescente 100 W, 220 V con Socket</t>
  </si>
  <si>
    <t>Gabinete Fibra de vidrio de 800x800x250mm. Barbotante</t>
  </si>
  <si>
    <t>ITM  2 x 40A, Caja Moldeada, 15KA@440V, 2B160, SIGMA ELEKTRIK</t>
  </si>
  <si>
    <t>ITM  2 x 16A, Caja Moldeada, 15KA@440V, 2B160, SIGMA ELEKTRIK</t>
  </si>
  <si>
    <t>Interruptor Horario Digital, Res. 3 años, 220V, 60Hz</t>
  </si>
  <si>
    <t>Medidor Electronico HXE34KS-1, HEXING</t>
  </si>
  <si>
    <t>Medidor Electronico Monofasico HXE12ES, HEXING</t>
  </si>
  <si>
    <t>ITM  2 x 25A, Caja Moldeada, 15KA@440V, 2B160, SIGMA ELEKTRIK</t>
  </si>
  <si>
    <t>ITM  2 x 63A, Caja Moldeada, 15KA@440V, 2B160, SIGMA ELEKTRIK</t>
  </si>
  <si>
    <t>Gabinete Fibra de vidrio de 900x1000x250mm. Barbotante</t>
  </si>
  <si>
    <t>ITM  3 x 63A, Caja Moldeada, Reg. (50.4-63)A, 25KA@380V, 3B160, SIGMA ELEKTRIK</t>
  </si>
  <si>
    <t>ITM  3 x 40A, Caja Moldeada, Reg. (32-40)A, 25KA@380V, 3B160, SIGMA ELEKTRIK</t>
  </si>
  <si>
    <t>ITM  3 x 25A, Caja Moldeada, Reg. (20-25)A, 25KA@380V, 3B160, SIGMA ELEKTRIK</t>
  </si>
  <si>
    <t>Medidor Electronico Polifasico HXF300, HEXING</t>
  </si>
  <si>
    <t>Transformador de corriente, 100 / 5 A, CL 0.5</t>
  </si>
  <si>
    <t>TABLERO DE DISTRIBUCIÓN COMPLETA PARA S.E. 
MONOFASICA DE 15 KVA, 440-220V</t>
  </si>
  <si>
    <t>TABLERO DE DISTRIBUCIÓN COMPLETA PARA S.E. 
MONOFASICA DE 25 KVA, 440-220V</t>
  </si>
  <si>
    <t>TABLERO DE DISTRIBUCIÓN COMPLETA PARA S.E. 
MONOFASICA DE 40 KVA, 440-220V</t>
  </si>
  <si>
    <t>Gabinete Adosado 1100x800x300mm. (alto x ancho x profundidad) dimensiones aproximadas</t>
  </si>
  <si>
    <t>Gabinete Adosado 900x800x300mm. (alto x ancho x profundidad) dimensiones aproximadas</t>
  </si>
  <si>
    <t>Gabinete Adosado 850x800x300mm. (alto x ancho x profundidad) dimensiones aproximadas</t>
  </si>
  <si>
    <t>Gabinete Adosado 800x800x300mm. (alto x ancho x profundidad) dimensiones aproximadas</t>
  </si>
  <si>
    <t>Ingenieria</t>
  </si>
  <si>
    <t>TABLERO FOTOVOLTAICO AC CON ITM PARA INVERSORES.</t>
  </si>
  <si>
    <t>TABLEROS DE INTERCONEXION DE POTENCIA (GABINETES ELECTRICOS  HERMETICO, DE CONTROL PARA LOS INVERSORES)</t>
  </si>
  <si>
    <t>TABLERO DE TRANSFERENCIA</t>
  </si>
  <si>
    <t>Equipamiento para controlador de carga</t>
  </si>
  <si>
    <t>TABLERO BUSBAR - TIPO 01</t>
  </si>
  <si>
    <t>TABLERO BUSBAR - TIPO 02</t>
  </si>
  <si>
    <t>TABLERO BUSBAR - TIPO 03</t>
  </si>
  <si>
    <t>TABLERO BUSBAR - TIPO 04</t>
  </si>
  <si>
    <t>TABLERO BUSBAR - TIPO 05</t>
  </si>
  <si>
    <t>TABLERO BUSBAR - TIPO 06</t>
  </si>
  <si>
    <t>TABLERO BUSBAR - TIPO 07</t>
  </si>
  <si>
    <t>TABLERO BUSBAR - TIPO 08</t>
  </si>
  <si>
    <t>TABLERO BUSBAR - TIPO 09</t>
  </si>
  <si>
    <t>TABLERO BUSBAR - TIPO 09.1</t>
  </si>
  <si>
    <t>TABLERO BUSBAR - TIPO 10</t>
  </si>
  <si>
    <t>TABLERO BUSBAR - TIPO 10.1</t>
  </si>
  <si>
    <t>TABLERO BUSBAR - TIPO 11</t>
  </si>
  <si>
    <t>TABLERO BUSBAR - TIPO 12</t>
  </si>
  <si>
    <t>TABLERO BUSBAR - TIPO 12.1</t>
  </si>
  <si>
    <t>TABLERO BUSBAR - TIPO 13</t>
  </si>
  <si>
    <t>TABLERO BUSBAR - TIPO 14</t>
  </si>
  <si>
    <t>TABLERO BUSBAR - TIPO 14.1</t>
  </si>
  <si>
    <t>TABLERO BUSBAR - TIPO 15</t>
  </si>
  <si>
    <r>
      <t>ITM 2x20A,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</si>
  <si>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t>Interruptores de proteccion para Aire acondicionado</t>
  </si>
  <si>
    <r>
      <t>ITM 2x50A,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</si>
  <si>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t>Interruptores principal</t>
  </si>
  <si>
    <r>
      <t>ITM 2x63A, Caja Moldeada, 50kA en 220</t>
    </r>
    <r>
      <rPr>
        <b/>
        <sz val="11"/>
        <color theme="1"/>
        <rFont val="Cambria"/>
        <family val="1"/>
        <scheme val="major"/>
      </rPr>
      <t>VAC</t>
    </r>
    <r>
      <rPr>
        <sz val="11"/>
        <color theme="1"/>
        <rFont val="Cambria"/>
        <family val="1"/>
        <scheme val="major"/>
      </rPr>
      <t>, A1N, ABB</t>
    </r>
  </si>
  <si>
    <t>Interruptores principales</t>
  </si>
  <si>
    <t>Sistema de transferencia MXZM-63H/3B 50A</t>
  </si>
  <si>
    <t>Sistema de transferencia NXZM-125S/3B, 25KA/380V,   80A</t>
  </si>
  <si>
    <t>Interruptor termomagnetico 3P NXM-63S 25A (FIJO)  415V: 25KA</t>
  </si>
  <si>
    <t>Interruptor termomagnetico 3P NXM-63S 32A (FIJO)  415V: 25KA</t>
  </si>
  <si>
    <t>Interruptor termomagnetico 3P NXM-63S 50A (FIJO)  415V: 25KA</t>
  </si>
  <si>
    <t>Interruptor termomagnetico 3P NXM-125S 80A (FIJO) 25KA - 380/400/415v</t>
  </si>
  <si>
    <t>CAJAS DE PARALELAJE CON ESTRUCTURA DE SOPORTE</t>
  </si>
  <si>
    <t>CONSORIO FOTOVOLTAICO ANDOAS</t>
  </si>
  <si>
    <t>HENRY LOZANO</t>
  </si>
  <si>
    <r>
      <t xml:space="preserve">COTIZACION DE TABLEROS ELECTRICOS PARA LA OBRA:
</t>
    </r>
    <r>
      <rPr>
        <b/>
        <sz val="12"/>
        <rFont val="Cambria"/>
        <family val="1"/>
        <scheme val="major"/>
      </rPr>
      <t>“AMPLIACIÓN DE LA ELECTRIFICACIÓN RURAL EN EL DISTRITO DE ANDOAS, PROVINCIA DATEM DEL MARAÑÓN, REGIÓN LORETO”</t>
    </r>
  </si>
  <si>
    <t>TABLERO TFV-AC - TIPO 01</t>
  </si>
  <si>
    <t>TABLERO TFV-AC - TIPO 02</t>
  </si>
  <si>
    <t>TABLERO TFV-AC - TIPO 03</t>
  </si>
  <si>
    <t>TABLERO TFV-AC - TIPO 04</t>
  </si>
  <si>
    <t>TABLERO TFV-AC - TIPO 05</t>
  </si>
  <si>
    <t>TABLERO TFV-AC - TIPO 06</t>
  </si>
  <si>
    <t>TABLERO TFV-AC - TIPO 07</t>
  </si>
  <si>
    <t>TABLERO TFV-AC - TIPO 08</t>
  </si>
  <si>
    <t>TABLERO TFV-AC - TIPO 09</t>
  </si>
  <si>
    <t>TABLERO TFV-AC - TIPO 09.1</t>
  </si>
  <si>
    <t>TABLERO TFV-AC - TIPO 10</t>
  </si>
  <si>
    <t>TABLERO TFV-AC - TIPO 10.1</t>
  </si>
  <si>
    <t>TABLERO TFV-AC - TIPO 11</t>
  </si>
  <si>
    <t>TABLERO TFV-AC - TIPO 12</t>
  </si>
  <si>
    <t>TABLERO TFV-AC - TIPO 12.1</t>
  </si>
  <si>
    <t>TABLERO TFV-AC - TIPO 13</t>
  </si>
  <si>
    <t>TABLERO TFV-AC - TIPO 14</t>
  </si>
  <si>
    <t>TABLERO TFV-AC - TIPO 14.1</t>
  </si>
  <si>
    <t>TABLERO TFV-AC - TIPO 15</t>
  </si>
  <si>
    <t>TABLERO TFV-AC - TIPO 14 (C1.1)</t>
  </si>
  <si>
    <t>TABLERO TFV-AC - TIPO 14 (C1.2)</t>
  </si>
  <si>
    <t>TABLERO TFV-AC - TIPO 14 (C1.3)</t>
  </si>
  <si>
    <t>TABLERO TFV-AC - TIPO 14 (C1.4)</t>
  </si>
  <si>
    <t>TABLERO TFV-AC - TIPO 14 (C2.1)</t>
  </si>
  <si>
    <t>TABLERO TFV-AC - TIPO 14 (C2.2)</t>
  </si>
  <si>
    <t>TABLERO TFV-AC - TIPO 14 (C2.3)</t>
  </si>
  <si>
    <t>TABLERO TFV-AC - TIPO 14 (C2.4)</t>
  </si>
  <si>
    <t>TABLERO TFV-AC - TIPO 14 (C3.1)</t>
  </si>
  <si>
    <t>TABLERO TFV-AC - TIPO 14 (C3.2)</t>
  </si>
  <si>
    <t>TABLERO TFV-AC - TIPO 14 (C3.3)</t>
  </si>
  <si>
    <t>TABLERO TFV-AC - TIPO 14 (C3.4)</t>
  </si>
  <si>
    <t>TABLEROS FOTOVOLTAICOS DOMICILIARIOS</t>
  </si>
  <si>
    <t>Espacio de reserva</t>
  </si>
  <si>
    <t>MEDIDORES</t>
  </si>
  <si>
    <r>
      <t xml:space="preserve">Base PortaFusible y Fusible </t>
    </r>
    <r>
      <rPr>
        <b/>
        <sz val="11"/>
        <color theme="1"/>
        <rFont val="Cambria"/>
        <family val="1"/>
        <scheme val="major"/>
      </rPr>
      <t>25A / 2A</t>
    </r>
  </si>
  <si>
    <t>Interruptor Riel Din 2x10A, 6KA@400V</t>
  </si>
  <si>
    <t>Inversor Bidireccional KVA</t>
  </si>
  <si>
    <t>TABLEROS BUSBAR</t>
  </si>
  <si>
    <t>ETS-SFVC - 12</t>
  </si>
  <si>
    <t>ESPECIFICACION</t>
  </si>
  <si>
    <t>TECNICA</t>
  </si>
  <si>
    <t>ETS-SFVC - 19</t>
  </si>
  <si>
    <t>Gabinete Metalico 400x500x250mm. (Alto x Ancho x Profundidad)</t>
  </si>
  <si>
    <t>TABLERO TGE TIPO 09.1</t>
  </si>
  <si>
    <t>TABLERO TGE TIPO 10.1</t>
  </si>
  <si>
    <t>TABLERO TGE TIPO 12</t>
  </si>
  <si>
    <t>TABLERO TGE TIPO 12.1</t>
  </si>
  <si>
    <t>TABLERO TGE TIPO 13</t>
  </si>
  <si>
    <t>TABLERO TGE TIPO 14.1</t>
  </si>
  <si>
    <t>TABLERO TGE TIPO 15</t>
  </si>
  <si>
    <t>1800x1000x700</t>
  </si>
  <si>
    <t/>
  </si>
  <si>
    <t>ITM 3x25A, Caja Moldeada (17.5-25)A, 36kA en 380VAC, XT1N, ABB</t>
  </si>
  <si>
    <t>Protector de sobretension SPD AC 3P+N, 230/400V, 1.5kV, 40kA, OVR, 2CTB803973R1100, ABB</t>
  </si>
  <si>
    <t>Medidor Multifuncion comunicación M1M 15 Modbus RTU ABB</t>
  </si>
  <si>
    <t>Rejilla Con Filtro Para Tablero 106 X 106Mm Ral7035, JK6620, JASON FAN</t>
  </si>
  <si>
    <t>Ventilador C/ Rejilla Y Filtro Para Tablero 26M3/H 106 X 106Mm Ral7035, FJK6620PB230 , JASON FAN</t>
  </si>
  <si>
    <t>control:</t>
  </si>
  <si>
    <t>GABINETE DE FIBRA DE VIDRIO</t>
  </si>
  <si>
    <t>TABLERO BARBOTANTE 5 CIRCUITOS</t>
  </si>
  <si>
    <t>GABINETE DE BATERIAS</t>
  </si>
  <si>
    <t>Aire acondiciomados</t>
  </si>
  <si>
    <t xml:space="preserve">Desaduanaje </t>
  </si>
  <si>
    <t>AIRE ACONDICIONADO</t>
  </si>
  <si>
    <t>Aumento</t>
  </si>
  <si>
    <r>
      <t>Aire Acondicionado 80</t>
    </r>
    <r>
      <rPr>
        <b/>
        <sz val="11"/>
        <color theme="1"/>
        <rFont val="Cambria"/>
        <family val="1"/>
        <scheme val="major"/>
      </rPr>
      <t>0W</t>
    </r>
  </si>
  <si>
    <t>Aire acondicionado</t>
  </si>
  <si>
    <t>Equipamiento para llegada de String</t>
  </si>
  <si>
    <t>CAJAS DE TRANSICION CON ESTRUCTURA DE SOPORTE</t>
  </si>
  <si>
    <t>CAJA CON SOPORTE 01 STRING 1KV</t>
  </si>
  <si>
    <t>CAJA CON SOPORTE 02 STRING 1KV</t>
  </si>
  <si>
    <t>CAJA CON SOPORTE 03 STRING 1KV</t>
  </si>
  <si>
    <t>CAJA CON SOPORTE 04 STRING 1KV</t>
  </si>
  <si>
    <t>CAJA CON SOPORTE 05 STRING 1KV</t>
  </si>
  <si>
    <t>CAJA CON SOPORTE 06 STRING 1KV</t>
  </si>
  <si>
    <t>CAJA CON SOPORTE 07 STRING 1KV</t>
  </si>
  <si>
    <t>COSTO DE MANO DE OBRA PLANTA, ADMINISTRATIVOS Y SERVICIOS</t>
  </si>
  <si>
    <t>Dias de trabajo</t>
  </si>
  <si>
    <t>Horas de trabajo</t>
  </si>
  <si>
    <t>Con beneficios</t>
  </si>
  <si>
    <t>POR 10 TABLEROS</t>
  </si>
  <si>
    <t>POR 50 TABLEROS</t>
  </si>
  <si>
    <t>POR 100 TABLEROS</t>
  </si>
  <si>
    <t>MANO DE OBRA PLANTA</t>
  </si>
  <si>
    <t>Sueldos (S/)</t>
  </si>
  <si>
    <t>COSTO POR DIA</t>
  </si>
  <si>
    <t>COSTO POR HORA</t>
  </si>
  <si>
    <t>Tiempo trabajo (Hora)</t>
  </si>
  <si>
    <t>Costo trabajo (S/)</t>
  </si>
  <si>
    <t>Mecanica</t>
  </si>
  <si>
    <t>Operario</t>
  </si>
  <si>
    <t>-</t>
  </si>
  <si>
    <t>Ayudante</t>
  </si>
  <si>
    <t>Soldadura</t>
  </si>
  <si>
    <t>operario</t>
  </si>
  <si>
    <t>Barras</t>
  </si>
  <si>
    <t>Ensamble</t>
  </si>
  <si>
    <t xml:space="preserve">Operario </t>
  </si>
  <si>
    <t>Almacen</t>
  </si>
  <si>
    <t>Electricidad</t>
  </si>
  <si>
    <t>Ayudante 1</t>
  </si>
  <si>
    <t>Ayudante 2</t>
  </si>
  <si>
    <t>ADMINISTRATIVOS</t>
  </si>
  <si>
    <t>Sueldo (S/)</t>
  </si>
  <si>
    <t>Con beneficios 35%+</t>
  </si>
  <si>
    <t xml:space="preserve"> Costo por dia</t>
  </si>
  <si>
    <t>Costo por hora</t>
  </si>
  <si>
    <t>Gerencia</t>
  </si>
  <si>
    <t>Jefatura Comercial</t>
  </si>
  <si>
    <t>Asistente Licitaciones</t>
  </si>
  <si>
    <t>Cotizador 1</t>
  </si>
  <si>
    <t>Cotizador 2</t>
  </si>
  <si>
    <t>Dibujante</t>
  </si>
  <si>
    <t>Logistico</t>
  </si>
  <si>
    <t>Finanzas</t>
  </si>
  <si>
    <t>Contabilidad</t>
  </si>
  <si>
    <t>Vigilante</t>
  </si>
  <si>
    <t>INFRAESTRUCTURA Y SERVICIOS</t>
  </si>
  <si>
    <t>Costo por mes</t>
  </si>
  <si>
    <t>Local</t>
  </si>
  <si>
    <t>Servicio Electrico</t>
  </si>
  <si>
    <t>Agua</t>
  </si>
  <si>
    <t>internet</t>
  </si>
  <si>
    <t>Costos M. Obra de Gabinetes Autosoportados</t>
  </si>
  <si>
    <t>Soles (S/)</t>
  </si>
  <si>
    <t>Costos M. Obra barras Autosoportado</t>
  </si>
  <si>
    <t>1 PUERTA</t>
  </si>
  <si>
    <t>2 PUERTAS</t>
  </si>
  <si>
    <t>POR 1 TABLERO AUTOSOPORTADO</t>
  </si>
  <si>
    <t>M. Obra Gabinete 2100x800x600mm</t>
  </si>
  <si>
    <t xml:space="preserve">GABINETES AUTOSOPORTADOS </t>
  </si>
  <si>
    <t>tipo 1 al tipo 6</t>
  </si>
  <si>
    <t>tipo 7 y tipo 8</t>
  </si>
  <si>
    <t>Gabinete Autosoportado 2100x1000(2 Puertas)x700mm. (Alto x ancho x profundidad)</t>
  </si>
  <si>
    <t>Gabinete Autosoportado 2200x1000(2 Puertas)x700mm. (Alto x ancho x profundidad)</t>
  </si>
  <si>
    <t>Gabinete Autosoportado 2200x1200(2 Puertas)x700mm. (Alto x ancho x profundidad)</t>
  </si>
  <si>
    <t>tipo 9 y tipo 14</t>
  </si>
  <si>
    <t>Gabinete Autosoportado 2400x1200(2 Puertas)x700mm. (Alto x ancho x profundidad)</t>
  </si>
  <si>
    <t>M. Obra Gabinete 2200x1200x700mm</t>
  </si>
  <si>
    <t>M. Obra Gabinete 2200x1000x700mm</t>
  </si>
  <si>
    <t>M. Obra Gabinete 2400x1200x700mm</t>
  </si>
  <si>
    <t>tipo 11 y tipo 12 y 13</t>
  </si>
  <si>
    <t>MANO DE OBRA MONTAJE AIRE ACONDICIONADO Y ACCESORIOS</t>
  </si>
  <si>
    <t>M. DE OBRA (TIPO 1 AL 6) MONTAJE AIRE ACONDICIONADO Y ACCESORIOS</t>
  </si>
  <si>
    <t>M. DE OBRA (TIPO 11, 12 y 13) MONTAJE AIRE ACONDICIONADO Y ACCESORIOS</t>
  </si>
  <si>
    <t>M. DE OBRA (TIPO 9 y 14) MONTAJE AIRE ACONDICIONADO Y ACCESORIOS</t>
  </si>
  <si>
    <t>M. DE OBRA (TIPO 7 y 8) MONTAJE AIRE ACONDICIONADO Y ACCESORIOS</t>
  </si>
  <si>
    <t>Refuerzo en puerta para aire acondicionado</t>
  </si>
  <si>
    <t>Señalizacion de "Atencion Riesgo Electrico"</t>
  </si>
  <si>
    <t>Calle seis Mz. D lote 13</t>
  </si>
  <si>
    <t>Urb. Industrial Grimaneza, Callao</t>
  </si>
  <si>
    <t>postmaster@bbti.com.pe</t>
  </si>
  <si>
    <t>www.bbti.com.pe</t>
  </si>
  <si>
    <t>Fusible tipo NH1 250A</t>
  </si>
  <si>
    <t>Seccionador Portafusible XLP1-1P-2BC, 250A, 1SEP600116R0002, ABB</t>
  </si>
  <si>
    <t>M. Obra Gabinete 1800x800x450mm</t>
  </si>
  <si>
    <t>Gabinete Autosoportado 2100x800x600mm. (Alto x ancho x profundidad)</t>
  </si>
  <si>
    <t>Gabinete Autosoportado 1800x800x450mm. (Alto x ancho x profundidad)</t>
  </si>
  <si>
    <t>Gabinete Autosoportado 2000x800x450mm. (Alto x ancho x profundidad)</t>
  </si>
  <si>
    <t>M. Obra Gabinete 2000x800x450mm</t>
  </si>
  <si>
    <t>(Inversores)</t>
  </si>
  <si>
    <t>(Controlador)</t>
  </si>
  <si>
    <t>(Baterias)</t>
  </si>
  <si>
    <t>Tipo 1</t>
  </si>
  <si>
    <t>tipo 4</t>
  </si>
  <si>
    <t>9, 9.1 y 10.1</t>
  </si>
  <si>
    <t>11, 12, 12.1 y 13</t>
  </si>
  <si>
    <t>14 y 14.1</t>
  </si>
  <si>
    <t>Tipo 2 al 6 y 8</t>
  </si>
  <si>
    <t>A</t>
  </si>
  <si>
    <t>tipo 1</t>
  </si>
  <si>
    <t>tipo 2</t>
  </si>
  <si>
    <t>tipo 3</t>
  </si>
  <si>
    <t>tipo 5</t>
  </si>
  <si>
    <t>tipo 6</t>
  </si>
  <si>
    <t>tipo 7</t>
  </si>
  <si>
    <t>tipo 8</t>
  </si>
  <si>
    <t>tipo 9</t>
  </si>
  <si>
    <t>tipo 10</t>
  </si>
  <si>
    <t>tipo 11</t>
  </si>
  <si>
    <t>tipo 12</t>
  </si>
  <si>
    <t>tipo 13</t>
  </si>
  <si>
    <t>tipo 4.1</t>
  </si>
  <si>
    <t>bateria</t>
  </si>
  <si>
    <t>controlador</t>
  </si>
  <si>
    <t>tipo 8.1</t>
  </si>
  <si>
    <t>COBRIZA</t>
  </si>
  <si>
    <t>tipo 9.1</t>
  </si>
  <si>
    <t>tipo 10.1</t>
  </si>
  <si>
    <t>tipo 10.2</t>
  </si>
  <si>
    <t>tipo 12.1</t>
  </si>
  <si>
    <t>10X50</t>
  </si>
  <si>
    <t>tipo 14 (C01;G01)</t>
  </si>
  <si>
    <t>tipo 14 (C01;G02)</t>
  </si>
  <si>
    <t>tipo 14.(C01;G03)</t>
  </si>
  <si>
    <t>tipo 14.(C01;G04)</t>
  </si>
  <si>
    <t>tipo 14.(C02;G01)</t>
  </si>
  <si>
    <t>tipo 14.(C02;G02)</t>
  </si>
  <si>
    <t>tipo 14.(C02;G03)</t>
  </si>
  <si>
    <t>tipo 14.(C02;G04)</t>
  </si>
  <si>
    <t>tipo 14.(C03;G01)</t>
  </si>
  <si>
    <t>tipo 14.(C03;G02)</t>
  </si>
  <si>
    <t>tipo 14.(C03;G03)</t>
  </si>
  <si>
    <t>tipo 14.(C03;G04)</t>
  </si>
  <si>
    <t>TABLERO GENERAL ADOSADO TGA 1-2X25A, 3-2X20A, DIFERENCIAL 3-2X30MA Y TABLERO EN AG 220V</t>
  </si>
  <si>
    <t>TABLERO FOTOVOLTAICO AC AUTOSOPORTARDO EXTERIOR DE BARRAS R,S,T,N DE 380VAC 500A (CONEXIONADO DE INVERSORES AISLADOS Y DE RED)</t>
  </si>
  <si>
    <t>TABLERO FOTOVOLTAICO AC AUTOSOPORTADO</t>
  </si>
  <si>
    <t>BATERIA</t>
  </si>
  <si>
    <t>CONTROLADOR</t>
  </si>
  <si>
    <t>COBRE BUS BAR TIPO 1; 2; 3; 4; 4.1; 5; 7</t>
  </si>
  <si>
    <t>COBRE BUS BAR TIPO 6</t>
  </si>
  <si>
    <t>COBRE BUS BAR TIPO 9</t>
  </si>
  <si>
    <t>COBRE BUS BAR TIPO 10; 10.1; 10.2; 11</t>
  </si>
  <si>
    <t>COBRE BUS BAR TIPO 12 y 12.1</t>
  </si>
  <si>
    <t>COBRE BUS BAR TIPO 14 (C01;G01), (C02;G01), (C01;G03), (C02;G03), (C03;G01), (C03;G03)</t>
  </si>
  <si>
    <t>COBRE BUS BAR TIPO 13 y TIPO 14 (C01;G02), (C01;G04), (C02;G02), (C02;G04), (C03;G02), (C03;G04)</t>
  </si>
  <si>
    <t>doble barra</t>
  </si>
  <si>
    <t>BARRA</t>
  </si>
  <si>
    <t>CAPACIDAD</t>
  </si>
  <si>
    <t>COBRE BUS BAR TIPO 8; 8.1 y 9.1</t>
  </si>
  <si>
    <t>Gabinete Autosoportado 1800x600x450mm. (Alto x ancho x profundidad)</t>
  </si>
  <si>
    <t>Cu Derivaciones 2P (250A) Bateria</t>
  </si>
  <si>
    <t>Cu Derivaciones 2P (160A) Controlador</t>
  </si>
  <si>
    <t>Cu Derivaciones 2P (63A) Inversor</t>
  </si>
  <si>
    <t>Cu Derivaciones 2P (110A) Inversor</t>
  </si>
  <si>
    <t>Cu Derivaciones 2P (320A) Inversor</t>
  </si>
  <si>
    <t>M. Obra Electricidad BUS BAR TIPO 1; 2; 3; 4; 4.1; 5; 7</t>
  </si>
  <si>
    <t>M. Obra Electricidad BUS BAR TIPO 6</t>
  </si>
  <si>
    <t>M. Obra Electricidad BUS BAR TIPO 8; 8.1 y 9.1</t>
  </si>
  <si>
    <t>M. Obra Electricidad BUS BAR TIPO 9</t>
  </si>
  <si>
    <t>M. Obra Electricidad BUS BAR TIPO 10; 10.1; 10.2; 11</t>
  </si>
  <si>
    <t>M. Obra Electricidad BUS BAR TIPO 12 y 12.1</t>
  </si>
  <si>
    <t>M. Obra Electricidad BUS BAR TIPO 14 (C01;G01), (C02;G01), (C01;G03), (C02;G03), (C03;G01), (C03;G03)</t>
  </si>
  <si>
    <t>M. Obra Electricidad BUS BAR TIPO 13 y TIPO 14 (C01;G02), (C01;G04), (C02;G02), (C02;G04), (C03;G02), (C03;G04)</t>
  </si>
  <si>
    <t>MANO DE OBRA ELECTRICIDAD BUS BAR</t>
  </si>
  <si>
    <t>Callao, 13 de marzo del 2026</t>
  </si>
  <si>
    <t>COTIZACION: BB - 046- 25 Rev.2</t>
  </si>
  <si>
    <t>TABLEROS DE POTENCIA TIPO 01 (incluye aire acondicionado)</t>
  </si>
  <si>
    <t>TABLEROS DE POTENCIA TIPO 02 (incluye aire acondicionado)</t>
  </si>
  <si>
    <t>TABLEROS DE POTENCIA TIPO 03 (incluye aire acondicionado)</t>
  </si>
  <si>
    <t>TABLEROS DE POTENCIA TIPO 04 (incluye aire acondicionado)</t>
  </si>
  <si>
    <t>TABLEROS DE POTENCIA TIPO 05 (incluye aire acondicionado)</t>
  </si>
  <si>
    <t>TABLEROS DE POTENCIA TIPO 06 (incluye aire acondicionado)</t>
  </si>
  <si>
    <t>TABLEROS DE POTENCIA TIPO 07 (incluye aire acondicionado)</t>
  </si>
  <si>
    <t>TABLEROS DE POTENCIA TIPO 08 (incluye aire acondicionado)</t>
  </si>
  <si>
    <t>TABLEROS DE POTENCIA TIPO 09 (incluye aire acondicionado)</t>
  </si>
  <si>
    <t>TABLEROS DE POTENCIA TIPO 09.1 (incluye aire acondicionado)</t>
  </si>
  <si>
    <t>TABLEROS DE POTENCIA TIPO 10 (incluye aire acondicionado)</t>
  </si>
  <si>
    <t>TABLEROS DE POTENCIA TIPO 10.1 (incluye aire acondicionado)</t>
  </si>
  <si>
    <t>TABLEROS DE POTENCIA TIPO 11 (incluye aire acondicionado)</t>
  </si>
  <si>
    <t>TABLEROS DE POTENCIA TIPO 12 (incluye aire acondicionado)</t>
  </si>
  <si>
    <t>TABLEROS DE POTENCIA TIPO 12.1 (incluye aire acondicionado)</t>
  </si>
  <si>
    <t>TABLEROS DE POTENCIA TIPO 13 (incluye aire acondicionado)</t>
  </si>
  <si>
    <t>TABLEROS DE POTENCIA TIPO 14 (incluye aire acondicionado)</t>
  </si>
  <si>
    <t>TABLEROS DE POTENCIA TIPO 14.1 (incluye aire acondicionado)</t>
  </si>
  <si>
    <t>TABLEROS DE POTENCIA TIPO 15 (incluye aire acondicionado)</t>
  </si>
  <si>
    <t>TABLEROS DE POTENCIA TIPO 14 (C1.1) (incluye aire acondicionado)</t>
  </si>
  <si>
    <t>TABLEROS DE POTENCIA TIPO 14 (C1.2) (incluye aire acondicionado)</t>
  </si>
  <si>
    <t>TABLEROS DE POTENCIA TIPO 14 (C1.3) (incluye aire acondicionado)</t>
  </si>
  <si>
    <t>TABLEROS DE POTENCIA TIPO 14 (C1.4) (incluye aire acondicionado)</t>
  </si>
  <si>
    <t>TABLEROS DE POTENCIA TIPO 14 (C2.1) (incluye aire acondicionado)</t>
  </si>
  <si>
    <t>TABLEROS DE POTENCIA TIPO 14 (C2.2) (incluye aire acondicionado)</t>
  </si>
  <si>
    <t>TABLEROS DE POTENCIA TIPO 14 (C2.3) (incluye aire acondicionado)</t>
  </si>
  <si>
    <t>TABLEROS DE POTENCIA TIPO 14 (C2.4) (incluye aire acondicionado)</t>
  </si>
  <si>
    <t>TABLEROS DE POTENCIA TIPO 14 (C3.1) (incluye aire acondicionado)</t>
  </si>
  <si>
    <t>TABLEROS DE POTENCIA TIPO 14 (C3.2) (incluye aire acondicionado)</t>
  </si>
  <si>
    <t>TABLEROS DE POTENCIA TIPO 14 (C3.3) (incluye aire acondicionado)</t>
  </si>
  <si>
    <t>TABLEROS DE POTENCIA TIPO 14 (C3.4) (incluye aire acondicionado)</t>
  </si>
  <si>
    <t xml:space="preserve">Cu Barras Colectoras </t>
  </si>
  <si>
    <t xml:space="preserve">Cu Derivaciones 3P (100A) </t>
  </si>
  <si>
    <t>COBRE TABLERO ITEM 5.01</t>
  </si>
  <si>
    <t>MANO DE OBRA TABLERO FOTOVOLTAICO AC</t>
  </si>
  <si>
    <t>COBRE TABLERO FOTOVOLTAICO AC</t>
  </si>
  <si>
    <t>M. Obra Electricidad Tablero Fotovoltaico AC</t>
  </si>
  <si>
    <t>Gabinete Adosado 1000x450x150mm. (alto x ancho x profundidad) dimensiones aproximadas</t>
  </si>
  <si>
    <t>Gabinete Adosado 800x450x150mm. (alto x ancho x profundidad) dimensiones aproximadas</t>
  </si>
  <si>
    <t>Gabinete Adosado 700x450x150mm. (alto x ancho x profundidad) dimensiones aproximadas</t>
  </si>
  <si>
    <t>Gabinete Adosado 700x500x200mm. (alto x ancho x profundidad) dimensiones aproximadas</t>
  </si>
  <si>
    <t>CAMBIAR SPD</t>
  </si>
  <si>
    <t>Protector de sobretension SPD AC 3P+N, 230/400V, 1.5kV, 40kA</t>
  </si>
  <si>
    <t>Contactor Trifásico 18 A, AC3, 220V, AF16, ABB</t>
  </si>
  <si>
    <t>VERIFICAR DPS</t>
  </si>
  <si>
    <t>COBRE TABLERO TFV-AC 08, 09, 10, 11</t>
  </si>
  <si>
    <t>COBRE TABLERO TFV-AC 09.1, 12.1, 14.1</t>
  </si>
  <si>
    <t>COBRE TABLERO TFV-AC 14 C2.1</t>
  </si>
  <si>
    <t>SISTEMAS DE BARRAS (TFV-AC)</t>
  </si>
  <si>
    <t>Gabinete Adosado 900x700x200mm. (alto x ancho x profundidad) dimensiones aproximadas</t>
  </si>
  <si>
    <t>GABINETE DE CONTROL IP54 1000X700X300MM AUTOSOPORTADO (Domiciliario)</t>
  </si>
  <si>
    <t>Gabinete Metalico 1000x700x300mm. (Alto x Ancho x Profundidad)</t>
  </si>
  <si>
    <t>verificar si sera con ABB o Meanray</t>
  </si>
  <si>
    <t>el general es de caja moldeada, verificar o cambiar a riel din</t>
  </si>
  <si>
    <t>Gabinete Adosado 550x450x150mm. (alto x ancho x profundidad) dimensiones aproximadas</t>
  </si>
  <si>
    <t>RACK AUTOSOPORTADO PARA  8 BATERIAS (incluye aire acondicionado 100W)</t>
  </si>
  <si>
    <t>PRECIO TOTAL CON IGV (SOLES)</t>
  </si>
  <si>
    <t>DESCUENTO ESPECIAL (5%)</t>
  </si>
  <si>
    <t>Interruptor Riel Din 2x50A. S200M 20kA en 230V en 250VDC, ABB</t>
  </si>
  <si>
    <t>Interruptor Riel Din 2x80A. S200M 20kA en 230V en 250VDC,ABB</t>
  </si>
  <si>
    <t>CODIGO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</si>
</sst>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4" formatCode="_-&quot;S/&quot;\ * #,##0.00_-;\-&quot;S/&quot;\ * #,##0.00_-;_-&quot;S/&quot;\ * &quot;-&quot;??_-;_-@_-"/>
    <numFmt numFmtId="43" formatCode="_-* #,##0.00_-;\-* #,##0.00_-;_-* &quot;-&quot;??_-;_-@_-"/>
    <numFmt numFmtId="164" formatCode="_-* #,##0.00\ _€_-;\-* #,##0.00\ _€_-;_-* &quot;-&quot;??\ _€_-;_-@_-"/>
    <numFmt numFmtId="165" formatCode="_-[$€-2]* #,##0.00_-;\-[$€-2]* #,##0.00_-;_-[$€-2]* &quot;-&quot;??_-"/>
    <numFmt numFmtId="166" formatCode="[$-F800]dddd\,\ mmmm\ dd\,\ yyyy"/>
    <numFmt numFmtId="167" formatCode="[$$-409]#,##0.00"/>
    <numFmt numFmtId="168" formatCode="0.000"/>
    <numFmt numFmtId="169" formatCode="_ &quot;S/&quot;\ * #,##0.00_ ;_ &quot;S/&quot;\ * \-#,##0.00_ ;_ &quot;S/&quot;\ * &quot;-&quot;??_ ;_ @_ "/>
    <numFmt numFmtId="170" formatCode="[$S/-280A]\ #,##0.00"/>
    <numFmt numFmtId="171" formatCode="_ [$S/.-280A]\ * #,##0.00_ ;_ [$S/.-280A]\ * \-#,##0.00_ ;_ [$S/.-280A]\ * &quot;-&quot;??_ ;_ @_ "/>
    <numFmt numFmtId="172" formatCode="000\-000\-000"/>
    <numFmt numFmtId="173" formatCode="&quot;S/.&quot;#,##0.00"/>
    <numFmt numFmtId="174" formatCode="#,##0.00_ ;\-#,##0.00\ "/>
    <numFmt numFmtId="175" formatCode="_-[$S/-280A]\ * #,##0.00_-;\-[$S/-280A]\ * #,##0.00_-;_-[$S/-280A]\ * &quot;-&quot;??_-;_-@_-"/>
    <numFmt numFmtId="176" formatCode="0.00\ &quot;m&quot;"/>
    <numFmt numFmtId="177" formatCode="0.00\ &quot;Hr&quot;"/>
    <numFmt numFmtId="178" formatCode="0\ &quot;und&quot;"/>
    <numFmt numFmtId="179" formatCode="_-* #,##0\ _€_-;\-* #,##0\ _€_-;_-* &quot;-&quot;??\ _€_-;_-@_-"/>
    <numFmt numFmtId="180" formatCode="#,##0.0"/>
  </numFmts>
  <fonts count="55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sz val="11"/>
      <name val="Cambria"/>
      <family val="1"/>
    </font>
    <font>
      <b/>
      <sz val="11"/>
      <name val="Cambria"/>
      <family val="1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u/>
      <sz val="10"/>
      <color theme="10"/>
      <name val="Arial"/>
      <family val="2"/>
    </font>
    <font>
      <b/>
      <sz val="10"/>
      <name val="Helv"/>
    </font>
    <font>
      <i/>
      <sz val="10"/>
      <name val="Arial"/>
      <family val="2"/>
    </font>
    <font>
      <sz val="11"/>
      <color theme="0"/>
      <name val="Calibri"/>
      <family val="2"/>
      <scheme val="minor"/>
    </font>
    <font>
      <sz val="11"/>
      <name val="Cambria"/>
      <family val="1"/>
      <scheme val="major"/>
    </font>
    <font>
      <b/>
      <sz val="11"/>
      <name val="Cambria"/>
      <family val="1"/>
      <scheme val="major"/>
    </font>
    <font>
      <sz val="10"/>
      <name val="Arial"/>
      <family val="2"/>
    </font>
    <font>
      <b/>
      <sz val="12"/>
      <name val="Cambria"/>
      <family val="1"/>
      <scheme val="major"/>
    </font>
    <font>
      <b/>
      <i/>
      <sz val="11"/>
      <name val="Cambria"/>
      <family val="1"/>
      <scheme val="major"/>
    </font>
    <font>
      <b/>
      <i/>
      <sz val="12"/>
      <name val="Cambria"/>
      <family val="1"/>
      <scheme val="major"/>
    </font>
    <font>
      <sz val="8"/>
      <name val="Arial"/>
      <family val="2"/>
    </font>
    <font>
      <sz val="11"/>
      <color theme="1"/>
      <name val="Cambria"/>
      <family val="1"/>
      <scheme val="major"/>
    </font>
    <font>
      <b/>
      <sz val="6"/>
      <name val="Cambria"/>
      <family val="1"/>
      <scheme val="major"/>
    </font>
    <font>
      <sz val="6"/>
      <name val="Cambria"/>
      <family val="1"/>
      <scheme val="major"/>
    </font>
    <font>
      <b/>
      <i/>
      <sz val="11"/>
      <name val="Cambria"/>
      <family val="1"/>
    </font>
    <font>
      <b/>
      <sz val="5.5"/>
      <name val="Arial"/>
      <family val="2"/>
    </font>
    <font>
      <b/>
      <sz val="5.5"/>
      <name val="Cambria"/>
      <family val="1"/>
      <scheme val="major"/>
    </font>
    <font>
      <sz val="12"/>
      <name val="Cambria"/>
      <family val="1"/>
      <scheme val="major"/>
    </font>
    <font>
      <b/>
      <sz val="12"/>
      <color theme="1"/>
      <name val="Cambria"/>
      <family val="1"/>
      <scheme val="major"/>
    </font>
    <font>
      <sz val="12"/>
      <color theme="1"/>
      <name val="Cambria"/>
      <family val="1"/>
      <scheme val="major"/>
    </font>
    <font>
      <u/>
      <sz val="12"/>
      <color theme="10"/>
      <name val="Cambria"/>
      <family val="1"/>
      <scheme val="major"/>
    </font>
    <font>
      <b/>
      <u/>
      <sz val="12"/>
      <name val="Cambria"/>
      <family val="1"/>
      <scheme val="major"/>
    </font>
    <font>
      <u/>
      <sz val="12"/>
      <name val="Cambria"/>
      <family val="1"/>
      <scheme val="major"/>
    </font>
    <font>
      <b/>
      <i/>
      <sz val="12"/>
      <color theme="1"/>
      <name val="Cambria"/>
      <family val="1"/>
      <scheme val="major"/>
    </font>
    <font>
      <i/>
      <sz val="12"/>
      <name val="Cambria"/>
      <family val="1"/>
      <scheme val="major"/>
    </font>
    <font>
      <sz val="10"/>
      <name val="Arial"/>
      <family val="2"/>
    </font>
    <font>
      <vertAlign val="superscript"/>
      <sz val="11"/>
      <name val="Cambria"/>
      <family val="1"/>
      <scheme val="major"/>
    </font>
    <font>
      <sz val="10"/>
      <name val="Cambria"/>
      <family val="1"/>
      <scheme val="major"/>
    </font>
    <font>
      <b/>
      <u/>
      <sz val="16"/>
      <name val="Cambria"/>
      <family val="1"/>
      <scheme val="major"/>
    </font>
    <font>
      <b/>
      <i/>
      <u/>
      <sz val="12"/>
      <color theme="1"/>
      <name val="Cambria"/>
      <family val="1"/>
      <scheme val="major"/>
    </font>
    <font>
      <b/>
      <sz val="11"/>
      <color theme="1"/>
      <name val="Cambria"/>
      <family val="1"/>
      <scheme val="major"/>
    </font>
    <font>
      <b/>
      <i/>
      <u/>
      <sz val="11"/>
      <name val="Cambria"/>
      <family val="1"/>
      <scheme val="major"/>
    </font>
    <font>
      <b/>
      <i/>
      <u/>
      <sz val="11"/>
      <color rgb="FF0000FF"/>
      <name val="Cambria"/>
      <family val="1"/>
      <scheme val="major"/>
    </font>
    <font>
      <i/>
      <sz val="11"/>
      <name val="Cambria"/>
      <family val="1"/>
      <scheme val="major"/>
    </font>
    <font>
      <b/>
      <i/>
      <u/>
      <sz val="12"/>
      <name val="Cambria"/>
      <family val="1"/>
      <scheme val="major"/>
    </font>
    <font>
      <u/>
      <sz val="10"/>
      <color theme="10"/>
      <name val="Cambria"/>
      <family val="1"/>
      <scheme val="major"/>
    </font>
    <font>
      <b/>
      <sz val="14"/>
      <name val="Cambria"/>
      <family val="1"/>
      <scheme val="major"/>
    </font>
    <font>
      <b/>
      <sz val="14"/>
      <name val="Arial"/>
      <family val="2"/>
    </font>
    <font>
      <b/>
      <sz val="10"/>
      <name val="Cambria"/>
      <family val="1"/>
      <scheme val="major"/>
    </font>
    <font>
      <b/>
      <sz val="11"/>
      <name val="Arial"/>
      <family val="2"/>
    </font>
    <font>
      <sz val="10.5"/>
      <name val="Cambria"/>
      <family val="1"/>
      <scheme val="major"/>
    </font>
    <font>
      <b/>
      <sz val="10.5"/>
      <name val="Cambria"/>
      <family val="1"/>
      <scheme val="major"/>
    </font>
    <font>
      <b/>
      <i/>
      <sz val="11"/>
      <color theme="1"/>
      <name val="Cambria"/>
      <family val="1"/>
      <scheme val="major"/>
    </font>
  </fonts>
  <fills count="2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6A62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FB52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theme="6" tint="0.39997558519241921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20">
    <xf numFmtId="0" fontId="0" fillId="0" borderId="0"/>
    <xf numFmtId="165" fontId="3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0" fontId="12" fillId="0" borderId="0" applyNumberFormat="0" applyFill="0" applyBorder="0" applyAlignment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8" fillId="0" borderId="0" applyFont="0" applyFill="0" applyBorder="0" applyAlignment="0" applyProtection="0"/>
    <xf numFmtId="0" fontId="3" fillId="0" borderId="0"/>
    <xf numFmtId="0" fontId="3" fillId="0" borderId="0"/>
    <xf numFmtId="44" fontId="37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1315">
    <xf numFmtId="0" fontId="0" fillId="0" borderId="0" xfId="0"/>
    <xf numFmtId="0" fontId="3" fillId="0" borderId="0" xfId="0" applyFont="1"/>
    <xf numFmtId="0" fontId="3" fillId="0" borderId="0" xfId="4"/>
    <xf numFmtId="0" fontId="11" fillId="0" borderId="0" xfId="4" applyFont="1"/>
    <xf numFmtId="0" fontId="11" fillId="0" borderId="0" xfId="4" applyFont="1" applyAlignment="1">
      <alignment horizontal="center"/>
    </xf>
    <xf numFmtId="0" fontId="11" fillId="0" borderId="0" xfId="4" applyFont="1" applyAlignment="1">
      <alignment horizontal="left"/>
    </xf>
    <xf numFmtId="0" fontId="7" fillId="0" borderId="0" xfId="4" applyFont="1"/>
    <xf numFmtId="0" fontId="7" fillId="0" borderId="0" xfId="4" applyFont="1" applyAlignment="1">
      <alignment horizontal="center"/>
    </xf>
    <xf numFmtId="0" fontId="3" fillId="0" borderId="0" xfId="4" applyAlignment="1">
      <alignment horizontal="center"/>
    </xf>
    <xf numFmtId="4" fontId="3" fillId="0" borderId="0" xfId="4" applyNumberFormat="1"/>
    <xf numFmtId="0" fontId="13" fillId="0" borderId="0" xfId="4" applyFont="1" applyAlignment="1">
      <alignment horizontal="right"/>
    </xf>
    <xf numFmtId="167" fontId="3" fillId="0" borderId="0" xfId="4" applyNumberFormat="1"/>
    <xf numFmtId="0" fontId="11" fillId="0" borderId="10" xfId="4" applyFont="1" applyBorder="1" applyAlignment="1">
      <alignment horizontal="center"/>
    </xf>
    <xf numFmtId="2" fontId="11" fillId="0" borderId="0" xfId="4" applyNumberFormat="1" applyFont="1" applyAlignment="1">
      <alignment horizontal="center"/>
    </xf>
    <xf numFmtId="2" fontId="3" fillId="0" borderId="0" xfId="4" applyNumberFormat="1"/>
    <xf numFmtId="4" fontId="3" fillId="0" borderId="0" xfId="4" applyNumberFormat="1" applyAlignment="1">
      <alignment horizontal="center"/>
    </xf>
    <xf numFmtId="0" fontId="5" fillId="0" borderId="0" xfId="4" applyFont="1" applyAlignment="1">
      <alignment horizontal="right"/>
    </xf>
    <xf numFmtId="4" fontId="5" fillId="0" borderId="0" xfId="4" applyNumberFormat="1" applyFont="1" applyAlignment="1">
      <alignment horizontal="right"/>
    </xf>
    <xf numFmtId="4" fontId="5" fillId="0" borderId="0" xfId="4" applyNumberFormat="1" applyFont="1"/>
    <xf numFmtId="0" fontId="13" fillId="0" borderId="0" xfId="4" applyFont="1"/>
    <xf numFmtId="4" fontId="11" fillId="0" borderId="0" xfId="4" applyNumberFormat="1" applyFont="1" applyAlignment="1">
      <alignment horizontal="center"/>
    </xf>
    <xf numFmtId="0" fontId="14" fillId="0" borderId="0" xfId="4" applyFont="1"/>
    <xf numFmtId="0" fontId="14" fillId="0" borderId="0" xfId="4" applyFont="1" applyAlignment="1">
      <alignment horizontal="center"/>
    </xf>
    <xf numFmtId="0" fontId="16" fillId="0" borderId="0" xfId="8" applyFont="1"/>
    <xf numFmtId="0" fontId="16" fillId="0" borderId="0" xfId="8" applyFont="1" applyAlignment="1">
      <alignment horizontal="center"/>
    </xf>
    <xf numFmtId="0" fontId="16" fillId="0" borderId="0" xfId="8" applyFont="1" applyAlignment="1">
      <alignment horizontal="left"/>
    </xf>
    <xf numFmtId="0" fontId="11" fillId="0" borderId="0" xfId="8" applyFont="1" applyAlignment="1">
      <alignment horizontal="center"/>
    </xf>
    <xf numFmtId="0" fontId="11" fillId="0" borderId="0" xfId="8" applyFont="1"/>
    <xf numFmtId="0" fontId="17" fillId="0" borderId="10" xfId="8" applyFont="1" applyBorder="1" applyAlignment="1">
      <alignment vertical="center"/>
    </xf>
    <xf numFmtId="0" fontId="16" fillId="0" borderId="10" xfId="8" applyFont="1" applyBorder="1" applyAlignment="1">
      <alignment horizontal="center" vertical="center"/>
    </xf>
    <xf numFmtId="0" fontId="8" fillId="0" borderId="0" xfId="4" applyFont="1" applyAlignment="1">
      <alignment horizontal="center"/>
    </xf>
    <xf numFmtId="0" fontId="16" fillId="0" borderId="13" xfId="8" applyFont="1" applyBorder="1"/>
    <xf numFmtId="0" fontId="16" fillId="0" borderId="3" xfId="8" applyFont="1" applyBorder="1" applyAlignment="1">
      <alignment horizontal="center"/>
    </xf>
    <xf numFmtId="0" fontId="17" fillId="0" borderId="10" xfId="8" applyFont="1" applyBorder="1" applyAlignment="1">
      <alignment horizontal="center"/>
    </xf>
    <xf numFmtId="0" fontId="16" fillId="0" borderId="10" xfId="8" applyFont="1" applyBorder="1" applyAlignment="1">
      <alignment horizontal="center"/>
    </xf>
    <xf numFmtId="4" fontId="16" fillId="0" borderId="10" xfId="8" applyNumberFormat="1" applyFont="1" applyBorder="1" applyAlignment="1">
      <alignment horizontal="center" vertical="center"/>
    </xf>
    <xf numFmtId="4" fontId="16" fillId="0" borderId="10" xfId="8" applyNumberFormat="1" applyFont="1" applyBorder="1" applyAlignment="1">
      <alignment horizontal="center"/>
    </xf>
    <xf numFmtId="0" fontId="16" fillId="0" borderId="10" xfId="8" applyFont="1" applyBorder="1"/>
    <xf numFmtId="170" fontId="16" fillId="0" borderId="10" xfId="8" applyNumberFormat="1" applyFont="1" applyBorder="1" applyAlignment="1">
      <alignment horizontal="center"/>
    </xf>
    <xf numFmtId="0" fontId="16" fillId="0" borderId="15" xfId="8" applyFont="1" applyBorder="1" applyAlignment="1">
      <alignment horizontal="center"/>
    </xf>
    <xf numFmtId="4" fontId="16" fillId="0" borderId="0" xfId="8" applyNumberFormat="1" applyFont="1" applyAlignment="1">
      <alignment horizontal="center"/>
    </xf>
    <xf numFmtId="0" fontId="16" fillId="0" borderId="6" xfId="8" applyFont="1" applyBorder="1"/>
    <xf numFmtId="0" fontId="16" fillId="0" borderId="8" xfId="8" applyFont="1" applyBorder="1" applyAlignment="1">
      <alignment horizontal="center"/>
    </xf>
    <xf numFmtId="0" fontId="15" fillId="2" borderId="0" xfId="8" applyFont="1" applyFill="1"/>
    <xf numFmtId="0" fontId="16" fillId="0" borderId="4" xfId="8" applyFont="1" applyBorder="1" applyAlignment="1">
      <alignment horizontal="center" vertical="center"/>
    </xf>
    <xf numFmtId="0" fontId="17" fillId="0" borderId="6" xfId="8" applyFont="1" applyBorder="1" applyAlignment="1">
      <alignment horizontal="center" vertical="center"/>
    </xf>
    <xf numFmtId="2" fontId="16" fillId="0" borderId="0" xfId="8" applyNumberFormat="1" applyFont="1" applyAlignment="1">
      <alignment horizontal="center" vertical="center"/>
    </xf>
    <xf numFmtId="9" fontId="16" fillId="0" borderId="0" xfId="9" applyFont="1" applyFill="1" applyBorder="1" applyAlignment="1">
      <alignment horizontal="center" vertical="center"/>
    </xf>
    <xf numFmtId="2" fontId="17" fillId="0" borderId="0" xfId="8" applyNumberFormat="1" applyFont="1" applyAlignment="1">
      <alignment horizontal="center" vertical="center"/>
    </xf>
    <xf numFmtId="0" fontId="17" fillId="0" borderId="0" xfId="8" applyFont="1" applyAlignment="1">
      <alignment horizontal="center" vertical="center"/>
    </xf>
    <xf numFmtId="169" fontId="17" fillId="0" borderId="0" xfId="8" applyNumberFormat="1" applyFont="1" applyAlignment="1">
      <alignment horizontal="center" vertical="center"/>
    </xf>
    <xf numFmtId="0" fontId="15" fillId="0" borderId="0" xfId="8" applyFont="1"/>
    <xf numFmtId="0" fontId="11" fillId="0" borderId="10" xfId="4" applyFont="1" applyBorder="1"/>
    <xf numFmtId="170" fontId="11" fillId="0" borderId="10" xfId="4" applyNumberFormat="1" applyFont="1" applyBorder="1" applyAlignment="1">
      <alignment horizontal="center"/>
    </xf>
    <xf numFmtId="170" fontId="11" fillId="0" borderId="0" xfId="4" applyNumberFormat="1" applyFont="1" applyAlignment="1">
      <alignment horizontal="center"/>
    </xf>
    <xf numFmtId="4" fontId="11" fillId="0" borderId="0" xfId="8" applyNumberFormat="1" applyFont="1"/>
    <xf numFmtId="2" fontId="8" fillId="0" borderId="0" xfId="4" applyNumberFormat="1" applyFont="1" applyAlignment="1">
      <alignment horizontal="center"/>
    </xf>
    <xf numFmtId="0" fontId="17" fillId="0" borderId="4" xfId="8" applyFont="1" applyBorder="1" applyAlignment="1">
      <alignment horizontal="center"/>
    </xf>
    <xf numFmtId="169" fontId="17" fillId="0" borderId="10" xfId="8" applyNumberFormat="1" applyFont="1" applyBorder="1" applyAlignment="1">
      <alignment horizontal="center" vertical="center"/>
    </xf>
    <xf numFmtId="0" fontId="17" fillId="5" borderId="10" xfId="8" applyFont="1" applyFill="1" applyBorder="1" applyAlignment="1">
      <alignment horizontal="center"/>
    </xf>
    <xf numFmtId="169" fontId="17" fillId="5" borderId="10" xfId="8" applyNumberFormat="1" applyFont="1" applyFill="1" applyBorder="1" applyAlignment="1">
      <alignment horizontal="center" vertical="center"/>
    </xf>
    <xf numFmtId="169" fontId="17" fillId="0" borderId="9" xfId="8" applyNumberFormat="1" applyFont="1" applyBorder="1" applyAlignment="1">
      <alignment horizontal="center" vertical="center"/>
    </xf>
    <xf numFmtId="0" fontId="16" fillId="0" borderId="0" xfId="0" applyFont="1"/>
    <xf numFmtId="0" fontId="20" fillId="5" borderId="20" xfId="0" applyFont="1" applyFill="1" applyBorder="1"/>
    <xf numFmtId="0" fontId="20" fillId="5" borderId="16" xfId="0" applyFont="1" applyFill="1" applyBorder="1" applyAlignment="1">
      <alignment horizontal="center" vertical="center"/>
    </xf>
    <xf numFmtId="0" fontId="20" fillId="0" borderId="0" xfId="0" applyFont="1"/>
    <xf numFmtId="0" fontId="20" fillId="3" borderId="20" xfId="0" applyFont="1" applyFill="1" applyBorder="1" applyAlignment="1">
      <alignment horizontal="center" vertical="center"/>
    </xf>
    <xf numFmtId="0" fontId="20" fillId="3" borderId="16" xfId="0" applyFont="1" applyFill="1" applyBorder="1" applyAlignment="1">
      <alignment horizontal="center" vertical="center"/>
    </xf>
    <xf numFmtId="0" fontId="20" fillId="3" borderId="30" xfId="0" applyFont="1" applyFill="1" applyBorder="1" applyAlignment="1">
      <alignment horizontal="center" vertical="center"/>
    </xf>
    <xf numFmtId="4" fontId="20" fillId="3" borderId="16" xfId="0" applyNumberFormat="1" applyFont="1" applyFill="1" applyBorder="1" applyAlignment="1">
      <alignment horizontal="center" vertical="center"/>
    </xf>
    <xf numFmtId="4" fontId="20" fillId="3" borderId="16" xfId="0" applyNumberFormat="1" applyFont="1" applyFill="1" applyBorder="1" applyAlignment="1">
      <alignment horizontal="center" wrapText="1"/>
    </xf>
    <xf numFmtId="0" fontId="16" fillId="0" borderId="31" xfId="0" applyFont="1" applyBorder="1" applyAlignment="1">
      <alignment horizontal="center"/>
    </xf>
    <xf numFmtId="0" fontId="16" fillId="0" borderId="37" xfId="0" applyFont="1" applyBorder="1"/>
    <xf numFmtId="0" fontId="16" fillId="0" borderId="8" xfId="0" applyFont="1" applyBorder="1" applyAlignment="1">
      <alignment horizontal="center"/>
    </xf>
    <xf numFmtId="4" fontId="16" fillId="0" borderId="37" xfId="0" applyNumberFormat="1" applyFont="1" applyBorder="1"/>
    <xf numFmtId="4" fontId="16" fillId="0" borderId="41" xfId="0" applyNumberFormat="1" applyFont="1" applyBorder="1"/>
    <xf numFmtId="0" fontId="16" fillId="0" borderId="36" xfId="0" applyFont="1" applyBorder="1" applyAlignment="1">
      <alignment horizontal="center"/>
    </xf>
    <xf numFmtId="0" fontId="16" fillId="0" borderId="38" xfId="0" applyFont="1" applyBorder="1"/>
    <xf numFmtId="0" fontId="16" fillId="0" borderId="3" xfId="0" applyFont="1" applyBorder="1" applyAlignment="1">
      <alignment horizontal="center"/>
    </xf>
    <xf numFmtId="4" fontId="16" fillId="0" borderId="38" xfId="0" applyNumberFormat="1" applyFont="1" applyBorder="1"/>
    <xf numFmtId="4" fontId="16" fillId="0" borderId="42" xfId="0" applyNumberFormat="1" applyFont="1" applyBorder="1"/>
    <xf numFmtId="0" fontId="16" fillId="0" borderId="43" xfId="0" applyFont="1" applyBorder="1" applyAlignment="1">
      <alignment horizontal="center"/>
    </xf>
    <xf numFmtId="0" fontId="16" fillId="0" borderId="39" xfId="0" applyFont="1" applyBorder="1"/>
    <xf numFmtId="0" fontId="16" fillId="0" borderId="12" xfId="0" applyFont="1" applyBorder="1" applyAlignment="1">
      <alignment horizontal="center"/>
    </xf>
    <xf numFmtId="4" fontId="16" fillId="0" borderId="39" xfId="0" applyNumberFormat="1" applyFont="1" applyBorder="1"/>
    <xf numFmtId="4" fontId="16" fillId="0" borderId="47" xfId="0" applyNumberFormat="1" applyFont="1" applyBorder="1"/>
    <xf numFmtId="4" fontId="17" fillId="5" borderId="16" xfId="0" applyNumberFormat="1" applyFont="1" applyFill="1" applyBorder="1"/>
    <xf numFmtId="4" fontId="17" fillId="0" borderId="0" xfId="0" applyNumberFormat="1" applyFont="1"/>
    <xf numFmtId="0" fontId="16" fillId="0" borderId="57" xfId="0" applyFont="1" applyBorder="1" applyAlignment="1">
      <alignment horizontal="center"/>
    </xf>
    <xf numFmtId="0" fontId="3" fillId="0" borderId="0" xfId="11"/>
    <xf numFmtId="0" fontId="3" fillId="4" borderId="0" xfId="11" applyFill="1"/>
    <xf numFmtId="0" fontId="3" fillId="0" borderId="0" xfId="11" applyAlignment="1">
      <alignment horizontal="center"/>
    </xf>
    <xf numFmtId="0" fontId="4" fillId="0" borderId="0" xfId="11" applyFont="1"/>
    <xf numFmtId="0" fontId="5" fillId="5" borderId="0" xfId="11" applyFont="1" applyFill="1"/>
    <xf numFmtId="171" fontId="3" fillId="0" borderId="0" xfId="11" applyNumberFormat="1" applyAlignment="1">
      <alignment horizontal="center"/>
    </xf>
    <xf numFmtId="0" fontId="3" fillId="4" borderId="0" xfId="11" applyFill="1" applyAlignment="1">
      <alignment horizontal="center" vertical="center"/>
    </xf>
    <xf numFmtId="0" fontId="16" fillId="0" borderId="38" xfId="11" applyFont="1" applyBorder="1" applyAlignment="1">
      <alignment horizontal="center"/>
    </xf>
    <xf numFmtId="0" fontId="3" fillId="0" borderId="0" xfId="11" applyAlignment="1">
      <alignment horizontal="center" vertical="center"/>
    </xf>
    <xf numFmtId="0" fontId="16" fillId="0" borderId="0" xfId="11" applyFont="1"/>
    <xf numFmtId="0" fontId="22" fillId="4" borderId="0" xfId="11" applyFont="1" applyFill="1"/>
    <xf numFmtId="0" fontId="16" fillId="5" borderId="0" xfId="11" applyFont="1" applyFill="1"/>
    <xf numFmtId="0" fontId="3" fillId="5" borderId="0" xfId="11" applyFill="1"/>
    <xf numFmtId="4" fontId="16" fillId="0" borderId="0" xfId="11" applyNumberFormat="1" applyFont="1"/>
    <xf numFmtId="0" fontId="16" fillId="0" borderId="37" xfId="11" applyFont="1" applyBorder="1" applyAlignment="1">
      <alignment horizontal="center"/>
    </xf>
    <xf numFmtId="0" fontId="16" fillId="0" borderId="39" xfId="11" applyFont="1" applyBorder="1" applyAlignment="1">
      <alignment horizontal="center"/>
    </xf>
    <xf numFmtId="4" fontId="16" fillId="0" borderId="0" xfId="11" applyNumberFormat="1" applyFont="1" applyAlignment="1">
      <alignment horizontal="right"/>
    </xf>
    <xf numFmtId="0" fontId="16" fillId="0" borderId="10" xfId="11" applyFont="1" applyBorder="1" applyAlignment="1">
      <alignment horizontal="center"/>
    </xf>
    <xf numFmtId="0" fontId="16" fillId="0" borderId="4" xfId="11" applyFont="1" applyBorder="1" applyAlignment="1">
      <alignment vertical="center" wrapText="1"/>
    </xf>
    <xf numFmtId="0" fontId="16" fillId="0" borderId="6" xfId="11" applyFont="1" applyBorder="1" applyAlignment="1">
      <alignment vertical="center" wrapText="1"/>
    </xf>
    <xf numFmtId="0" fontId="16" fillId="0" borderId="22" xfId="11" applyFont="1" applyBorder="1"/>
    <xf numFmtId="0" fontId="16" fillId="0" borderId="23" xfId="11" applyFont="1" applyBorder="1" applyAlignment="1">
      <alignment horizontal="center"/>
    </xf>
    <xf numFmtId="0" fontId="16" fillId="0" borderId="25" xfId="11" applyFont="1" applyBorder="1"/>
    <xf numFmtId="0" fontId="16" fillId="0" borderId="26" xfId="11" applyFont="1" applyBorder="1" applyAlignment="1">
      <alignment horizontal="center"/>
    </xf>
    <xf numFmtId="0" fontId="16" fillId="0" borderId="28" xfId="11" applyFont="1" applyBorder="1" applyAlignment="1">
      <alignment horizontal="center"/>
    </xf>
    <xf numFmtId="0" fontId="17" fillId="0" borderId="0" xfId="11" applyFont="1"/>
    <xf numFmtId="4" fontId="17" fillId="0" borderId="0" xfId="11" applyNumberFormat="1" applyFont="1"/>
    <xf numFmtId="4" fontId="16" fillId="0" borderId="23" xfId="11" applyNumberFormat="1" applyFont="1" applyBorder="1"/>
    <xf numFmtId="0" fontId="16" fillId="0" borderId="23" xfId="11" applyFont="1" applyBorder="1"/>
    <xf numFmtId="0" fontId="16" fillId="0" borderId="28" xfId="11" applyFont="1" applyBorder="1"/>
    <xf numFmtId="0" fontId="16" fillId="0" borderId="50" xfId="11" applyFont="1" applyBorder="1"/>
    <xf numFmtId="0" fontId="16" fillId="0" borderId="9" xfId="11" applyFont="1" applyBorder="1" applyAlignment="1">
      <alignment horizontal="center"/>
    </xf>
    <xf numFmtId="4" fontId="16" fillId="0" borderId="32" xfId="11" applyNumberFormat="1" applyFont="1" applyBorder="1"/>
    <xf numFmtId="0" fontId="20" fillId="3" borderId="61" xfId="11" applyFont="1" applyFill="1" applyBorder="1" applyAlignment="1">
      <alignment horizontal="center"/>
    </xf>
    <xf numFmtId="0" fontId="20" fillId="3" borderId="27" xfId="11" applyFont="1" applyFill="1" applyBorder="1"/>
    <xf numFmtId="4" fontId="20" fillId="3" borderId="62" xfId="11" applyNumberFormat="1" applyFont="1" applyFill="1" applyBorder="1"/>
    <xf numFmtId="0" fontId="20" fillId="0" borderId="0" xfId="11" applyFont="1" applyAlignment="1">
      <alignment horizontal="center" vertical="center" wrapText="1"/>
    </xf>
    <xf numFmtId="0" fontId="16" fillId="0" borderId="0" xfId="11" applyFont="1" applyAlignment="1">
      <alignment horizontal="center" vertical="center" wrapText="1"/>
    </xf>
    <xf numFmtId="0" fontId="20" fillId="3" borderId="48" xfId="11" applyFont="1" applyFill="1" applyBorder="1" applyAlignment="1">
      <alignment horizontal="center"/>
    </xf>
    <xf numFmtId="4" fontId="16" fillId="0" borderId="0" xfId="0" applyNumberFormat="1" applyFont="1"/>
    <xf numFmtId="0" fontId="16" fillId="0" borderId="13" xfId="0" applyFont="1" applyBorder="1"/>
    <xf numFmtId="0" fontId="16" fillId="0" borderId="4" xfId="0" applyFont="1" applyBorder="1"/>
    <xf numFmtId="4" fontId="3" fillId="0" borderId="0" xfId="11" applyNumberFormat="1"/>
    <xf numFmtId="0" fontId="16" fillId="0" borderId="32" xfId="11" applyFont="1" applyBorder="1" applyAlignment="1">
      <alignment horizontal="center"/>
    </xf>
    <xf numFmtId="0" fontId="16" fillId="0" borderId="61" xfId="11" applyFont="1" applyBorder="1"/>
    <xf numFmtId="0" fontId="16" fillId="0" borderId="62" xfId="11" applyFont="1" applyBorder="1" applyAlignment="1">
      <alignment horizontal="center"/>
    </xf>
    <xf numFmtId="4" fontId="20" fillId="3" borderId="49" xfId="11" applyNumberFormat="1" applyFont="1" applyFill="1" applyBorder="1"/>
    <xf numFmtId="0" fontId="3" fillId="4" borderId="0" xfId="11" applyFill="1" applyAlignment="1">
      <alignment horizontal="left"/>
    </xf>
    <xf numFmtId="0" fontId="16" fillId="0" borderId="10" xfId="0" applyFont="1" applyBorder="1"/>
    <xf numFmtId="4" fontId="16" fillId="0" borderId="42" xfId="11" applyNumberFormat="1" applyFont="1" applyBorder="1" applyAlignment="1">
      <alignment horizontal="right"/>
    </xf>
    <xf numFmtId="4" fontId="16" fillId="0" borderId="42" xfId="4" applyNumberFormat="1" applyFont="1" applyBorder="1"/>
    <xf numFmtId="4" fontId="16" fillId="0" borderId="41" xfId="11" applyNumberFormat="1" applyFont="1" applyBorder="1" applyAlignment="1">
      <alignment horizontal="right"/>
    </xf>
    <xf numFmtId="0" fontId="16" fillId="0" borderId="51" xfId="11" applyFont="1" applyBorder="1" applyAlignment="1">
      <alignment horizontal="center"/>
    </xf>
    <xf numFmtId="0" fontId="16" fillId="0" borderId="38" xfId="11" applyFont="1" applyBorder="1"/>
    <xf numFmtId="0" fontId="16" fillId="0" borderId="3" xfId="11" applyFont="1" applyBorder="1"/>
    <xf numFmtId="0" fontId="16" fillId="4" borderId="3" xfId="11" applyFont="1" applyFill="1" applyBorder="1"/>
    <xf numFmtId="0" fontId="16" fillId="0" borderId="3" xfId="4" applyFont="1" applyBorder="1"/>
    <xf numFmtId="0" fontId="16" fillId="4" borderId="8" xfId="11" applyFont="1" applyFill="1" applyBorder="1"/>
    <xf numFmtId="0" fontId="16" fillId="0" borderId="12" xfId="11" applyFont="1" applyBorder="1"/>
    <xf numFmtId="4" fontId="16" fillId="0" borderId="32" xfId="11" applyNumberFormat="1" applyFont="1" applyBorder="1" applyAlignment="1">
      <alignment horizontal="right"/>
    </xf>
    <xf numFmtId="4" fontId="16" fillId="0" borderId="23" xfId="11" applyNumberFormat="1" applyFont="1" applyBorder="1" applyAlignment="1">
      <alignment horizontal="right"/>
    </xf>
    <xf numFmtId="4" fontId="16" fillId="0" borderId="62" xfId="11" applyNumberFormat="1" applyFont="1" applyBorder="1" applyAlignment="1">
      <alignment horizontal="right"/>
    </xf>
    <xf numFmtId="0" fontId="16" fillId="0" borderId="0" xfId="11" applyFont="1" applyAlignment="1">
      <alignment horizontal="center"/>
    </xf>
    <xf numFmtId="4" fontId="16" fillId="0" borderId="63" xfId="11" applyNumberFormat="1" applyFont="1" applyBorder="1" applyAlignment="1">
      <alignment horizontal="right"/>
    </xf>
    <xf numFmtId="0" fontId="16" fillId="0" borderId="18" xfId="11" applyFont="1" applyBorder="1" applyAlignment="1">
      <alignment horizontal="center"/>
    </xf>
    <xf numFmtId="4" fontId="16" fillId="0" borderId="18" xfId="11" applyNumberFormat="1" applyFont="1" applyBorder="1" applyAlignment="1">
      <alignment horizontal="right"/>
    </xf>
    <xf numFmtId="0" fontId="20" fillId="3" borderId="20" xfId="11" applyFont="1" applyFill="1" applyBorder="1" applyAlignment="1">
      <alignment horizontal="center"/>
    </xf>
    <xf numFmtId="0" fontId="16" fillId="0" borderId="31" xfId="11" applyFont="1" applyBorder="1"/>
    <xf numFmtId="0" fontId="16" fillId="0" borderId="36" xfId="11" applyFont="1" applyBorder="1"/>
    <xf numFmtId="4" fontId="20" fillId="3" borderId="16" xfId="11" applyNumberFormat="1" applyFont="1" applyFill="1" applyBorder="1"/>
    <xf numFmtId="4" fontId="16" fillId="0" borderId="37" xfId="11" applyNumberFormat="1" applyFont="1" applyBorder="1" applyAlignment="1">
      <alignment horizontal="center"/>
    </xf>
    <xf numFmtId="4" fontId="16" fillId="0" borderId="38" xfId="11" applyNumberFormat="1" applyFont="1" applyBorder="1" applyAlignment="1">
      <alignment horizontal="center"/>
    </xf>
    <xf numFmtId="4" fontId="16" fillId="0" borderId="29" xfId="11" applyNumberFormat="1" applyFont="1" applyBorder="1" applyAlignment="1">
      <alignment horizontal="center"/>
    </xf>
    <xf numFmtId="0" fontId="25" fillId="0" borderId="0" xfId="11" applyFont="1"/>
    <xf numFmtId="4" fontId="17" fillId="0" borderId="16" xfId="11" applyNumberFormat="1" applyFont="1" applyBorder="1"/>
    <xf numFmtId="0" fontId="16" fillId="0" borderId="39" xfId="11" applyFont="1" applyBorder="1"/>
    <xf numFmtId="0" fontId="16" fillId="0" borderId="37" xfId="11" applyFont="1" applyBorder="1"/>
    <xf numFmtId="0" fontId="20" fillId="3" borderId="20" xfId="11" applyFont="1" applyFill="1" applyBorder="1" applyAlignment="1">
      <alignment horizontal="center" vertical="center"/>
    </xf>
    <xf numFmtId="0" fontId="20" fillId="3" borderId="16" xfId="11" applyFont="1" applyFill="1" applyBorder="1" applyAlignment="1">
      <alignment horizontal="center" vertical="center"/>
    </xf>
    <xf numFmtId="0" fontId="20" fillId="3" borderId="30" xfId="11" applyFont="1" applyFill="1" applyBorder="1" applyAlignment="1">
      <alignment horizontal="center" vertical="center"/>
    </xf>
    <xf numFmtId="0" fontId="16" fillId="0" borderId="8" xfId="11" applyFont="1" applyBorder="1" applyAlignment="1">
      <alignment horizontal="center"/>
    </xf>
    <xf numFmtId="0" fontId="16" fillId="0" borderId="3" xfId="11" applyFont="1" applyBorder="1" applyAlignment="1">
      <alignment horizontal="center"/>
    </xf>
    <xf numFmtId="0" fontId="16" fillId="0" borderId="40" xfId="11" applyFont="1" applyBorder="1" applyAlignment="1">
      <alignment horizontal="center"/>
    </xf>
    <xf numFmtId="0" fontId="20" fillId="3" borderId="30" xfId="11" applyFont="1" applyFill="1" applyBorder="1" applyAlignment="1">
      <alignment horizontal="center" wrapText="1"/>
    </xf>
    <xf numFmtId="4" fontId="16" fillId="0" borderId="8" xfId="11" applyNumberFormat="1" applyFont="1" applyBorder="1"/>
    <xf numFmtId="4" fontId="16" fillId="0" borderId="3" xfId="11" applyNumberFormat="1" applyFont="1" applyBorder="1"/>
    <xf numFmtId="4" fontId="16" fillId="0" borderId="40" xfId="11" applyNumberFormat="1" applyFont="1" applyBorder="1"/>
    <xf numFmtId="0" fontId="20" fillId="3" borderId="16" xfId="11" applyFont="1" applyFill="1" applyBorder="1" applyAlignment="1">
      <alignment horizontal="center" vertical="center" wrapText="1"/>
    </xf>
    <xf numFmtId="4" fontId="16" fillId="0" borderId="37" xfId="11" applyNumberFormat="1" applyFont="1" applyBorder="1"/>
    <xf numFmtId="4" fontId="16" fillId="0" borderId="38" xfId="11" applyNumberFormat="1" applyFont="1" applyBorder="1"/>
    <xf numFmtId="4" fontId="16" fillId="0" borderId="39" xfId="11" applyNumberFormat="1" applyFont="1" applyBorder="1"/>
    <xf numFmtId="0" fontId="17" fillId="0" borderId="16" xfId="11" applyFont="1" applyBorder="1"/>
    <xf numFmtId="0" fontId="20" fillId="3" borderId="21" xfId="11" applyFont="1" applyFill="1" applyBorder="1" applyAlignment="1">
      <alignment horizontal="center" vertical="center" wrapText="1"/>
    </xf>
    <xf numFmtId="4" fontId="16" fillId="0" borderId="41" xfId="11" applyNumberFormat="1" applyFont="1" applyBorder="1"/>
    <xf numFmtId="4" fontId="16" fillId="0" borderId="42" xfId="11" applyNumberFormat="1" applyFont="1" applyBorder="1"/>
    <xf numFmtId="4" fontId="16" fillId="0" borderId="58" xfId="11" applyNumberFormat="1" applyFont="1" applyBorder="1"/>
    <xf numFmtId="0" fontId="20" fillId="3" borderId="16" xfId="11" applyFont="1" applyFill="1" applyBorder="1" applyAlignment="1">
      <alignment horizontal="center" wrapText="1"/>
    </xf>
    <xf numFmtId="0" fontId="16" fillId="0" borderId="55" xfId="11" applyFont="1" applyBorder="1"/>
    <xf numFmtId="0" fontId="16" fillId="0" borderId="8" xfId="11" applyFont="1" applyBorder="1"/>
    <xf numFmtId="0" fontId="16" fillId="0" borderId="59" xfId="11" applyFont="1" applyBorder="1"/>
    <xf numFmtId="0" fontId="3" fillId="0" borderId="51" xfId="11" applyBorder="1" applyAlignment="1">
      <alignment horizontal="center"/>
    </xf>
    <xf numFmtId="0" fontId="3" fillId="0" borderId="38" xfId="11" applyBorder="1" applyAlignment="1">
      <alignment horizontal="center"/>
    </xf>
    <xf numFmtId="0" fontId="3" fillId="0" borderId="39" xfId="11" applyBorder="1" applyAlignment="1">
      <alignment horizontal="center"/>
    </xf>
    <xf numFmtId="0" fontId="21" fillId="3" borderId="19" xfId="11" applyFont="1" applyFill="1" applyBorder="1" applyAlignment="1">
      <alignment horizontal="center"/>
    </xf>
    <xf numFmtId="0" fontId="21" fillId="3" borderId="16" xfId="11" applyFont="1" applyFill="1" applyBorder="1" applyAlignment="1">
      <alignment horizontal="center"/>
    </xf>
    <xf numFmtId="4" fontId="16" fillId="0" borderId="56" xfId="11" applyNumberFormat="1" applyFont="1" applyBorder="1" applyAlignment="1">
      <alignment horizontal="right"/>
    </xf>
    <xf numFmtId="4" fontId="16" fillId="0" borderId="47" xfId="11" applyNumberFormat="1" applyFont="1" applyBorder="1" applyAlignment="1">
      <alignment horizontal="right"/>
    </xf>
    <xf numFmtId="4" fontId="16" fillId="0" borderId="51" xfId="11" applyNumberFormat="1" applyFont="1" applyBorder="1" applyAlignment="1">
      <alignment horizontal="center"/>
    </xf>
    <xf numFmtId="4" fontId="16" fillId="0" borderId="39" xfId="11" applyNumberFormat="1" applyFont="1" applyBorder="1" applyAlignment="1">
      <alignment horizontal="center"/>
    </xf>
    <xf numFmtId="0" fontId="17" fillId="0" borderId="0" xfId="4" applyFont="1" applyAlignment="1">
      <alignment horizontal="center"/>
    </xf>
    <xf numFmtId="0" fontId="20" fillId="3" borderId="13" xfId="11" applyFont="1" applyFill="1" applyBorder="1" applyAlignment="1">
      <alignment horizontal="center" vertical="center" wrapText="1"/>
    </xf>
    <xf numFmtId="0" fontId="16" fillId="0" borderId="13" xfId="11" applyFont="1" applyBorder="1" applyAlignment="1">
      <alignment horizontal="center" vertical="center" wrapText="1"/>
    </xf>
    <xf numFmtId="0" fontId="16" fillId="0" borderId="12" xfId="11" applyFont="1" applyBorder="1" applyAlignment="1">
      <alignment vertical="center" wrapText="1"/>
    </xf>
    <xf numFmtId="0" fontId="16" fillId="0" borderId="57" xfId="11" applyFont="1" applyBorder="1"/>
    <xf numFmtId="0" fontId="16" fillId="0" borderId="0" xfId="11" applyFont="1" applyAlignment="1">
      <alignment vertical="center" wrapText="1"/>
    </xf>
    <xf numFmtId="0" fontId="16" fillId="0" borderId="5" xfId="11" applyFont="1" applyBorder="1"/>
    <xf numFmtId="0" fontId="16" fillId="0" borderId="15" xfId="11" applyFont="1" applyBorder="1" applyAlignment="1">
      <alignment horizontal="center"/>
    </xf>
    <xf numFmtId="0" fontId="16" fillId="0" borderId="4" xfId="11" applyFont="1" applyBorder="1" applyAlignment="1">
      <alignment horizontal="center"/>
    </xf>
    <xf numFmtId="0" fontId="17" fillId="0" borderId="29" xfId="11" applyFont="1" applyBorder="1"/>
    <xf numFmtId="0" fontId="16" fillId="0" borderId="51" xfId="11" applyFont="1" applyBorder="1"/>
    <xf numFmtId="0" fontId="16" fillId="0" borderId="55" xfId="11" applyFont="1" applyBorder="1" applyAlignment="1">
      <alignment horizontal="center"/>
    </xf>
    <xf numFmtId="4" fontId="16" fillId="0" borderId="55" xfId="11" applyNumberFormat="1" applyFont="1" applyBorder="1"/>
    <xf numFmtId="4" fontId="16" fillId="0" borderId="51" xfId="11" applyNumberFormat="1" applyFont="1" applyBorder="1"/>
    <xf numFmtId="0" fontId="16" fillId="0" borderId="41" xfId="11" applyFont="1" applyBorder="1" applyAlignment="1">
      <alignment horizontal="center"/>
    </xf>
    <xf numFmtId="0" fontId="16" fillId="0" borderId="42" xfId="11" applyFont="1" applyBorder="1" applyAlignment="1">
      <alignment horizontal="center"/>
    </xf>
    <xf numFmtId="0" fontId="16" fillId="0" borderId="58" xfId="11" applyFont="1" applyBorder="1" applyAlignment="1">
      <alignment horizontal="center"/>
    </xf>
    <xf numFmtId="0" fontId="20" fillId="3" borderId="10" xfId="8" applyFont="1" applyFill="1" applyBorder="1" applyAlignment="1">
      <alignment horizontal="center"/>
    </xf>
    <xf numFmtId="0" fontId="11" fillId="0" borderId="10" xfId="8" applyFont="1" applyBorder="1" applyAlignment="1">
      <alignment horizontal="center" vertical="center"/>
    </xf>
    <xf numFmtId="0" fontId="20" fillId="3" borderId="33" xfId="11" applyFont="1" applyFill="1" applyBorder="1"/>
    <xf numFmtId="0" fontId="16" fillId="0" borderId="27" xfId="11" applyFont="1" applyBorder="1" applyAlignment="1">
      <alignment horizontal="center"/>
    </xf>
    <xf numFmtId="0" fontId="8" fillId="0" borderId="0" xfId="4" applyFont="1" applyAlignment="1">
      <alignment horizontal="left"/>
    </xf>
    <xf numFmtId="0" fontId="11" fillId="0" borderId="10" xfId="8" applyFont="1" applyBorder="1" applyAlignment="1">
      <alignment horizontal="center"/>
    </xf>
    <xf numFmtId="0" fontId="17" fillId="0" borderId="10" xfId="4" applyFont="1" applyBorder="1" applyAlignment="1">
      <alignment horizontal="center"/>
    </xf>
    <xf numFmtId="0" fontId="17" fillId="0" borderId="34" xfId="8" applyFont="1" applyBorder="1" applyAlignment="1">
      <alignment horizontal="center"/>
    </xf>
    <xf numFmtId="0" fontId="9" fillId="0" borderId="0" xfId="4" applyFont="1" applyAlignment="1">
      <alignment horizontal="center"/>
    </xf>
    <xf numFmtId="169" fontId="9" fillId="6" borderId="0" xfId="4" applyNumberFormat="1" applyFont="1" applyFill="1" applyAlignment="1">
      <alignment horizontal="center" vertical="center"/>
    </xf>
    <xf numFmtId="0" fontId="16" fillId="0" borderId="22" xfId="8" applyFont="1" applyBorder="1"/>
    <xf numFmtId="0" fontId="16" fillId="0" borderId="25" xfId="8" applyFont="1" applyBorder="1"/>
    <xf numFmtId="0" fontId="16" fillId="0" borderId="50" xfId="8" applyFont="1" applyBorder="1"/>
    <xf numFmtId="0" fontId="17" fillId="0" borderId="0" xfId="8" applyFont="1" applyAlignment="1">
      <alignment horizontal="center"/>
    </xf>
    <xf numFmtId="4" fontId="17" fillId="0" borderId="29" xfId="11" applyNumberFormat="1" applyFont="1" applyBorder="1"/>
    <xf numFmtId="0" fontId="20" fillId="3" borderId="20" xfId="11" applyFont="1" applyFill="1" applyBorder="1" applyAlignment="1">
      <alignment horizontal="center" wrapText="1"/>
    </xf>
    <xf numFmtId="4" fontId="16" fillId="0" borderId="31" xfId="11" applyNumberFormat="1" applyFont="1" applyBorder="1"/>
    <xf numFmtId="4" fontId="16" fillId="0" borderId="36" xfId="11" applyNumberFormat="1" applyFont="1" applyBorder="1"/>
    <xf numFmtId="4" fontId="16" fillId="0" borderId="57" xfId="11" applyNumberFormat="1" applyFont="1" applyBorder="1"/>
    <xf numFmtId="0" fontId="17" fillId="0" borderId="0" xfId="8" applyFont="1"/>
    <xf numFmtId="0" fontId="20" fillId="3" borderId="10" xfId="8" applyFont="1" applyFill="1" applyBorder="1"/>
    <xf numFmtId="0" fontId="20" fillId="3" borderId="14" xfId="8" applyFont="1" applyFill="1" applyBorder="1"/>
    <xf numFmtId="0" fontId="16" fillId="0" borderId="36" xfId="8" applyFont="1" applyBorder="1" applyAlignment="1">
      <alignment horizontal="left"/>
    </xf>
    <xf numFmtId="0" fontId="16" fillId="0" borderId="57" xfId="8" applyFont="1" applyBorder="1" applyAlignment="1">
      <alignment horizontal="left"/>
    </xf>
    <xf numFmtId="0" fontId="16" fillId="0" borderId="38" xfId="8" applyFont="1" applyBorder="1" applyAlignment="1">
      <alignment horizontal="center"/>
    </xf>
    <xf numFmtId="0" fontId="16" fillId="0" borderId="40" xfId="8" applyFont="1" applyBorder="1" applyAlignment="1">
      <alignment horizontal="center"/>
    </xf>
    <xf numFmtId="4" fontId="16" fillId="0" borderId="38" xfId="8" applyNumberFormat="1" applyFont="1" applyBorder="1" applyAlignment="1">
      <alignment horizontal="center"/>
    </xf>
    <xf numFmtId="4" fontId="16" fillId="0" borderId="39" xfId="8" applyNumberFormat="1" applyFont="1" applyBorder="1" applyAlignment="1">
      <alignment horizontal="center"/>
    </xf>
    <xf numFmtId="0" fontId="16" fillId="0" borderId="31" xfId="8" applyFont="1" applyBorder="1" applyAlignment="1">
      <alignment horizontal="left"/>
    </xf>
    <xf numFmtId="0" fontId="16" fillId="0" borderId="37" xfId="8" applyFont="1" applyBorder="1" applyAlignment="1">
      <alignment horizontal="center"/>
    </xf>
    <xf numFmtId="4" fontId="16" fillId="0" borderId="37" xfId="8" applyNumberFormat="1" applyFont="1" applyBorder="1" applyAlignment="1">
      <alignment horizontal="center" vertical="center"/>
    </xf>
    <xf numFmtId="4" fontId="16" fillId="0" borderId="37" xfId="8" applyNumberFormat="1" applyFont="1" applyBorder="1" applyAlignment="1">
      <alignment horizontal="center"/>
    </xf>
    <xf numFmtId="0" fontId="16" fillId="0" borderId="39" xfId="8" applyFont="1" applyBorder="1" applyAlignment="1">
      <alignment horizontal="center"/>
    </xf>
    <xf numFmtId="0" fontId="16" fillId="0" borderId="64" xfId="8" applyFont="1" applyBorder="1"/>
    <xf numFmtId="4" fontId="16" fillId="5" borderId="16" xfId="11" applyNumberFormat="1" applyFont="1" applyFill="1" applyBorder="1" applyAlignment="1">
      <alignment horizontal="right"/>
    </xf>
    <xf numFmtId="4" fontId="16" fillId="5" borderId="29" xfId="11" applyNumberFormat="1" applyFont="1" applyFill="1" applyBorder="1" applyAlignment="1">
      <alignment horizontal="right"/>
    </xf>
    <xf numFmtId="4" fontId="17" fillId="5" borderId="21" xfId="11" applyNumberFormat="1" applyFont="1" applyFill="1" applyBorder="1" applyAlignment="1">
      <alignment horizontal="right"/>
    </xf>
    <xf numFmtId="0" fontId="17" fillId="3" borderId="16" xfId="11" applyFont="1" applyFill="1" applyBorder="1"/>
    <xf numFmtId="0" fontId="17" fillId="3" borderId="16" xfId="11" applyFont="1" applyFill="1" applyBorder="1" applyAlignment="1">
      <alignment horizontal="center"/>
    </xf>
    <xf numFmtId="0" fontId="21" fillId="0" borderId="30" xfId="11" applyFont="1" applyBorder="1" applyAlignment="1">
      <alignment horizontal="center" vertical="center"/>
    </xf>
    <xf numFmtId="0" fontId="5" fillId="0" borderId="0" xfId="11" applyFont="1"/>
    <xf numFmtId="0" fontId="17" fillId="0" borderId="54" xfId="11" applyFont="1" applyBorder="1"/>
    <xf numFmtId="0" fontId="17" fillId="0" borderId="54" xfId="11" applyFont="1" applyBorder="1" applyAlignment="1">
      <alignment horizontal="center"/>
    </xf>
    <xf numFmtId="0" fontId="21" fillId="0" borderId="59" xfId="11" applyFont="1" applyBorder="1" applyAlignment="1">
      <alignment horizontal="center" vertical="center"/>
    </xf>
    <xf numFmtId="169" fontId="17" fillId="0" borderId="29" xfId="8" applyNumberFormat="1" applyFont="1" applyBorder="1" applyAlignment="1">
      <alignment horizontal="center" vertical="center"/>
    </xf>
    <xf numFmtId="169" fontId="17" fillId="5" borderId="16" xfId="8" applyNumberFormat="1" applyFont="1" applyFill="1" applyBorder="1" applyAlignment="1">
      <alignment horizontal="center" vertical="center"/>
    </xf>
    <xf numFmtId="169" fontId="17" fillId="5" borderId="21" xfId="8" applyNumberFormat="1" applyFont="1" applyFill="1" applyBorder="1" applyAlignment="1">
      <alignment horizontal="center" vertical="center"/>
    </xf>
    <xf numFmtId="0" fontId="20" fillId="3" borderId="16" xfId="4" applyFont="1" applyFill="1" applyBorder="1" applyAlignment="1">
      <alignment horizontal="center" vertical="center" wrapText="1"/>
    </xf>
    <xf numFmtId="0" fontId="20" fillId="3" borderId="30" xfId="8" applyFont="1" applyFill="1" applyBorder="1" applyAlignment="1">
      <alignment horizontal="center" vertical="center"/>
    </xf>
    <xf numFmtId="0" fontId="20" fillId="3" borderId="16" xfId="8" applyFont="1" applyFill="1" applyBorder="1" applyAlignment="1">
      <alignment horizontal="center" vertical="center"/>
    </xf>
    <xf numFmtId="0" fontId="16" fillId="0" borderId="0" xfId="8" applyFont="1" applyAlignment="1">
      <alignment horizontal="center" vertical="center"/>
    </xf>
    <xf numFmtId="0" fontId="8" fillId="0" borderId="0" xfId="4" applyFont="1" applyAlignment="1">
      <alignment horizontal="center" vertical="center"/>
    </xf>
    <xf numFmtId="0" fontId="17" fillId="0" borderId="13" xfId="4" applyFont="1" applyBorder="1" applyAlignment="1">
      <alignment horizontal="center"/>
    </xf>
    <xf numFmtId="0" fontId="16" fillId="0" borderId="10" xfId="4" applyFont="1" applyBorder="1" applyAlignment="1">
      <alignment horizontal="center"/>
    </xf>
    <xf numFmtId="0" fontId="10" fillId="0" borderId="0" xfId="4" applyFont="1" applyAlignment="1">
      <alignment horizontal="center"/>
    </xf>
    <xf numFmtId="4" fontId="16" fillId="0" borderId="10" xfId="4" applyNumberFormat="1" applyFont="1" applyBorder="1" applyAlignment="1">
      <alignment horizontal="center"/>
    </xf>
    <xf numFmtId="0" fontId="17" fillId="0" borderId="10" xfId="4" applyFont="1" applyBorder="1"/>
    <xf numFmtId="0" fontId="17" fillId="3" borderId="9" xfId="8" applyFont="1" applyFill="1" applyBorder="1" applyAlignment="1">
      <alignment horizontal="center"/>
    </xf>
    <xf numFmtId="0" fontId="17" fillId="3" borderId="20" xfId="8" applyFont="1" applyFill="1" applyBorder="1" applyAlignment="1">
      <alignment horizontal="center"/>
    </xf>
    <xf numFmtId="0" fontId="17" fillId="3" borderId="16" xfId="8" applyFont="1" applyFill="1" applyBorder="1" applyAlignment="1">
      <alignment horizontal="center"/>
    </xf>
    <xf numFmtId="0" fontId="17" fillId="3" borderId="30" xfId="8" applyFont="1" applyFill="1" applyBorder="1" applyAlignment="1">
      <alignment horizontal="center"/>
    </xf>
    <xf numFmtId="0" fontId="20" fillId="3" borderId="3" xfId="4" applyFont="1" applyFill="1" applyBorder="1" applyAlignment="1">
      <alignment vertical="center"/>
    </xf>
    <xf numFmtId="0" fontId="26" fillId="3" borderId="14" xfId="4" applyFont="1" applyFill="1" applyBorder="1" applyAlignment="1">
      <alignment vertical="center"/>
    </xf>
    <xf numFmtId="0" fontId="17" fillId="3" borderId="13" xfId="4" applyFont="1" applyFill="1" applyBorder="1" applyAlignment="1">
      <alignment horizontal="center" vertical="center"/>
    </xf>
    <xf numFmtId="0" fontId="17" fillId="3" borderId="14" xfId="4" applyFont="1" applyFill="1" applyBorder="1" applyAlignment="1">
      <alignment horizontal="center" vertical="center"/>
    </xf>
    <xf numFmtId="0" fontId="17" fillId="3" borderId="10" xfId="4" applyFont="1" applyFill="1" applyBorder="1" applyAlignment="1">
      <alignment horizontal="center" vertical="center"/>
    </xf>
    <xf numFmtId="0" fontId="17" fillId="0" borderId="13" xfId="8" applyFont="1" applyBorder="1" applyAlignment="1">
      <alignment horizontal="center"/>
    </xf>
    <xf numFmtId="0" fontId="16" fillId="0" borderId="0" xfId="4" applyFont="1"/>
    <xf numFmtId="0" fontId="16" fillId="0" borderId="13" xfId="4" applyFont="1" applyBorder="1"/>
    <xf numFmtId="0" fontId="16" fillId="0" borderId="3" xfId="4" applyFont="1" applyBorder="1" applyAlignment="1">
      <alignment horizontal="center"/>
    </xf>
    <xf numFmtId="168" fontId="16" fillId="0" borderId="10" xfId="4" applyNumberFormat="1" applyFont="1" applyBorder="1" applyAlignment="1">
      <alignment horizontal="center"/>
    </xf>
    <xf numFmtId="0" fontId="16" fillId="0" borderId="0" xfId="4" applyFont="1" applyAlignment="1">
      <alignment horizontal="center"/>
    </xf>
    <xf numFmtId="0" fontId="16" fillId="0" borderId="4" xfId="4" applyFont="1" applyBorder="1"/>
    <xf numFmtId="0" fontId="16" fillId="0" borderId="1" xfId="4" applyFont="1" applyBorder="1" applyAlignment="1">
      <alignment horizontal="center"/>
    </xf>
    <xf numFmtId="0" fontId="17" fillId="0" borderId="6" xfId="4" applyFont="1" applyBorder="1" applyAlignment="1">
      <alignment horizontal="center"/>
    </xf>
    <xf numFmtId="4" fontId="16" fillId="0" borderId="15" xfId="8" applyNumberFormat="1" applyFont="1" applyBorder="1" applyAlignment="1">
      <alignment horizontal="center"/>
    </xf>
    <xf numFmtId="4" fontId="16" fillId="0" borderId="1" xfId="8" applyNumberFormat="1" applyFont="1" applyBorder="1" applyAlignment="1">
      <alignment horizontal="center"/>
    </xf>
    <xf numFmtId="4" fontId="16" fillId="0" borderId="15" xfId="8" applyNumberFormat="1" applyFont="1" applyBorder="1" applyAlignment="1">
      <alignment horizontal="center" vertical="center"/>
    </xf>
    <xf numFmtId="4" fontId="16" fillId="0" borderId="1" xfId="8" applyNumberFormat="1" applyFont="1" applyBorder="1" applyAlignment="1">
      <alignment horizontal="center" vertical="center"/>
    </xf>
    <xf numFmtId="4" fontId="16" fillId="0" borderId="15" xfId="4" applyNumberFormat="1" applyFont="1" applyBorder="1" applyAlignment="1">
      <alignment horizontal="center"/>
    </xf>
    <xf numFmtId="4" fontId="16" fillId="0" borderId="1" xfId="4" applyNumberFormat="1" applyFont="1" applyBorder="1" applyAlignment="1">
      <alignment horizontal="center"/>
    </xf>
    <xf numFmtId="0" fontId="26" fillId="3" borderId="3" xfId="4" applyFont="1" applyFill="1" applyBorder="1" applyAlignment="1">
      <alignment vertical="center"/>
    </xf>
    <xf numFmtId="0" fontId="16" fillId="0" borderId="6" xfId="4" applyFont="1" applyBorder="1"/>
    <xf numFmtId="0" fontId="16" fillId="0" borderId="8" xfId="4" applyFont="1" applyBorder="1" applyAlignment="1">
      <alignment horizontal="center"/>
    </xf>
    <xf numFmtId="168" fontId="16" fillId="0" borderId="9" xfId="4" applyNumberFormat="1" applyFont="1" applyBorder="1" applyAlignment="1">
      <alignment horizontal="center"/>
    </xf>
    <xf numFmtId="0" fontId="16" fillId="0" borderId="11" xfId="4" applyFont="1" applyBorder="1"/>
    <xf numFmtId="0" fontId="16" fillId="0" borderId="12" xfId="4" applyFont="1" applyBorder="1" applyAlignment="1">
      <alignment horizontal="center"/>
    </xf>
    <xf numFmtId="0" fontId="16" fillId="0" borderId="14" xfId="4" applyFont="1" applyBorder="1" applyAlignment="1">
      <alignment horizontal="center"/>
    </xf>
    <xf numFmtId="0" fontId="17" fillId="0" borderId="6" xfId="4" applyFont="1" applyBorder="1" applyAlignment="1">
      <alignment horizontal="center" vertical="center"/>
    </xf>
    <xf numFmtId="4" fontId="16" fillId="0" borderId="9" xfId="4" applyNumberFormat="1" applyFont="1" applyBorder="1" applyAlignment="1">
      <alignment horizontal="center"/>
    </xf>
    <xf numFmtId="4" fontId="16" fillId="0" borderId="14" xfId="4" applyNumberFormat="1" applyFont="1" applyBorder="1" applyAlignment="1">
      <alignment horizontal="center"/>
    </xf>
    <xf numFmtId="0" fontId="20" fillId="3" borderId="14" xfId="4" applyFont="1" applyFill="1" applyBorder="1" applyAlignment="1">
      <alignment vertical="center"/>
    </xf>
    <xf numFmtId="2" fontId="16" fillId="0" borderId="1" xfId="4" applyNumberFormat="1" applyFont="1" applyBorder="1" applyAlignment="1">
      <alignment horizontal="center"/>
    </xf>
    <xf numFmtId="169" fontId="17" fillId="5" borderId="14" xfId="8" applyNumberFormat="1" applyFont="1" applyFill="1" applyBorder="1" applyAlignment="1">
      <alignment horizontal="center" vertical="center"/>
    </xf>
    <xf numFmtId="2" fontId="11" fillId="0" borderId="0" xfId="4" applyNumberFormat="1" applyFont="1" applyAlignment="1">
      <alignment horizontal="center" vertical="center"/>
    </xf>
    <xf numFmtId="9" fontId="11" fillId="0" borderId="0" xfId="7" applyFont="1" applyFill="1" applyBorder="1" applyAlignment="1">
      <alignment horizontal="center" vertical="center"/>
    </xf>
    <xf numFmtId="0" fontId="16" fillId="0" borderId="0" xfId="4" applyFont="1" applyAlignment="1">
      <alignment horizontal="left"/>
    </xf>
    <xf numFmtId="0" fontId="16" fillId="0" borderId="0" xfId="0" applyFont="1" applyAlignment="1">
      <alignment horizontal="center"/>
    </xf>
    <xf numFmtId="0" fontId="17" fillId="0" borderId="0" xfId="0" applyFont="1" applyAlignment="1">
      <alignment horizontal="right"/>
    </xf>
    <xf numFmtId="0" fontId="17" fillId="0" borderId="45" xfId="0" applyFont="1" applyBorder="1" applyAlignment="1">
      <alignment horizontal="center"/>
    </xf>
    <xf numFmtId="9" fontId="17" fillId="0" borderId="46" xfId="10" applyFont="1" applyBorder="1" applyAlignment="1">
      <alignment horizontal="center"/>
    </xf>
    <xf numFmtId="4" fontId="17" fillId="7" borderId="44" xfId="0" applyNumberFormat="1" applyFont="1" applyFill="1" applyBorder="1"/>
    <xf numFmtId="0" fontId="11" fillId="0" borderId="0" xfId="0" applyFont="1"/>
    <xf numFmtId="0" fontId="11" fillId="0" borderId="0" xfId="0" applyFont="1" applyAlignment="1">
      <alignment horizontal="center"/>
    </xf>
    <xf numFmtId="0" fontId="11" fillId="0" borderId="0" xfId="0" applyFont="1" applyAlignment="1">
      <alignment horizontal="left"/>
    </xf>
    <xf numFmtId="0" fontId="8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2" fontId="8" fillId="0" borderId="0" xfId="0" applyNumberFormat="1" applyFont="1" applyAlignment="1">
      <alignment horizontal="center"/>
    </xf>
    <xf numFmtId="169" fontId="9" fillId="0" borderId="0" xfId="0" applyNumberFormat="1" applyFont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1" fillId="0" borderId="10" xfId="0" applyFont="1" applyBorder="1"/>
    <xf numFmtId="0" fontId="11" fillId="0" borderId="10" xfId="0" applyFont="1" applyBorder="1" applyAlignment="1">
      <alignment horizontal="right"/>
    </xf>
    <xf numFmtId="2" fontId="11" fillId="0" borderId="10" xfId="0" applyNumberFormat="1" applyFont="1" applyBorder="1"/>
    <xf numFmtId="4" fontId="11" fillId="0" borderId="10" xfId="0" applyNumberFormat="1" applyFont="1" applyBorder="1" applyAlignment="1">
      <alignment horizontal="right"/>
    </xf>
    <xf numFmtId="170" fontId="8" fillId="0" borderId="0" xfId="0" applyNumberFormat="1" applyFont="1" applyAlignment="1">
      <alignment horizontal="center"/>
    </xf>
    <xf numFmtId="0" fontId="16" fillId="0" borderId="0" xfId="0" applyFont="1" applyAlignment="1">
      <alignment horizontal="left"/>
    </xf>
    <xf numFmtId="2" fontId="16" fillId="0" borderId="10" xfId="0" applyNumberFormat="1" applyFont="1" applyBorder="1" applyAlignment="1">
      <alignment horizontal="center"/>
    </xf>
    <xf numFmtId="0" fontId="16" fillId="0" borderId="0" xfId="4" applyFont="1" applyAlignment="1">
      <alignment horizontal="center" vertical="center"/>
    </xf>
    <xf numFmtId="0" fontId="17" fillId="0" borderId="0" xfId="0" applyFont="1"/>
    <xf numFmtId="0" fontId="16" fillId="0" borderId="10" xfId="0" applyFont="1" applyBorder="1" applyAlignment="1">
      <alignment horizontal="center"/>
    </xf>
    <xf numFmtId="168" fontId="16" fillId="0" borderId="0" xfId="0" applyNumberFormat="1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0" xfId="0" applyFont="1" applyAlignment="1">
      <alignment horizontal="center"/>
    </xf>
    <xf numFmtId="0" fontId="17" fillId="0" borderId="5" xfId="0" applyFont="1" applyBorder="1" applyAlignment="1">
      <alignment horizontal="center"/>
    </xf>
    <xf numFmtId="0" fontId="16" fillId="0" borderId="10" xfId="0" applyFont="1" applyBorder="1" applyAlignment="1">
      <alignment horizontal="left" vertical="center"/>
    </xf>
    <xf numFmtId="4" fontId="16" fillId="0" borderId="10" xfId="0" applyNumberFormat="1" applyFont="1" applyBorder="1" applyAlignment="1">
      <alignment horizontal="center" vertical="center"/>
    </xf>
    <xf numFmtId="4" fontId="16" fillId="0" borderId="10" xfId="0" applyNumberFormat="1" applyFont="1" applyBorder="1" applyAlignment="1">
      <alignment horizontal="center"/>
    </xf>
    <xf numFmtId="168" fontId="16" fillId="0" borderId="10" xfId="0" applyNumberFormat="1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center"/>
    </xf>
    <xf numFmtId="4" fontId="16" fillId="0" borderId="1" xfId="0" applyNumberFormat="1" applyFont="1" applyBorder="1" applyAlignment="1">
      <alignment horizontal="center"/>
    </xf>
    <xf numFmtId="0" fontId="16" fillId="0" borderId="17" xfId="0" applyFont="1" applyBorder="1" applyAlignment="1">
      <alignment horizontal="left"/>
    </xf>
    <xf numFmtId="0" fontId="16" fillId="0" borderId="65" xfId="0" applyFont="1" applyBorder="1" applyAlignment="1">
      <alignment horizontal="center"/>
    </xf>
    <xf numFmtId="4" fontId="16" fillId="0" borderId="65" xfId="0" applyNumberFormat="1" applyFont="1" applyBorder="1" applyAlignment="1">
      <alignment horizontal="center"/>
    </xf>
    <xf numFmtId="4" fontId="16" fillId="0" borderId="18" xfId="0" applyNumberFormat="1" applyFont="1" applyBorder="1" applyAlignment="1">
      <alignment horizontal="center"/>
    </xf>
    <xf numFmtId="4" fontId="17" fillId="0" borderId="19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left"/>
    </xf>
    <xf numFmtId="4" fontId="16" fillId="0" borderId="23" xfId="0" applyNumberFormat="1" applyFont="1" applyBorder="1" applyAlignment="1">
      <alignment horizontal="center"/>
    </xf>
    <xf numFmtId="4" fontId="17" fillId="0" borderId="24" xfId="0" applyNumberFormat="1" applyFont="1" applyBorder="1" applyAlignment="1">
      <alignment horizontal="center" vertical="center"/>
    </xf>
    <xf numFmtId="0" fontId="16" fillId="0" borderId="25" xfId="0" applyFont="1" applyBorder="1" applyAlignment="1">
      <alignment horizontal="left"/>
    </xf>
    <xf numFmtId="0" fontId="16" fillId="0" borderId="26" xfId="0" applyFont="1" applyBorder="1" applyAlignment="1">
      <alignment horizontal="center"/>
    </xf>
    <xf numFmtId="4" fontId="16" fillId="0" borderId="26" xfId="0" applyNumberFormat="1" applyFont="1" applyBorder="1" applyAlignment="1">
      <alignment horizontal="center"/>
    </xf>
    <xf numFmtId="4" fontId="16" fillId="0" borderId="28" xfId="0" applyNumberFormat="1" applyFont="1" applyBorder="1" applyAlignment="1">
      <alignment horizontal="center"/>
    </xf>
    <xf numFmtId="4" fontId="17" fillId="0" borderId="29" xfId="0" applyNumberFormat="1" applyFont="1" applyBorder="1" applyAlignment="1">
      <alignment horizontal="center" vertical="center"/>
    </xf>
    <xf numFmtId="0" fontId="17" fillId="0" borderId="13" xfId="0" applyFont="1" applyBorder="1" applyAlignment="1">
      <alignment horizontal="center"/>
    </xf>
    <xf numFmtId="0" fontId="16" fillId="0" borderId="9" xfId="0" applyFont="1" applyBorder="1" applyAlignment="1">
      <alignment horizontal="left"/>
    </xf>
    <xf numFmtId="0" fontId="16" fillId="0" borderId="9" xfId="0" applyFont="1" applyBorder="1" applyAlignment="1">
      <alignment horizontal="center"/>
    </xf>
    <xf numFmtId="4" fontId="16" fillId="0" borderId="9" xfId="0" applyNumberFormat="1" applyFont="1" applyBorder="1" applyAlignment="1">
      <alignment horizontal="center"/>
    </xf>
    <xf numFmtId="2" fontId="17" fillId="0" borderId="0" xfId="0" applyNumberFormat="1" applyFont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169" fontId="17" fillId="9" borderId="13" xfId="0" applyNumberFormat="1" applyFont="1" applyFill="1" applyBorder="1" applyAlignment="1">
      <alignment horizontal="center" vertical="center"/>
    </xf>
    <xf numFmtId="2" fontId="16" fillId="0" borderId="10" xfId="0" applyNumberFormat="1" applyFont="1" applyBorder="1" applyAlignment="1">
      <alignment horizontal="center" vertical="center"/>
    </xf>
    <xf numFmtId="9" fontId="16" fillId="0" borderId="10" xfId="7" applyFont="1" applyFill="1" applyBorder="1" applyAlignment="1">
      <alignment horizontal="center" vertical="center"/>
    </xf>
    <xf numFmtId="0" fontId="17" fillId="10" borderId="10" xfId="0" applyFont="1" applyFill="1" applyBorder="1" applyAlignment="1">
      <alignment horizontal="center" wrapText="1"/>
    </xf>
    <xf numFmtId="0" fontId="17" fillId="10" borderId="10" xfId="0" applyFont="1" applyFill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169" fontId="17" fillId="0" borderId="1" xfId="0" applyNumberFormat="1" applyFont="1" applyBorder="1" applyAlignment="1">
      <alignment horizontal="center" vertical="center"/>
    </xf>
    <xf numFmtId="0" fontId="16" fillId="0" borderId="10" xfId="0" applyFont="1" applyBorder="1" applyAlignment="1">
      <alignment horizontal="right"/>
    </xf>
    <xf numFmtId="0" fontId="17" fillId="5" borderId="48" xfId="0" applyFont="1" applyFill="1" applyBorder="1" applyAlignment="1">
      <alignment horizontal="center" vertical="center"/>
    </xf>
    <xf numFmtId="169" fontId="17" fillId="5" borderId="49" xfId="0" applyNumberFormat="1" applyFont="1" applyFill="1" applyBorder="1" applyAlignment="1">
      <alignment horizontal="center" vertical="center"/>
    </xf>
    <xf numFmtId="0" fontId="17" fillId="0" borderId="10" xfId="0" applyFont="1" applyBorder="1"/>
    <xf numFmtId="0" fontId="17" fillId="0" borderId="19" xfId="0" applyFont="1" applyBorder="1" applyAlignment="1">
      <alignment horizontal="center" vertical="center"/>
    </xf>
    <xf numFmtId="169" fontId="17" fillId="6" borderId="19" xfId="0" applyNumberFormat="1" applyFont="1" applyFill="1" applyBorder="1" applyAlignment="1">
      <alignment horizontal="center" vertical="center"/>
    </xf>
    <xf numFmtId="2" fontId="16" fillId="0" borderId="0" xfId="0" applyNumberFormat="1" applyFont="1" applyAlignment="1">
      <alignment horizontal="center"/>
    </xf>
    <xf numFmtId="4" fontId="16" fillId="0" borderId="0" xfId="0" applyNumberFormat="1" applyFont="1" applyAlignment="1">
      <alignment horizontal="center"/>
    </xf>
    <xf numFmtId="0" fontId="16" fillId="0" borderId="44" xfId="11" applyFont="1" applyBorder="1" applyAlignment="1">
      <alignment horizontal="center"/>
    </xf>
    <xf numFmtId="0" fontId="16" fillId="4" borderId="12" xfId="11" applyFont="1" applyFill="1" applyBorder="1"/>
    <xf numFmtId="0" fontId="16" fillId="4" borderId="59" xfId="11" applyFont="1" applyFill="1" applyBorder="1"/>
    <xf numFmtId="0" fontId="16" fillId="0" borderId="29" xfId="11" applyFont="1" applyBorder="1" applyAlignment="1">
      <alignment horizontal="center"/>
    </xf>
    <xf numFmtId="4" fontId="16" fillId="0" borderId="35" xfId="11" applyNumberFormat="1" applyFont="1" applyBorder="1" applyAlignment="1">
      <alignment horizontal="right"/>
    </xf>
    <xf numFmtId="0" fontId="16" fillId="0" borderId="43" xfId="8" applyFont="1" applyBorder="1" applyAlignment="1">
      <alignment horizontal="left"/>
    </xf>
    <xf numFmtId="0" fontId="16" fillId="0" borderId="12" xfId="8" applyFont="1" applyBorder="1" applyAlignment="1">
      <alignment horizontal="center"/>
    </xf>
    <xf numFmtId="4" fontId="16" fillId="0" borderId="44" xfId="8" applyNumberFormat="1" applyFont="1" applyBorder="1" applyAlignment="1">
      <alignment horizontal="center"/>
    </xf>
    <xf numFmtId="0" fontId="16" fillId="0" borderId="34" xfId="8" applyFont="1" applyBorder="1" applyAlignment="1">
      <alignment horizontal="left"/>
    </xf>
    <xf numFmtId="0" fontId="16" fillId="0" borderId="14" xfId="0" applyFont="1" applyBorder="1" applyAlignment="1">
      <alignment horizontal="center"/>
    </xf>
    <xf numFmtId="0" fontId="16" fillId="0" borderId="4" xfId="0" applyFont="1" applyBorder="1" applyAlignment="1">
      <alignment horizontal="left" vertical="center"/>
    </xf>
    <xf numFmtId="0" fontId="11" fillId="0" borderId="5" xfId="0" applyFont="1" applyBorder="1" applyAlignment="1">
      <alignment horizontal="center"/>
    </xf>
    <xf numFmtId="0" fontId="11" fillId="0" borderId="14" xfId="0" applyFont="1" applyBorder="1" applyAlignment="1">
      <alignment horizontal="center"/>
    </xf>
    <xf numFmtId="0" fontId="16" fillId="0" borderId="5" xfId="0" applyFont="1" applyBorder="1" applyAlignment="1">
      <alignment horizontal="center"/>
    </xf>
    <xf numFmtId="0" fontId="17" fillId="0" borderId="12" xfId="0" applyFont="1" applyBorder="1"/>
    <xf numFmtId="2" fontId="16" fillId="0" borderId="1" xfId="0" applyNumberFormat="1" applyFont="1" applyBorder="1" applyAlignment="1">
      <alignment horizontal="center"/>
    </xf>
    <xf numFmtId="0" fontId="17" fillId="0" borderId="5" xfId="0" applyFont="1" applyBorder="1" applyAlignment="1">
      <alignment horizontal="center" vertical="center"/>
    </xf>
    <xf numFmtId="169" fontId="17" fillId="0" borderId="4" xfId="0" applyNumberFormat="1" applyFont="1" applyBorder="1" applyAlignment="1">
      <alignment horizontal="center" vertical="center"/>
    </xf>
    <xf numFmtId="2" fontId="16" fillId="0" borderId="51" xfId="8" applyNumberFormat="1" applyFont="1" applyBorder="1" applyAlignment="1">
      <alignment horizontal="center"/>
    </xf>
    <xf numFmtId="0" fontId="16" fillId="0" borderId="38" xfId="0" applyFont="1" applyBorder="1" applyAlignment="1">
      <alignment horizontal="center"/>
    </xf>
    <xf numFmtId="0" fontId="16" fillId="0" borderId="66" xfId="8" applyFont="1" applyBorder="1" applyAlignment="1">
      <alignment horizontal="left"/>
    </xf>
    <xf numFmtId="0" fontId="16" fillId="0" borderId="55" xfId="8" applyFont="1" applyBorder="1" applyAlignment="1">
      <alignment horizontal="center"/>
    </xf>
    <xf numFmtId="4" fontId="16" fillId="0" borderId="51" xfId="8" applyNumberFormat="1" applyFont="1" applyBorder="1" applyAlignment="1">
      <alignment horizontal="center"/>
    </xf>
    <xf numFmtId="0" fontId="16" fillId="0" borderId="29" xfId="8" applyFont="1" applyBorder="1" applyAlignment="1">
      <alignment horizontal="center"/>
    </xf>
    <xf numFmtId="0" fontId="16" fillId="0" borderId="24" xfId="11" applyFont="1" applyBorder="1" applyAlignment="1">
      <alignment horizontal="center"/>
    </xf>
    <xf numFmtId="0" fontId="16" fillId="0" borderId="66" xfId="4" applyFont="1" applyBorder="1" applyAlignment="1">
      <alignment horizontal="left"/>
    </xf>
    <xf numFmtId="0" fontId="16" fillId="0" borderId="31" xfId="4" applyFont="1" applyBorder="1" applyAlignment="1">
      <alignment horizontal="left"/>
    </xf>
    <xf numFmtId="0" fontId="16" fillId="0" borderId="36" xfId="4" applyFont="1" applyBorder="1" applyAlignment="1">
      <alignment horizontal="left"/>
    </xf>
    <xf numFmtId="0" fontId="16" fillId="0" borderId="43" xfId="4" applyFont="1" applyBorder="1" applyAlignment="1">
      <alignment horizontal="left"/>
    </xf>
    <xf numFmtId="1" fontId="16" fillId="0" borderId="51" xfId="4" applyNumberFormat="1" applyFont="1" applyBorder="1" applyAlignment="1">
      <alignment horizontal="center"/>
    </xf>
    <xf numFmtId="1" fontId="16" fillId="0" borderId="37" xfId="4" applyNumberFormat="1" applyFont="1" applyBorder="1" applyAlignment="1">
      <alignment horizontal="center"/>
    </xf>
    <xf numFmtId="1" fontId="16" fillId="0" borderId="38" xfId="4" applyNumberFormat="1" applyFont="1" applyBorder="1" applyAlignment="1">
      <alignment horizontal="center"/>
    </xf>
    <xf numFmtId="1" fontId="16" fillId="0" borderId="44" xfId="4" applyNumberFormat="1" applyFont="1" applyBorder="1" applyAlignment="1">
      <alignment horizontal="center"/>
    </xf>
    <xf numFmtId="0" fontId="16" fillId="0" borderId="55" xfId="4" applyFont="1" applyBorder="1" applyAlignment="1">
      <alignment horizontal="center"/>
    </xf>
    <xf numFmtId="0" fontId="17" fillId="3" borderId="21" xfId="8" applyFont="1" applyFill="1" applyBorder="1" applyAlignment="1">
      <alignment horizontal="center"/>
    </xf>
    <xf numFmtId="4" fontId="16" fillId="0" borderId="56" xfId="4" applyNumberFormat="1" applyFont="1" applyBorder="1" applyAlignment="1">
      <alignment horizontal="center"/>
    </xf>
    <xf numFmtId="4" fontId="16" fillId="0" borderId="41" xfId="4" applyNumberFormat="1" applyFont="1" applyBorder="1" applyAlignment="1">
      <alignment horizontal="center"/>
    </xf>
    <xf numFmtId="4" fontId="16" fillId="0" borderId="42" xfId="4" applyNumberFormat="1" applyFont="1" applyBorder="1" applyAlignment="1">
      <alignment horizontal="center"/>
    </xf>
    <xf numFmtId="4" fontId="16" fillId="0" borderId="47" xfId="4" applyNumberFormat="1" applyFont="1" applyBorder="1" applyAlignment="1">
      <alignment horizontal="center"/>
    </xf>
    <xf numFmtId="4" fontId="16" fillId="0" borderId="51" xfId="4" applyNumberFormat="1" applyFont="1" applyBorder="1" applyAlignment="1">
      <alignment horizontal="center"/>
    </xf>
    <xf numFmtId="4" fontId="16" fillId="0" borderId="37" xfId="4" applyNumberFormat="1" applyFont="1" applyBorder="1" applyAlignment="1">
      <alignment horizontal="center"/>
    </xf>
    <xf numFmtId="4" fontId="16" fillId="0" borderId="38" xfId="4" applyNumberFormat="1" applyFont="1" applyBorder="1" applyAlignment="1">
      <alignment horizontal="center"/>
    </xf>
    <xf numFmtId="4" fontId="16" fillId="0" borderId="38" xfId="4" applyNumberFormat="1" applyFont="1" applyBorder="1" applyAlignment="1">
      <alignment horizontal="center" vertical="center"/>
    </xf>
    <xf numFmtId="4" fontId="16" fillId="0" borderId="44" xfId="4" applyNumberFormat="1" applyFont="1" applyBorder="1" applyAlignment="1">
      <alignment horizontal="center"/>
    </xf>
    <xf numFmtId="0" fontId="17" fillId="0" borderId="20" xfId="4" applyFont="1" applyBorder="1" applyAlignment="1">
      <alignment horizontal="center"/>
    </xf>
    <xf numFmtId="169" fontId="17" fillId="0" borderId="16" xfId="8" applyNumberFormat="1" applyFont="1" applyBorder="1" applyAlignment="1">
      <alignment horizontal="center" vertical="center"/>
    </xf>
    <xf numFmtId="169" fontId="17" fillId="5" borderId="20" xfId="8" applyNumberFormat="1" applyFont="1" applyFill="1" applyBorder="1" applyAlignment="1">
      <alignment horizontal="center" vertical="center"/>
    </xf>
    <xf numFmtId="169" fontId="17" fillId="5" borderId="16" xfId="4" applyNumberFormat="1" applyFont="1" applyFill="1" applyBorder="1" applyAlignment="1">
      <alignment horizontal="center" vertical="center"/>
    </xf>
    <xf numFmtId="4" fontId="17" fillId="5" borderId="37" xfId="8" applyNumberFormat="1" applyFont="1" applyFill="1" applyBorder="1" applyAlignment="1">
      <alignment horizontal="center"/>
    </xf>
    <xf numFmtId="4" fontId="17" fillId="5" borderId="38" xfId="8" applyNumberFormat="1" applyFont="1" applyFill="1" applyBorder="1" applyAlignment="1">
      <alignment horizontal="center"/>
    </xf>
    <xf numFmtId="4" fontId="17" fillId="5" borderId="39" xfId="8" applyNumberFormat="1" applyFont="1" applyFill="1" applyBorder="1" applyAlignment="1">
      <alignment horizontal="center"/>
    </xf>
    <xf numFmtId="0" fontId="21" fillId="3" borderId="21" xfId="11" applyFont="1" applyFill="1" applyBorder="1" applyAlignment="1">
      <alignment horizontal="center"/>
    </xf>
    <xf numFmtId="0" fontId="21" fillId="3" borderId="30" xfId="11" applyFont="1" applyFill="1" applyBorder="1" applyAlignment="1">
      <alignment horizontal="center"/>
    </xf>
    <xf numFmtId="0" fontId="19" fillId="0" borderId="0" xfId="11" applyFont="1" applyAlignment="1">
      <alignment horizontal="center" vertical="center"/>
    </xf>
    <xf numFmtId="0" fontId="16" fillId="0" borderId="8" xfId="0" applyFont="1" applyBorder="1"/>
    <xf numFmtId="0" fontId="16" fillId="0" borderId="3" xfId="0" applyFont="1" applyBorder="1"/>
    <xf numFmtId="0" fontId="16" fillId="0" borderId="40" xfId="0" applyFont="1" applyBorder="1"/>
    <xf numFmtId="0" fontId="3" fillId="0" borderId="44" xfId="11" applyBorder="1" applyAlignment="1">
      <alignment horizontal="center"/>
    </xf>
    <xf numFmtId="4" fontId="16" fillId="0" borderId="44" xfId="11" applyNumberFormat="1" applyFont="1" applyBorder="1" applyAlignment="1">
      <alignment horizontal="center"/>
    </xf>
    <xf numFmtId="0" fontId="16" fillId="0" borderId="63" xfId="11" applyFont="1" applyBorder="1" applyAlignment="1">
      <alignment horizontal="center"/>
    </xf>
    <xf numFmtId="4" fontId="16" fillId="0" borderId="38" xfId="11" applyNumberFormat="1" applyFont="1" applyBorder="1" applyAlignment="1">
      <alignment horizontal="right"/>
    </xf>
    <xf numFmtId="0" fontId="3" fillId="0" borderId="66" xfId="11" applyBorder="1" applyAlignment="1">
      <alignment horizontal="center"/>
    </xf>
    <xf numFmtId="0" fontId="3" fillId="0" borderId="36" xfId="11" applyBorder="1" applyAlignment="1">
      <alignment horizontal="center"/>
    </xf>
    <xf numFmtId="4" fontId="16" fillId="0" borderId="56" xfId="11" applyNumberFormat="1" applyFont="1" applyBorder="1" applyAlignment="1">
      <alignment horizontal="center"/>
    </xf>
    <xf numFmtId="4" fontId="16" fillId="0" borderId="42" xfId="11" applyNumberFormat="1" applyFont="1" applyBorder="1" applyAlignment="1">
      <alignment horizontal="center"/>
    </xf>
    <xf numFmtId="0" fontId="20" fillId="3" borderId="53" xfId="11" applyFont="1" applyFill="1" applyBorder="1" applyAlignment="1">
      <alignment horizontal="center"/>
    </xf>
    <xf numFmtId="0" fontId="3" fillId="0" borderId="57" xfId="11" applyBorder="1" applyAlignment="1">
      <alignment horizontal="center"/>
    </xf>
    <xf numFmtId="4" fontId="16" fillId="0" borderId="58" xfId="11" applyNumberFormat="1" applyFont="1" applyBorder="1" applyAlignment="1">
      <alignment horizontal="center"/>
    </xf>
    <xf numFmtId="0" fontId="20" fillId="3" borderId="3" xfId="8" applyFont="1" applyFill="1" applyBorder="1" applyAlignment="1">
      <alignment horizontal="left" vertical="center"/>
    </xf>
    <xf numFmtId="0" fontId="17" fillId="5" borderId="48" xfId="0" applyFont="1" applyFill="1" applyBorder="1"/>
    <xf numFmtId="0" fontId="17" fillId="5" borderId="33" xfId="0" applyFont="1" applyFill="1" applyBorder="1"/>
    <xf numFmtId="0" fontId="17" fillId="5" borderId="52" xfId="0" applyFont="1" applyFill="1" applyBorder="1"/>
    <xf numFmtId="0" fontId="3" fillId="0" borderId="29" xfId="11" applyBorder="1" applyAlignment="1">
      <alignment horizontal="center"/>
    </xf>
    <xf numFmtId="0" fontId="16" fillId="0" borderId="29" xfId="11" applyFont="1" applyBorder="1"/>
    <xf numFmtId="4" fontId="16" fillId="0" borderId="29" xfId="11" applyNumberFormat="1" applyFont="1" applyBorder="1" applyAlignment="1">
      <alignment horizontal="right"/>
    </xf>
    <xf numFmtId="4" fontId="16" fillId="0" borderId="51" xfId="11" applyNumberFormat="1" applyFont="1" applyBorder="1" applyAlignment="1">
      <alignment horizontal="right"/>
    </xf>
    <xf numFmtId="0" fontId="16" fillId="0" borderId="11" xfId="8" applyFont="1" applyBorder="1"/>
    <xf numFmtId="4" fontId="17" fillId="5" borderId="44" xfId="8" applyNumberFormat="1" applyFont="1" applyFill="1" applyBorder="1" applyAlignment="1">
      <alignment horizontal="center"/>
    </xf>
    <xf numFmtId="0" fontId="24" fillId="0" borderId="0" xfId="11" applyFont="1" applyAlignment="1">
      <alignment horizontal="center" vertical="center" wrapText="1"/>
    </xf>
    <xf numFmtId="4" fontId="16" fillId="0" borderId="58" xfId="0" applyNumberFormat="1" applyFont="1" applyBorder="1"/>
    <xf numFmtId="0" fontId="29" fillId="0" borderId="0" xfId="0" applyFont="1" applyAlignment="1">
      <alignment horizontal="center" vertical="center"/>
    </xf>
    <xf numFmtId="0" fontId="19" fillId="0" borderId="0" xfId="0" applyFont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/>
    <xf numFmtId="0" fontId="29" fillId="0" borderId="0" xfId="0" applyFont="1" applyAlignment="1">
      <alignment vertical="center"/>
    </xf>
    <xf numFmtId="0" fontId="29" fillId="0" borderId="0" xfId="0" applyFont="1"/>
    <xf numFmtId="0" fontId="29" fillId="0" borderId="0" xfId="0" applyFont="1" applyAlignment="1">
      <alignment horizontal="right"/>
    </xf>
    <xf numFmtId="0" fontId="31" fillId="0" borderId="0" xfId="0" applyFont="1"/>
    <xf numFmtId="0" fontId="32" fillId="0" borderId="0" xfId="5" applyFont="1" applyAlignment="1">
      <alignment horizontal="right"/>
    </xf>
    <xf numFmtId="166" fontId="29" fillId="0" borderId="0" xfId="0" applyNumberFormat="1" applyFont="1" applyAlignment="1">
      <alignment vertical="center"/>
    </xf>
    <xf numFmtId="166" fontId="29" fillId="0" borderId="0" xfId="0" applyNumberFormat="1" applyFont="1" applyAlignment="1">
      <alignment horizontal="right" vertical="center"/>
    </xf>
    <xf numFmtId="166" fontId="29" fillId="0" borderId="0" xfId="0" applyNumberFormat="1" applyFont="1" applyAlignment="1">
      <alignment horizontal="right"/>
    </xf>
    <xf numFmtId="0" fontId="29" fillId="0" borderId="0" xfId="0" applyFont="1" applyAlignment="1">
      <alignment horizontal="left" vertical="center"/>
    </xf>
    <xf numFmtId="0" fontId="34" fillId="0" borderId="0" xfId="0" applyFont="1"/>
    <xf numFmtId="4" fontId="29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center" vertical="center"/>
    </xf>
    <xf numFmtId="0" fontId="29" fillId="0" borderId="10" xfId="0" applyFont="1" applyBorder="1" applyAlignment="1">
      <alignment horizontal="center" vertical="center"/>
    </xf>
    <xf numFmtId="1" fontId="29" fillId="0" borderId="10" xfId="2" applyNumberFormat="1" applyFont="1" applyBorder="1" applyAlignment="1">
      <alignment horizontal="center" vertical="center"/>
    </xf>
    <xf numFmtId="39" fontId="29" fillId="0" borderId="10" xfId="2" applyNumberFormat="1" applyFont="1" applyFill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9" fillId="0" borderId="13" xfId="0" applyFont="1" applyBorder="1" applyAlignment="1">
      <alignment horizontal="left" vertical="center"/>
    </xf>
    <xf numFmtId="0" fontId="29" fillId="0" borderId="13" xfId="0" applyFont="1" applyBorder="1" applyAlignment="1">
      <alignment horizontal="left" vertical="center"/>
    </xf>
    <xf numFmtId="164" fontId="19" fillId="0" borderId="0" xfId="2" applyFont="1" applyFill="1" applyBorder="1" applyAlignment="1">
      <alignment horizontal="right" vertical="center"/>
    </xf>
    <xf numFmtId="0" fontId="29" fillId="0" borderId="0" xfId="0" applyFont="1" applyAlignment="1">
      <alignment horizontal="left" vertical="center" wrapText="1"/>
    </xf>
    <xf numFmtId="164" fontId="29" fillId="0" borderId="0" xfId="2" applyFont="1" applyFill="1" applyBorder="1" applyAlignment="1">
      <alignment horizontal="right" vertical="center"/>
    </xf>
    <xf numFmtId="0" fontId="29" fillId="0" borderId="0" xfId="0" applyFont="1" applyAlignment="1">
      <alignment horizontal="left"/>
    </xf>
    <xf numFmtId="4" fontId="29" fillId="0" borderId="0" xfId="0" applyNumberFormat="1" applyFont="1" applyAlignment="1">
      <alignment vertical="top"/>
    </xf>
    <xf numFmtId="0" fontId="29" fillId="0" borderId="4" xfId="0" applyFont="1" applyBorder="1" applyAlignment="1">
      <alignment horizontal="center"/>
    </xf>
    <xf numFmtId="164" fontId="19" fillId="0" borderId="0" xfId="2" applyFont="1" applyFill="1" applyBorder="1" applyAlignment="1">
      <alignment horizontal="center" vertical="center"/>
    </xf>
    <xf numFmtId="164" fontId="19" fillId="0" borderId="5" xfId="2" applyFont="1" applyFill="1" applyBorder="1" applyAlignment="1">
      <alignment horizontal="center" vertical="center"/>
    </xf>
    <xf numFmtId="0" fontId="19" fillId="0" borderId="4" xfId="0" applyFont="1" applyBorder="1"/>
    <xf numFmtId="0" fontId="31" fillId="0" borderId="0" xfId="0" applyFont="1" applyAlignment="1">
      <alignment vertical="center"/>
    </xf>
    <xf numFmtId="0" fontId="29" fillId="0" borderId="5" xfId="0" applyFont="1" applyBorder="1"/>
    <xf numFmtId="0" fontId="35" fillId="0" borderId="0" xfId="0" applyFont="1" applyAlignment="1">
      <alignment vertical="center"/>
    </xf>
    <xf numFmtId="0" fontId="21" fillId="0" borderId="5" xfId="0" applyFont="1" applyBorder="1"/>
    <xf numFmtId="0" fontId="36" fillId="0" borderId="5" xfId="0" applyFont="1" applyBorder="1"/>
    <xf numFmtId="4" fontId="31" fillId="0" borderId="0" xfId="0" applyNumberFormat="1" applyFont="1" applyAlignment="1">
      <alignment vertical="top"/>
    </xf>
    <xf numFmtId="4" fontId="31" fillId="0" borderId="0" xfId="0" applyNumberFormat="1" applyFont="1" applyAlignment="1">
      <alignment vertical="center"/>
    </xf>
    <xf numFmtId="0" fontId="29" fillId="0" borderId="0" xfId="0" applyFont="1" applyAlignment="1">
      <alignment horizontal="center"/>
    </xf>
    <xf numFmtId="0" fontId="20" fillId="11" borderId="51" xfId="0" applyFont="1" applyFill="1" applyBorder="1" applyAlignment="1">
      <alignment horizontal="center" vertical="center"/>
    </xf>
    <xf numFmtId="0" fontId="20" fillId="11" borderId="20" xfId="0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/>
    </xf>
    <xf numFmtId="0" fontId="20" fillId="11" borderId="30" xfId="0" applyFont="1" applyFill="1" applyBorder="1" applyAlignment="1">
      <alignment horizontal="center" vertical="center"/>
    </xf>
    <xf numFmtId="0" fontId="20" fillId="11" borderId="16" xfId="0" applyFont="1" applyFill="1" applyBorder="1" applyAlignment="1">
      <alignment horizontal="center" vertical="center" wrapText="1"/>
    </xf>
    <xf numFmtId="0" fontId="20" fillId="11" borderId="21" xfId="0" applyFont="1" applyFill="1" applyBorder="1" applyAlignment="1">
      <alignment horizontal="center" vertical="center" wrapText="1"/>
    </xf>
    <xf numFmtId="4" fontId="17" fillId="11" borderId="21" xfId="0" applyNumberFormat="1" applyFont="1" applyFill="1" applyBorder="1"/>
    <xf numFmtId="0" fontId="20" fillId="0" borderId="38" xfId="0" applyFont="1" applyBorder="1" applyAlignment="1">
      <alignment horizontal="left" vertical="center" indent="1"/>
    </xf>
    <xf numFmtId="2" fontId="16" fillId="0" borderId="23" xfId="11" applyNumberFormat="1" applyFont="1" applyBorder="1"/>
    <xf numFmtId="4" fontId="17" fillId="11" borderId="51" xfId="0" applyNumberFormat="1" applyFont="1" applyFill="1" applyBorder="1"/>
    <xf numFmtId="4" fontId="17" fillId="11" borderId="16" xfId="0" applyNumberFormat="1" applyFont="1" applyFill="1" applyBorder="1"/>
    <xf numFmtId="0" fontId="20" fillId="11" borderId="30" xfId="0" applyFont="1" applyFill="1" applyBorder="1" applyAlignment="1">
      <alignment horizontal="center" vertical="center" wrapText="1"/>
    </xf>
    <xf numFmtId="0" fontId="19" fillId="11" borderId="13" xfId="0" applyFont="1" applyFill="1" applyBorder="1" applyAlignment="1">
      <alignment horizontal="center"/>
    </xf>
    <xf numFmtId="0" fontId="19" fillId="11" borderId="1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/>
    </xf>
    <xf numFmtId="4" fontId="19" fillId="11" borderId="2" xfId="0" applyNumberFormat="1" applyFont="1" applyFill="1" applyBorder="1" applyAlignment="1">
      <alignment horizontal="center"/>
    </xf>
    <xf numFmtId="4" fontId="19" fillId="11" borderId="1" xfId="0" applyNumberFormat="1" applyFont="1" applyFill="1" applyBorder="1" applyAlignment="1">
      <alignment horizontal="center"/>
    </xf>
    <xf numFmtId="0" fontId="19" fillId="11" borderId="7" xfId="0" applyFont="1" applyFill="1" applyBorder="1" applyAlignment="1">
      <alignment horizontal="center"/>
    </xf>
    <xf numFmtId="0" fontId="19" fillId="11" borderId="9" xfId="0" applyFont="1" applyFill="1" applyBorder="1" applyAlignment="1">
      <alignment horizontal="center"/>
    </xf>
    <xf numFmtId="0" fontId="19" fillId="0" borderId="6" xfId="0" applyFont="1" applyBorder="1"/>
    <xf numFmtId="0" fontId="29" fillId="0" borderId="8" xfId="0" applyFont="1" applyBorder="1" applyAlignment="1">
      <alignment vertical="center"/>
    </xf>
    <xf numFmtId="0" fontId="29" fillId="0" borderId="8" xfId="0" applyFont="1" applyBorder="1"/>
    <xf numFmtId="0" fontId="29" fillId="0" borderId="7" xfId="0" applyFont="1" applyBorder="1"/>
    <xf numFmtId="0" fontId="19" fillId="11" borderId="14" xfId="0" applyFont="1" applyFill="1" applyBorder="1" applyAlignment="1">
      <alignment horizontal="center" vertical="center"/>
    </xf>
    <xf numFmtId="0" fontId="29" fillId="0" borderId="15" xfId="0" applyFont="1" applyBorder="1" applyAlignment="1">
      <alignment horizontal="center" vertical="center"/>
    </xf>
    <xf numFmtId="0" fontId="29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6" fillId="0" borderId="0" xfId="0" applyFont="1" applyAlignment="1">
      <alignment horizontal="center" vertical="center"/>
    </xf>
    <xf numFmtId="44" fontId="16" fillId="0" borderId="10" xfId="13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0" fontId="33" fillId="0" borderId="10" xfId="0" applyFont="1" applyBorder="1" applyAlignment="1">
      <alignment horizontal="left" vertical="center" wrapText="1"/>
    </xf>
    <xf numFmtId="0" fontId="29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29" fillId="0" borderId="5" xfId="0" applyFont="1" applyBorder="1" applyAlignment="1">
      <alignment vertical="center"/>
    </xf>
    <xf numFmtId="4" fontId="29" fillId="0" borderId="0" xfId="0" applyNumberFormat="1" applyFont="1" applyAlignment="1">
      <alignment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21" fillId="0" borderId="20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29" fillId="0" borderId="60" xfId="0" applyFont="1" applyBorder="1" applyAlignment="1">
      <alignment vertical="center"/>
    </xf>
    <xf numFmtId="4" fontId="31" fillId="0" borderId="24" xfId="0" applyNumberFormat="1" applyFont="1" applyBorder="1" applyAlignment="1">
      <alignment vertical="center"/>
    </xf>
    <xf numFmtId="0" fontId="19" fillId="0" borderId="20" xfId="0" applyFont="1" applyBorder="1" applyAlignment="1">
      <alignment horizontal="right" vertical="center"/>
    </xf>
    <xf numFmtId="2" fontId="29" fillId="0" borderId="10" xfId="0" applyNumberFormat="1" applyFont="1" applyBorder="1" applyAlignment="1">
      <alignment vertical="center"/>
    </xf>
    <xf numFmtId="0" fontId="19" fillId="0" borderId="6" xfId="0" applyFont="1" applyBorder="1" applyAlignment="1">
      <alignment vertical="center"/>
    </xf>
    <xf numFmtId="0" fontId="29" fillId="0" borderId="7" xfId="0" applyFont="1" applyBorder="1" applyAlignment="1">
      <alignment vertical="center"/>
    </xf>
    <xf numFmtId="0" fontId="21" fillId="0" borderId="0" xfId="0" applyFont="1" applyAlignment="1">
      <alignment vertical="center"/>
    </xf>
    <xf numFmtId="4" fontId="19" fillId="0" borderId="11" xfId="0" applyNumberFormat="1" applyFont="1" applyBorder="1" applyAlignment="1">
      <alignment horizontal="center" vertical="center"/>
    </xf>
    <xf numFmtId="4" fontId="19" fillId="0" borderId="1" xfId="0" applyNumberFormat="1" applyFont="1" applyBorder="1" applyAlignment="1">
      <alignment horizontal="center" vertical="center"/>
    </xf>
    <xf numFmtId="4" fontId="19" fillId="0" borderId="10" xfId="0" applyNumberFormat="1" applyFont="1" applyBorder="1" applyAlignment="1">
      <alignment horizontal="center" vertical="center"/>
    </xf>
    <xf numFmtId="4" fontId="19" fillId="0" borderId="9" xfId="0" applyNumberFormat="1" applyFont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/>
    </xf>
    <xf numFmtId="4" fontId="19" fillId="11" borderId="1" xfId="0" applyNumberFormat="1" applyFont="1" applyFill="1" applyBorder="1" applyAlignment="1">
      <alignment horizontal="center" vertical="center"/>
    </xf>
    <xf numFmtId="4" fontId="31" fillId="4" borderId="0" xfId="0" applyNumberFormat="1" applyFont="1" applyFill="1" applyAlignment="1">
      <alignment vertical="center"/>
    </xf>
    <xf numFmtId="0" fontId="0" fillId="0" borderId="0" xfId="0" applyAlignment="1">
      <alignment horizontal="center"/>
    </xf>
    <xf numFmtId="4" fontId="30" fillId="0" borderId="16" xfId="0" applyNumberFormat="1" applyFont="1" applyBorder="1" applyAlignment="1">
      <alignment vertical="center"/>
    </xf>
    <xf numFmtId="4" fontId="29" fillId="0" borderId="10" xfId="0" applyNumberFormat="1" applyFont="1" applyBorder="1" applyAlignment="1">
      <alignment horizontal="center" vertical="center"/>
    </xf>
    <xf numFmtId="0" fontId="29" fillId="0" borderId="6" xfId="0" applyFont="1" applyBorder="1"/>
    <xf numFmtId="164" fontId="29" fillId="0" borderId="10" xfId="2" applyFont="1" applyBorder="1" applyAlignment="1">
      <alignment horizontal="center" vertical="center"/>
    </xf>
    <xf numFmtId="0" fontId="33" fillId="0" borderId="10" xfId="0" applyFont="1" applyBorder="1" applyAlignment="1">
      <alignment horizontal="center" vertical="center"/>
    </xf>
    <xf numFmtId="0" fontId="16" fillId="0" borderId="39" xfId="0" applyFont="1" applyBorder="1" applyAlignment="1">
      <alignment horizontal="center"/>
    </xf>
    <xf numFmtId="4" fontId="29" fillId="0" borderId="14" xfId="0" applyNumberFormat="1" applyFont="1" applyBorder="1" applyAlignment="1">
      <alignment vertical="center"/>
    </xf>
    <xf numFmtId="4" fontId="29" fillId="0" borderId="14" xfId="0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16" fillId="0" borderId="37" xfId="0" applyFont="1" applyBorder="1" applyAlignment="1">
      <alignment horizontal="center"/>
    </xf>
    <xf numFmtId="0" fontId="16" fillId="0" borderId="29" xfId="0" applyFont="1" applyBorder="1" applyAlignment="1">
      <alignment horizontal="center"/>
    </xf>
    <xf numFmtId="0" fontId="19" fillId="11" borderId="8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0" fontId="29" fillId="0" borderId="8" xfId="0" applyFont="1" applyBorder="1" applyAlignment="1">
      <alignment horizontal="center" vertical="center"/>
    </xf>
    <xf numFmtId="39" fontId="29" fillId="0" borderId="9" xfId="2" applyNumberFormat="1" applyFont="1" applyFill="1" applyBorder="1" applyAlignment="1">
      <alignment horizontal="center" vertical="center"/>
    </xf>
    <xf numFmtId="0" fontId="19" fillId="0" borderId="10" xfId="0" applyFont="1" applyBorder="1" applyAlignment="1">
      <alignment horizontal="center" vertical="center"/>
    </xf>
    <xf numFmtId="2" fontId="29" fillId="0" borderId="10" xfId="0" applyNumberFormat="1" applyFont="1" applyBorder="1" applyAlignment="1">
      <alignment horizontal="center" vertical="center"/>
    </xf>
    <xf numFmtId="4" fontId="29" fillId="0" borderId="10" xfId="0" applyNumberFormat="1" applyFont="1" applyBorder="1" applyAlignment="1">
      <alignment horizontal="left" vertical="center" wrapText="1" indent="2"/>
    </xf>
    <xf numFmtId="0" fontId="33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72" fontId="29" fillId="0" borderId="0" xfId="0" applyNumberFormat="1" applyFont="1" applyAlignment="1">
      <alignment horizontal="left"/>
    </xf>
    <xf numFmtId="1" fontId="16" fillId="0" borderId="3" xfId="0" applyNumberFormat="1" applyFont="1" applyBorder="1" applyAlignment="1">
      <alignment horizontal="center"/>
    </xf>
    <xf numFmtId="1" fontId="16" fillId="0" borderId="40" xfId="0" applyNumberFormat="1" applyFont="1" applyBorder="1" applyAlignment="1">
      <alignment horizontal="center"/>
    </xf>
    <xf numFmtId="0" fontId="20" fillId="0" borderId="37" xfId="0" applyFont="1" applyBorder="1" applyAlignment="1">
      <alignment horizontal="left" vertical="center" indent="1"/>
    </xf>
    <xf numFmtId="164" fontId="31" fillId="0" borderId="0" xfId="2" applyFont="1"/>
    <xf numFmtId="164" fontId="31" fillId="0" borderId="0" xfId="2" applyFont="1" applyAlignment="1">
      <alignment horizontal="center" vertical="center"/>
    </xf>
    <xf numFmtId="4" fontId="19" fillId="0" borderId="0" xfId="0" applyNumberFormat="1" applyFont="1" applyAlignment="1">
      <alignment horizontal="left" vertical="center"/>
    </xf>
    <xf numFmtId="0" fontId="16" fillId="0" borderId="15" xfId="0" applyFont="1" applyBorder="1" applyAlignment="1">
      <alignment horizontal="center"/>
    </xf>
    <xf numFmtId="0" fontId="16" fillId="0" borderId="0" xfId="11" applyFont="1" applyAlignment="1">
      <alignment horizontal="left"/>
    </xf>
    <xf numFmtId="0" fontId="39" fillId="0" borderId="0" xfId="11" applyFont="1"/>
    <xf numFmtId="0" fontId="39" fillId="0" borderId="5" xfId="11" applyFont="1" applyBorder="1"/>
    <xf numFmtId="0" fontId="23" fillId="0" borderId="0" xfId="11" applyFont="1" applyAlignment="1">
      <alignment horizontal="left"/>
    </xf>
    <xf numFmtId="0" fontId="19" fillId="0" borderId="0" xfId="0" applyFont="1" applyAlignment="1">
      <alignment horizontal="right" vertical="center"/>
    </xf>
    <xf numFmtId="4" fontId="30" fillId="0" borderId="0" xfId="0" applyNumberFormat="1" applyFont="1" applyAlignment="1">
      <alignment vertical="center"/>
    </xf>
    <xf numFmtId="0" fontId="23" fillId="0" borderId="0" xfId="11" applyFont="1" applyAlignment="1">
      <alignment horizontal="right"/>
    </xf>
    <xf numFmtId="0" fontId="29" fillId="0" borderId="4" xfId="0" applyFont="1" applyBorder="1"/>
    <xf numFmtId="0" fontId="19" fillId="11" borderId="14" xfId="0" applyFont="1" applyFill="1" applyBorder="1" applyAlignment="1">
      <alignment horizontal="center"/>
    </xf>
    <xf numFmtId="0" fontId="19" fillId="11" borderId="15" xfId="0" applyFont="1" applyFill="1" applyBorder="1" applyAlignment="1">
      <alignment horizontal="center"/>
    </xf>
    <xf numFmtId="0" fontId="29" fillId="4" borderId="11" xfId="0" applyFont="1" applyFill="1" applyBorder="1" applyAlignment="1">
      <alignment horizontal="center"/>
    </xf>
    <xf numFmtId="0" fontId="29" fillId="0" borderId="12" xfId="0" applyFont="1" applyBorder="1" applyAlignment="1">
      <alignment horizontal="center" vertical="center"/>
    </xf>
    <xf numFmtId="164" fontId="19" fillId="0" borderId="12" xfId="2" applyFont="1" applyFill="1" applyBorder="1" applyAlignment="1">
      <alignment horizontal="center" vertical="center"/>
    </xf>
    <xf numFmtId="164" fontId="19" fillId="0" borderId="2" xfId="2" applyFont="1" applyFill="1" applyBorder="1" applyAlignment="1">
      <alignment horizontal="center" vertical="center"/>
    </xf>
    <xf numFmtId="0" fontId="29" fillId="0" borderId="1" xfId="0" applyFont="1" applyBorder="1" applyAlignment="1">
      <alignment horizontal="center" vertical="center"/>
    </xf>
    <xf numFmtId="0" fontId="31" fillId="0" borderId="8" xfId="0" applyFont="1" applyBorder="1" applyAlignment="1">
      <alignment vertical="center"/>
    </xf>
    <xf numFmtId="0" fontId="19" fillId="0" borderId="11" xfId="0" applyFont="1" applyBorder="1"/>
    <xf numFmtId="0" fontId="19" fillId="11" borderId="3" xfId="0" applyFont="1" applyFill="1" applyBorder="1" applyAlignment="1">
      <alignment horizontal="center" vertical="center"/>
    </xf>
    <xf numFmtId="2" fontId="29" fillId="13" borderId="60" xfId="7" applyNumberFormat="1" applyFont="1" applyFill="1" applyBorder="1" applyAlignment="1">
      <alignment horizontal="left" vertical="center" wrapText="1"/>
    </xf>
    <xf numFmtId="0" fontId="21" fillId="0" borderId="20" xfId="0" applyFont="1" applyBorder="1" applyAlignment="1">
      <alignment horizontal="center"/>
    </xf>
    <xf numFmtId="2" fontId="19" fillId="13" borderId="20" xfId="7" applyNumberFormat="1" applyFont="1" applyFill="1" applyBorder="1" applyAlignment="1">
      <alignment horizontal="center" vertical="center" wrapText="1"/>
    </xf>
    <xf numFmtId="0" fontId="21" fillId="0" borderId="16" xfId="0" applyFont="1" applyBorder="1" applyAlignment="1">
      <alignment horizontal="center"/>
    </xf>
    <xf numFmtId="173" fontId="29" fillId="0" borderId="24" xfId="7" applyNumberFormat="1" applyFont="1" applyBorder="1" applyAlignment="1">
      <alignment horizontal="right" vertical="center"/>
    </xf>
    <xf numFmtId="173" fontId="29" fillId="0" borderId="29" xfId="7" applyNumberFormat="1" applyFont="1" applyFill="1" applyBorder="1" applyAlignment="1">
      <alignment horizontal="right" vertical="center"/>
    </xf>
    <xf numFmtId="173" fontId="19" fillId="0" borderId="16" xfId="0" applyNumberFormat="1" applyFont="1" applyBorder="1" applyAlignment="1">
      <alignment horizontal="right"/>
    </xf>
    <xf numFmtId="0" fontId="19" fillId="11" borderId="7" xfId="0" applyFont="1" applyFill="1" applyBorder="1" applyAlignment="1">
      <alignment horizontal="center" vertical="top"/>
    </xf>
    <xf numFmtId="0" fontId="19" fillId="11" borderId="9" xfId="0" applyFont="1" applyFill="1" applyBorder="1" applyAlignment="1">
      <alignment horizontal="center" vertical="top"/>
    </xf>
    <xf numFmtId="0" fontId="5" fillId="0" borderId="0" xfId="0" applyFont="1" applyAlignment="1">
      <alignment horizontal="center"/>
    </xf>
    <xf numFmtId="0" fontId="5" fillId="0" borderId="0" xfId="0" applyFont="1"/>
    <xf numFmtId="4" fontId="19" fillId="0" borderId="14" xfId="0" applyNumberFormat="1" applyFont="1" applyBorder="1" applyAlignment="1">
      <alignment horizontal="center" vertical="center"/>
    </xf>
    <xf numFmtId="0" fontId="29" fillId="4" borderId="4" xfId="0" applyFont="1" applyFill="1" applyBorder="1" applyAlignment="1">
      <alignment horizontal="center"/>
    </xf>
    <xf numFmtId="0" fontId="41" fillId="0" borderId="0" xfId="0" applyFont="1" applyAlignment="1">
      <alignment vertical="center"/>
    </xf>
    <xf numFmtId="0" fontId="21" fillId="0" borderId="7" xfId="0" applyFont="1" applyBorder="1"/>
    <xf numFmtId="0" fontId="20" fillId="0" borderId="37" xfId="0" applyFont="1" applyBorder="1" applyAlignment="1">
      <alignment horizontal="center" vertical="center"/>
    </xf>
    <xf numFmtId="0" fontId="43" fillId="0" borderId="38" xfId="0" applyFont="1" applyBorder="1" applyAlignment="1">
      <alignment horizontal="left" vertical="center" indent="1"/>
    </xf>
    <xf numFmtId="0" fontId="20" fillId="0" borderId="37" xfId="0" applyFont="1" applyBorder="1" applyAlignment="1">
      <alignment horizontal="center" vertical="center" wrapText="1"/>
    </xf>
    <xf numFmtId="0" fontId="20" fillId="0" borderId="41" xfId="0" applyFont="1" applyBorder="1" applyAlignment="1">
      <alignment horizontal="center" vertical="center" wrapText="1"/>
    </xf>
    <xf numFmtId="0" fontId="23" fillId="0" borderId="38" xfId="0" applyFont="1" applyBorder="1" applyAlignment="1">
      <alignment horizontal="left" indent="2"/>
    </xf>
    <xf numFmtId="0" fontId="20" fillId="0" borderId="38" xfId="0" applyFont="1" applyBorder="1" applyAlignment="1">
      <alignment horizontal="center" vertical="center"/>
    </xf>
    <xf numFmtId="0" fontId="23" fillId="0" borderId="39" xfId="0" applyFont="1" applyBorder="1" applyAlignment="1">
      <alignment horizontal="left" indent="2"/>
    </xf>
    <xf numFmtId="0" fontId="44" fillId="0" borderId="38" xfId="0" applyFont="1" applyBorder="1" applyAlignment="1">
      <alignment horizontal="left" vertical="center" indent="1"/>
    </xf>
    <xf numFmtId="0" fontId="20" fillId="0" borderId="51" xfId="0" applyFont="1" applyBorder="1" applyAlignment="1">
      <alignment horizontal="center" vertical="center"/>
    </xf>
    <xf numFmtId="175" fontId="16" fillId="0" borderId="38" xfId="0" applyNumberFormat="1" applyFont="1" applyBorder="1" applyAlignment="1">
      <alignment horizontal="justify"/>
    </xf>
    <xf numFmtId="175" fontId="16" fillId="0" borderId="42" xfId="0" applyNumberFormat="1" applyFont="1" applyBorder="1" applyAlignment="1">
      <alignment horizontal="justify"/>
    </xf>
    <xf numFmtId="175" fontId="20" fillId="0" borderId="38" xfId="0" applyNumberFormat="1" applyFont="1" applyBorder="1" applyAlignment="1">
      <alignment horizontal="justify" vertical="center" wrapText="1"/>
    </xf>
    <xf numFmtId="175" fontId="20" fillId="0" borderId="42" xfId="0" applyNumberFormat="1" applyFont="1" applyBorder="1" applyAlignment="1">
      <alignment horizontal="justify" vertical="center" wrapText="1"/>
    </xf>
    <xf numFmtId="175" fontId="45" fillId="0" borderId="38" xfId="0" applyNumberFormat="1" applyFont="1" applyBorder="1" applyAlignment="1">
      <alignment horizontal="justify" vertical="center" wrapText="1"/>
    </xf>
    <xf numFmtId="175" fontId="16" fillId="0" borderId="39" xfId="0" applyNumberFormat="1" applyFont="1" applyBorder="1" applyAlignment="1">
      <alignment horizontal="justify"/>
    </xf>
    <xf numFmtId="175" fontId="16" fillId="0" borderId="58" xfId="0" applyNumberFormat="1" applyFont="1" applyBorder="1" applyAlignment="1">
      <alignment horizontal="justify"/>
    </xf>
    <xf numFmtId="44" fontId="16" fillId="0" borderId="38" xfId="13" applyFont="1" applyBorder="1" applyAlignment="1">
      <alignment horizontal="justify"/>
    </xf>
    <xf numFmtId="44" fontId="16" fillId="0" borderId="42" xfId="13" applyFont="1" applyBorder="1" applyAlignment="1">
      <alignment horizontal="justify"/>
    </xf>
    <xf numFmtId="44" fontId="16" fillId="0" borderId="23" xfId="13" applyFont="1" applyBorder="1" applyAlignment="1">
      <alignment horizontal="justify"/>
    </xf>
    <xf numFmtId="44" fontId="17" fillId="11" borderId="28" xfId="13" applyFont="1" applyFill="1" applyBorder="1" applyAlignment="1">
      <alignment horizontal="justify"/>
    </xf>
    <xf numFmtId="44" fontId="16" fillId="0" borderId="32" xfId="13" applyFont="1" applyBorder="1" applyAlignment="1">
      <alignment horizontal="justify"/>
    </xf>
    <xf numFmtId="0" fontId="20" fillId="11" borderId="55" xfId="0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 vertical="center" indent="1"/>
    </xf>
    <xf numFmtId="0" fontId="23" fillId="0" borderId="3" xfId="0" applyFont="1" applyBorder="1" applyAlignment="1">
      <alignment horizontal="left" indent="2"/>
    </xf>
    <xf numFmtId="2" fontId="23" fillId="0" borderId="3" xfId="0" applyNumberFormat="1" applyFont="1" applyBorder="1" applyAlignment="1">
      <alignment horizontal="left" indent="2"/>
    </xf>
    <xf numFmtId="0" fontId="23" fillId="0" borderId="40" xfId="0" applyFont="1" applyBorder="1" applyAlignment="1">
      <alignment horizontal="left" indent="2"/>
    </xf>
    <xf numFmtId="0" fontId="19" fillId="0" borderId="16" xfId="0" applyFont="1" applyBorder="1" applyAlignment="1">
      <alignment horizontal="center" vertical="center"/>
    </xf>
    <xf numFmtId="0" fontId="31" fillId="0" borderId="21" xfId="0" applyFont="1" applyBorder="1" applyAlignment="1">
      <alignment horizontal="center"/>
    </xf>
    <xf numFmtId="9" fontId="30" fillId="0" borderId="41" xfId="10" applyFont="1" applyBorder="1" applyAlignment="1">
      <alignment horizontal="center"/>
    </xf>
    <xf numFmtId="9" fontId="30" fillId="0" borderId="42" xfId="10" applyFont="1" applyBorder="1" applyAlignment="1">
      <alignment horizontal="center"/>
    </xf>
    <xf numFmtId="9" fontId="30" fillId="0" borderId="58" xfId="0" applyNumberFormat="1" applyFont="1" applyBorder="1" applyAlignment="1">
      <alignment horizontal="center"/>
    </xf>
    <xf numFmtId="0" fontId="19" fillId="0" borderId="37" xfId="0" applyFont="1" applyBorder="1"/>
    <xf numFmtId="0" fontId="19" fillId="0" borderId="38" xfId="0" applyFont="1" applyBorder="1"/>
    <xf numFmtId="0" fontId="19" fillId="0" borderId="39" xfId="0" applyFont="1" applyBorder="1"/>
    <xf numFmtId="4" fontId="29" fillId="0" borderId="13" xfId="0" applyNumberFormat="1" applyFont="1" applyBorder="1" applyAlignment="1">
      <alignment horizontal="left" vertical="center" wrapText="1" indent="2"/>
    </xf>
    <xf numFmtId="0" fontId="33" fillId="0" borderId="0" xfId="0" applyFont="1" applyAlignment="1">
      <alignment horizontal="center" vertical="center"/>
    </xf>
    <xf numFmtId="0" fontId="33" fillId="4" borderId="0" xfId="0" applyFont="1" applyFill="1" applyAlignment="1">
      <alignment horizontal="center" vertical="center"/>
    </xf>
    <xf numFmtId="4" fontId="29" fillId="0" borderId="6" xfId="0" applyNumberFormat="1" applyFont="1" applyBorder="1" applyAlignment="1">
      <alignment horizontal="left" vertical="center" wrapText="1" indent="2"/>
    </xf>
    <xf numFmtId="4" fontId="29" fillId="0" borderId="9" xfId="0" applyNumberFormat="1" applyFont="1" applyBorder="1" applyAlignment="1">
      <alignment horizontal="center" vertical="center"/>
    </xf>
    <xf numFmtId="4" fontId="29" fillId="0" borderId="6" xfId="0" applyNumberFormat="1" applyFont="1" applyBorder="1" applyAlignment="1">
      <alignment horizontal="center" vertical="center"/>
    </xf>
    <xf numFmtId="44" fontId="31" fillId="0" borderId="10" xfId="14" applyFont="1" applyBorder="1" applyAlignment="1">
      <alignment vertical="center"/>
    </xf>
    <xf numFmtId="176" fontId="29" fillId="0" borderId="10" xfId="11" applyNumberFormat="1" applyFont="1" applyBorder="1" applyAlignment="1">
      <alignment vertical="center"/>
    </xf>
    <xf numFmtId="177" fontId="29" fillId="0" borderId="10" xfId="11" applyNumberFormat="1" applyFont="1" applyBorder="1" applyAlignment="1">
      <alignment vertical="center"/>
    </xf>
    <xf numFmtId="178" fontId="29" fillId="0" borderId="10" xfId="11" applyNumberFormat="1" applyFont="1" applyBorder="1" applyAlignment="1">
      <alignment vertical="center"/>
    </xf>
    <xf numFmtId="0" fontId="29" fillId="0" borderId="0" xfId="11" applyFont="1" applyAlignment="1">
      <alignment vertical="center"/>
    </xf>
    <xf numFmtId="44" fontId="29" fillId="0" borderId="9" xfId="14" applyFont="1" applyBorder="1" applyAlignment="1">
      <alignment vertical="center"/>
    </xf>
    <xf numFmtId="4" fontId="29" fillId="0" borderId="0" xfId="0" applyNumberFormat="1" applyFont="1"/>
    <xf numFmtId="44" fontId="29" fillId="0" borderId="0" xfId="14" applyFont="1" applyBorder="1" applyAlignment="1">
      <alignment vertical="center"/>
    </xf>
    <xf numFmtId="0" fontId="29" fillId="0" borderId="0" xfId="11" applyFont="1" applyAlignment="1">
      <alignment horizontal="center" vertical="center"/>
    </xf>
    <xf numFmtId="0" fontId="31" fillId="0" borderId="0" xfId="11" applyFont="1" applyAlignment="1">
      <alignment vertical="center"/>
    </xf>
    <xf numFmtId="164" fontId="29" fillId="0" borderId="0" xfId="3" applyFont="1" applyAlignment="1">
      <alignment vertical="center"/>
    </xf>
    <xf numFmtId="0" fontId="19" fillId="3" borderId="0" xfId="0" applyFont="1" applyFill="1"/>
    <xf numFmtId="0" fontId="29" fillId="0" borderId="15" xfId="0" applyFont="1" applyBorder="1" applyAlignment="1">
      <alignment horizontal="center"/>
    </xf>
    <xf numFmtId="2" fontId="19" fillId="0" borderId="0" xfId="0" applyNumberFormat="1" applyFont="1" applyAlignment="1">
      <alignment horizontal="center" vertical="center"/>
    </xf>
    <xf numFmtId="2" fontId="19" fillId="0" borderId="5" xfId="0" applyNumberFormat="1" applyFont="1" applyBorder="1" applyAlignment="1">
      <alignment horizontal="center" vertical="center"/>
    </xf>
    <xf numFmtId="1" fontId="29" fillId="0" borderId="15" xfId="0" applyNumberFormat="1" applyFont="1" applyBorder="1" applyAlignment="1">
      <alignment horizontal="center"/>
    </xf>
    <xf numFmtId="0" fontId="32" fillId="0" borderId="5" xfId="5" applyFont="1" applyBorder="1" applyAlignment="1">
      <alignment horizontal="right"/>
    </xf>
    <xf numFmtId="2" fontId="29" fillId="0" borderId="10" xfId="0" applyNumberFormat="1" applyFont="1" applyBorder="1"/>
    <xf numFmtId="49" fontId="29" fillId="0" borderId="15" xfId="0" applyNumberFormat="1" applyFont="1" applyBorder="1" applyAlignment="1">
      <alignment horizontal="center"/>
    </xf>
    <xf numFmtId="0" fontId="29" fillId="0" borderId="5" xfId="0" applyFont="1" applyBorder="1" applyAlignment="1">
      <alignment horizontal="right"/>
    </xf>
    <xf numFmtId="2" fontId="29" fillId="0" borderId="0" xfId="0" applyNumberFormat="1" applyFont="1"/>
    <xf numFmtId="0" fontId="31" fillId="0" borderId="0" xfId="11" applyFont="1" applyAlignment="1">
      <alignment horizontal="left"/>
    </xf>
    <xf numFmtId="0" fontId="31" fillId="0" borderId="0" xfId="11" applyFont="1" applyAlignment="1">
      <alignment horizontal="right"/>
    </xf>
    <xf numFmtId="0" fontId="31" fillId="0" borderId="5" xfId="11" applyFont="1" applyBorder="1" applyAlignment="1">
      <alignment horizontal="right"/>
    </xf>
    <xf numFmtId="0" fontId="29" fillId="0" borderId="15" xfId="11" applyFont="1" applyBorder="1" applyAlignment="1">
      <alignment horizontal="center"/>
    </xf>
    <xf numFmtId="0" fontId="31" fillId="0" borderId="15" xfId="11" applyFont="1" applyBorder="1" applyAlignment="1">
      <alignment horizontal="center"/>
    </xf>
    <xf numFmtId="0" fontId="31" fillId="0" borderId="4" xfId="11" applyFont="1" applyBorder="1" applyAlignment="1">
      <alignment horizontal="left"/>
    </xf>
    <xf numFmtId="0" fontId="29" fillId="0" borderId="0" xfId="11" applyFont="1" applyAlignment="1">
      <alignment horizontal="left"/>
    </xf>
    <xf numFmtId="0" fontId="29" fillId="0" borderId="0" xfId="11" applyFont="1" applyAlignment="1">
      <alignment horizontal="right"/>
    </xf>
    <xf numFmtId="174" fontId="29" fillId="0" borderId="14" xfId="3" applyNumberFormat="1" applyFont="1" applyBorder="1" applyAlignment="1"/>
    <xf numFmtId="2" fontId="29" fillId="0" borderId="14" xfId="0" applyNumberFormat="1" applyFont="1" applyBorder="1"/>
    <xf numFmtId="0" fontId="29" fillId="0" borderId="9" xfId="0" applyFont="1" applyBorder="1" applyAlignment="1">
      <alignment horizontal="center"/>
    </xf>
    <xf numFmtId="0" fontId="29" fillId="0" borderId="8" xfId="0" applyFont="1" applyBorder="1" applyAlignment="1">
      <alignment horizontal="right"/>
    </xf>
    <xf numFmtId="0" fontId="29" fillId="0" borderId="7" xfId="0" applyFont="1" applyBorder="1" applyAlignment="1">
      <alignment horizontal="right"/>
    </xf>
    <xf numFmtId="174" fontId="29" fillId="0" borderId="0" xfId="3" applyNumberFormat="1" applyFont="1" applyBorder="1" applyAlignment="1"/>
    <xf numFmtId="0" fontId="29" fillId="0" borderId="5" xfId="11" applyFont="1" applyBorder="1" applyAlignment="1">
      <alignment horizontal="right"/>
    </xf>
    <xf numFmtId="164" fontId="19" fillId="0" borderId="0" xfId="3" applyFont="1" applyBorder="1" applyAlignment="1">
      <alignment horizontal="center" vertical="center"/>
    </xf>
    <xf numFmtId="164" fontId="29" fillId="0" borderId="0" xfId="3" applyFont="1" applyAlignment="1"/>
    <xf numFmtId="0" fontId="29" fillId="0" borderId="4" xfId="11" applyFont="1" applyBorder="1" applyAlignment="1">
      <alignment horizontal="center" vertical="center"/>
    </xf>
    <xf numFmtId="4" fontId="31" fillId="0" borderId="0" xfId="0" applyNumberFormat="1" applyFont="1"/>
    <xf numFmtId="0" fontId="29" fillId="0" borderId="6" xfId="11" applyFont="1" applyBorder="1" applyAlignment="1">
      <alignment horizontal="center" vertical="center"/>
    </xf>
    <xf numFmtId="0" fontId="29" fillId="4" borderId="0" xfId="0" applyFont="1" applyFill="1" applyAlignment="1">
      <alignment horizontal="left"/>
    </xf>
    <xf numFmtId="0" fontId="19" fillId="0" borderId="9" xfId="0" applyFont="1" applyBorder="1" applyAlignment="1">
      <alignment horizontal="center" vertical="center"/>
    </xf>
    <xf numFmtId="0" fontId="29" fillId="0" borderId="1" xfId="0" applyFont="1" applyBorder="1" applyAlignment="1">
      <alignment horizontal="center"/>
    </xf>
    <xf numFmtId="2" fontId="29" fillId="0" borderId="0" xfId="0" applyNumberFormat="1" applyFont="1" applyAlignment="1">
      <alignment vertical="center"/>
    </xf>
    <xf numFmtId="0" fontId="16" fillId="5" borderId="25" xfId="8" applyFont="1" applyFill="1" applyBorder="1"/>
    <xf numFmtId="0" fontId="16" fillId="5" borderId="22" xfId="8" applyFont="1" applyFill="1" applyBorder="1"/>
    <xf numFmtId="15" fontId="41" fillId="0" borderId="0" xfId="0" applyNumberFormat="1" applyFont="1" applyAlignment="1">
      <alignment vertical="center"/>
    </xf>
    <xf numFmtId="164" fontId="19" fillId="11" borderId="5" xfId="3" applyFont="1" applyFill="1" applyBorder="1" applyAlignment="1">
      <alignment horizontal="center" vertical="center"/>
    </xf>
    <xf numFmtId="2" fontId="19" fillId="11" borderId="7" xfId="0" applyNumberFormat="1" applyFont="1" applyFill="1" applyBorder="1" applyAlignment="1">
      <alignment horizontal="center" vertical="center"/>
    </xf>
    <xf numFmtId="164" fontId="19" fillId="11" borderId="15" xfId="3" applyFont="1" applyFill="1" applyBorder="1" applyAlignment="1">
      <alignment horizontal="center" vertical="center"/>
    </xf>
    <xf numFmtId="2" fontId="19" fillId="11" borderId="9" xfId="0" applyNumberFormat="1" applyFont="1" applyFill="1" applyBorder="1" applyAlignment="1">
      <alignment horizontal="center" vertical="center"/>
    </xf>
    <xf numFmtId="0" fontId="46" fillId="0" borderId="4" xfId="0" applyFont="1" applyBorder="1"/>
    <xf numFmtId="0" fontId="41" fillId="0" borderId="4" xfId="11" applyFont="1" applyBorder="1" applyAlignment="1">
      <alignment horizontal="left"/>
    </xf>
    <xf numFmtId="4" fontId="29" fillId="0" borderId="0" xfId="11" applyNumberFormat="1" applyFont="1" applyAlignment="1">
      <alignment vertical="center"/>
    </xf>
    <xf numFmtId="39" fontId="31" fillId="0" borderId="0" xfId="11" applyNumberFormat="1" applyFont="1" applyAlignment="1">
      <alignment vertical="center"/>
    </xf>
    <xf numFmtId="0" fontId="46" fillId="0" borderId="0" xfId="0" applyFont="1"/>
    <xf numFmtId="0" fontId="41" fillId="0" borderId="0" xfId="11" applyFont="1" applyAlignment="1">
      <alignment horizontal="left"/>
    </xf>
    <xf numFmtId="0" fontId="43" fillId="0" borderId="0" xfId="11" applyFont="1" applyAlignment="1">
      <alignment horizontal="left"/>
    </xf>
    <xf numFmtId="0" fontId="19" fillId="11" borderId="5" xfId="0" applyFont="1" applyFill="1" applyBorder="1" applyAlignment="1">
      <alignment horizontal="center"/>
    </xf>
    <xf numFmtId="0" fontId="47" fillId="0" borderId="5" xfId="5" applyFont="1" applyBorder="1" applyAlignment="1">
      <alignment horizontal="right"/>
    </xf>
    <xf numFmtId="0" fontId="31" fillId="0" borderId="10" xfId="0" applyFont="1" applyBorder="1" applyAlignment="1">
      <alignment horizontal="center" vertical="center"/>
    </xf>
    <xf numFmtId="4" fontId="29" fillId="0" borderId="12" xfId="0" applyNumberFormat="1" applyFont="1" applyBorder="1" applyAlignment="1">
      <alignment horizontal="center" vertical="center"/>
    </xf>
    <xf numFmtId="4" fontId="19" fillId="0" borderId="13" xfId="0" applyNumberFormat="1" applyFont="1" applyBorder="1" applyAlignment="1">
      <alignment horizontal="center" vertical="center"/>
    </xf>
    <xf numFmtId="4" fontId="29" fillId="0" borderId="13" xfId="0" applyNumberFormat="1" applyFont="1" applyBorder="1" applyAlignment="1">
      <alignment horizontal="center" vertical="center"/>
    </xf>
    <xf numFmtId="4" fontId="19" fillId="0" borderId="0" xfId="0" applyNumberFormat="1" applyFont="1" applyAlignment="1">
      <alignment horizontal="center" vertical="center"/>
    </xf>
    <xf numFmtId="4" fontId="29" fillId="0" borderId="2" xfId="0" applyNumberFormat="1" applyFont="1" applyBorder="1" applyAlignment="1">
      <alignment horizontal="center" vertical="center"/>
    </xf>
    <xf numFmtId="0" fontId="29" fillId="0" borderId="14" xfId="0" applyFont="1" applyBorder="1" applyAlignment="1">
      <alignment horizontal="center" vertical="center"/>
    </xf>
    <xf numFmtId="0" fontId="19" fillId="3" borderId="10" xfId="0" applyFont="1" applyFill="1" applyBorder="1" applyAlignment="1">
      <alignment horizontal="center" vertical="center"/>
    </xf>
    <xf numFmtId="174" fontId="29" fillId="0" borderId="10" xfId="3" applyNumberFormat="1" applyFont="1" applyBorder="1" applyAlignment="1">
      <alignment horizontal="center" vertical="center"/>
    </xf>
    <xf numFmtId="2" fontId="29" fillId="0" borderId="0" xfId="0" applyNumberFormat="1" applyFont="1" applyAlignment="1">
      <alignment horizontal="center" vertical="center"/>
    </xf>
    <xf numFmtId="164" fontId="29" fillId="0" borderId="0" xfId="3" applyFont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4" fontId="29" fillId="0" borderId="22" xfId="11" applyNumberFormat="1" applyFont="1" applyBorder="1" applyAlignment="1">
      <alignment vertical="center"/>
    </xf>
    <xf numFmtId="44" fontId="29" fillId="0" borderId="23" xfId="14" applyFont="1" applyBorder="1" applyAlignment="1">
      <alignment vertical="center"/>
    </xf>
    <xf numFmtId="0" fontId="29" fillId="0" borderId="22" xfId="11" applyFont="1" applyBorder="1" applyAlignment="1">
      <alignment vertical="center"/>
    </xf>
    <xf numFmtId="0" fontId="29" fillId="0" borderId="25" xfId="11" applyFont="1" applyBorder="1" applyAlignment="1">
      <alignment vertical="center"/>
    </xf>
    <xf numFmtId="44" fontId="31" fillId="0" borderId="26" xfId="14" applyFont="1" applyBorder="1" applyAlignment="1">
      <alignment vertical="center"/>
    </xf>
    <xf numFmtId="178" fontId="29" fillId="0" borderId="26" xfId="11" applyNumberFormat="1" applyFont="1" applyBorder="1" applyAlignment="1">
      <alignment vertical="center"/>
    </xf>
    <xf numFmtId="44" fontId="29" fillId="0" borderId="28" xfId="14" applyFont="1" applyBorder="1" applyAlignment="1">
      <alignment vertical="center"/>
    </xf>
    <xf numFmtId="4" fontId="29" fillId="0" borderId="50" xfId="11" applyNumberFormat="1" applyFont="1" applyBorder="1" applyAlignment="1">
      <alignment vertical="center"/>
    </xf>
    <xf numFmtId="44" fontId="31" fillId="0" borderId="9" xfId="14" applyFont="1" applyBorder="1" applyAlignment="1">
      <alignment vertical="center"/>
    </xf>
    <xf numFmtId="176" fontId="29" fillId="0" borderId="9" xfId="11" applyNumberFormat="1" applyFont="1" applyBorder="1" applyAlignment="1">
      <alignment vertical="center"/>
    </xf>
    <xf numFmtId="44" fontId="29" fillId="0" borderId="32" xfId="14" applyFont="1" applyBorder="1" applyAlignment="1">
      <alignment vertical="center"/>
    </xf>
    <xf numFmtId="0" fontId="21" fillId="0" borderId="48" xfId="11" applyFont="1" applyBorder="1" applyAlignment="1">
      <alignment horizontal="center" vertical="center"/>
    </xf>
    <xf numFmtId="0" fontId="35" fillId="0" borderId="33" xfId="11" applyFont="1" applyBorder="1" applyAlignment="1">
      <alignment horizontal="center" vertical="center"/>
    </xf>
    <xf numFmtId="0" fontId="35" fillId="0" borderId="49" xfId="11" applyFont="1" applyBorder="1" applyAlignment="1">
      <alignment horizontal="center" vertical="center"/>
    </xf>
    <xf numFmtId="44" fontId="29" fillId="0" borderId="16" xfId="14" applyFont="1" applyBorder="1" applyAlignment="1">
      <alignment vertical="center"/>
    </xf>
    <xf numFmtId="1" fontId="29" fillId="0" borderId="10" xfId="3" applyNumberFormat="1" applyFont="1" applyFill="1" applyBorder="1" applyAlignment="1">
      <alignment horizontal="center" vertical="center"/>
    </xf>
    <xf numFmtId="39" fontId="29" fillId="0" borderId="10" xfId="3" applyNumberFormat="1" applyFont="1" applyFill="1" applyBorder="1" applyAlignment="1">
      <alignment horizontal="center" vertical="center"/>
    </xf>
    <xf numFmtId="1" fontId="29" fillId="0" borderId="10" xfId="3" applyNumberFormat="1" applyFont="1" applyBorder="1" applyAlignment="1">
      <alignment horizontal="center" vertical="center"/>
    </xf>
    <xf numFmtId="39" fontId="29" fillId="0" borderId="9" xfId="3" applyNumberFormat="1" applyFont="1" applyFill="1" applyBorder="1" applyAlignment="1">
      <alignment horizontal="center" vertical="center"/>
    </xf>
    <xf numFmtId="179" fontId="19" fillId="0" borderId="0" xfId="3" applyNumberFormat="1" applyFont="1" applyAlignment="1">
      <alignment horizontal="center" vertical="center"/>
    </xf>
    <xf numFmtId="164" fontId="19" fillId="0" borderId="0" xfId="3" applyFont="1" applyFill="1" applyBorder="1" applyAlignment="1">
      <alignment horizontal="center" vertical="center"/>
    </xf>
    <xf numFmtId="164" fontId="19" fillId="0" borderId="5" xfId="3" applyFont="1" applyFill="1" applyBorder="1" applyAlignment="1">
      <alignment horizontal="center" vertical="center"/>
    </xf>
    <xf numFmtId="0" fontId="42" fillId="0" borderId="0" xfId="11" applyFont="1" applyAlignment="1">
      <alignment horizontal="left"/>
    </xf>
    <xf numFmtId="4" fontId="17" fillId="0" borderId="38" xfId="0" applyNumberFormat="1" applyFont="1" applyBorder="1"/>
    <xf numFmtId="0" fontId="42" fillId="0" borderId="38" xfId="0" applyFont="1" applyBorder="1" applyAlignment="1">
      <alignment horizontal="left" indent="2"/>
    </xf>
    <xf numFmtId="4" fontId="16" fillId="0" borderId="10" xfId="0" applyNumberFormat="1" applyFont="1" applyBorder="1"/>
    <xf numFmtId="0" fontId="16" fillId="5" borderId="38" xfId="0" applyFont="1" applyFill="1" applyBorder="1"/>
    <xf numFmtId="0" fontId="48" fillId="14" borderId="20" xfId="11" applyFont="1" applyFill="1" applyBorder="1"/>
    <xf numFmtId="0" fontId="48" fillId="14" borderId="30" xfId="11" applyFont="1" applyFill="1" applyBorder="1"/>
    <xf numFmtId="0" fontId="49" fillId="14" borderId="30" xfId="11" applyFont="1" applyFill="1" applyBorder="1"/>
    <xf numFmtId="0" fontId="49" fillId="14" borderId="21" xfId="11" applyFont="1" applyFill="1" applyBorder="1"/>
    <xf numFmtId="0" fontId="16" fillId="0" borderId="17" xfId="11" applyFont="1" applyBorder="1" applyAlignment="1">
      <alignment wrapText="1"/>
    </xf>
    <xf numFmtId="0" fontId="16" fillId="0" borderId="18" xfId="11" applyFont="1" applyBorder="1" applyAlignment="1">
      <alignment horizontal="center" vertical="center"/>
    </xf>
    <xf numFmtId="0" fontId="16" fillId="0" borderId="25" xfId="11" applyFont="1" applyBorder="1" applyAlignment="1">
      <alignment wrapText="1"/>
    </xf>
    <xf numFmtId="0" fontId="16" fillId="0" borderId="28" xfId="11" applyFont="1" applyBorder="1" applyAlignment="1">
      <alignment horizontal="center" vertical="center"/>
    </xf>
    <xf numFmtId="0" fontId="16" fillId="0" borderId="0" xfId="11" applyFont="1" applyAlignment="1">
      <alignment wrapText="1"/>
    </xf>
    <xf numFmtId="0" fontId="16" fillId="0" borderId="0" xfId="11" applyFont="1" applyAlignment="1">
      <alignment horizontal="center" vertical="center"/>
    </xf>
    <xf numFmtId="0" fontId="50" fillId="0" borderId="16" xfId="11" applyFont="1" applyBorder="1" applyAlignment="1">
      <alignment horizontal="center" vertical="center" wrapText="1"/>
    </xf>
    <xf numFmtId="0" fontId="50" fillId="4" borderId="0" xfId="11" applyFont="1" applyFill="1" applyAlignment="1">
      <alignment horizontal="center" vertical="center"/>
    </xf>
    <xf numFmtId="0" fontId="50" fillId="15" borderId="0" xfId="11" applyFont="1" applyFill="1" applyAlignment="1">
      <alignment horizontal="center" vertical="center"/>
    </xf>
    <xf numFmtId="0" fontId="50" fillId="0" borderId="54" xfId="11" applyFont="1" applyBorder="1" applyAlignment="1">
      <alignment horizontal="center" vertical="center" wrapText="1"/>
    </xf>
    <xf numFmtId="0" fontId="50" fillId="0" borderId="16" xfId="11" applyFont="1" applyBorder="1" applyAlignment="1">
      <alignment horizontal="center" vertical="center"/>
    </xf>
    <xf numFmtId="0" fontId="50" fillId="5" borderId="67" xfId="11" applyFont="1" applyFill="1" applyBorder="1" applyAlignment="1">
      <alignment horizontal="center" vertical="center" wrapText="1"/>
    </xf>
    <xf numFmtId="0" fontId="50" fillId="5" borderId="68" xfId="11" applyFont="1" applyFill="1" applyBorder="1" applyAlignment="1">
      <alignment horizontal="center" wrapText="1"/>
    </xf>
    <xf numFmtId="0" fontId="39" fillId="0" borderId="48" xfId="11" applyFont="1" applyBorder="1" applyAlignment="1">
      <alignment horizontal="center" wrapText="1"/>
    </xf>
    <xf numFmtId="0" fontId="39" fillId="0" borderId="5" xfId="11" applyFont="1" applyBorder="1" applyAlignment="1">
      <alignment horizontal="center" vertical="center" wrapText="1"/>
    </xf>
    <xf numFmtId="0" fontId="39" fillId="0" borderId="69" xfId="11" applyFont="1" applyBorder="1" applyAlignment="1">
      <alignment horizontal="center" vertical="center" wrapText="1"/>
    </xf>
    <xf numFmtId="0" fontId="39" fillId="0" borderId="0" xfId="11" applyFont="1" applyAlignment="1">
      <alignment horizontal="center" vertical="center" wrapText="1"/>
    </xf>
    <xf numFmtId="0" fontId="39" fillId="0" borderId="15" xfId="11" applyFont="1" applyBorder="1" applyAlignment="1">
      <alignment horizontal="center" wrapText="1"/>
    </xf>
    <xf numFmtId="0" fontId="39" fillId="0" borderId="70" xfId="11" applyFont="1" applyBorder="1" applyAlignment="1">
      <alignment horizontal="center" vertical="center" wrapText="1"/>
    </xf>
    <xf numFmtId="0" fontId="39" fillId="0" borderId="60" xfId="11" applyFont="1" applyBorder="1" applyAlignment="1">
      <alignment horizontal="center" vertical="center" wrapText="1"/>
    </xf>
    <xf numFmtId="0" fontId="3" fillId="0" borderId="60" xfId="11" applyBorder="1" applyAlignment="1">
      <alignment horizontal="center" vertical="center" wrapText="1"/>
    </xf>
    <xf numFmtId="0" fontId="3" fillId="0" borderId="71" xfId="11" applyBorder="1" applyAlignment="1">
      <alignment horizontal="center" wrapText="1"/>
    </xf>
    <xf numFmtId="0" fontId="3" fillId="0" borderId="69" xfId="11" applyBorder="1" applyAlignment="1">
      <alignment horizontal="center" vertical="center" wrapText="1"/>
    </xf>
    <xf numFmtId="0" fontId="39" fillId="0" borderId="19" xfId="11" applyFont="1" applyBorder="1"/>
    <xf numFmtId="4" fontId="16" fillId="0" borderId="67" xfId="11" applyNumberFormat="1" applyFont="1" applyBorder="1"/>
    <xf numFmtId="4" fontId="16" fillId="0" borderId="68" xfId="11" applyNumberFormat="1" applyFont="1" applyBorder="1"/>
    <xf numFmtId="4" fontId="16" fillId="0" borderId="18" xfId="11" applyNumberFormat="1" applyFont="1" applyBorder="1"/>
    <xf numFmtId="0" fontId="16" fillId="0" borderId="67" xfId="11" applyFont="1" applyBorder="1" applyAlignment="1">
      <alignment horizontal="center"/>
    </xf>
    <xf numFmtId="0" fontId="16" fillId="0" borderId="71" xfId="11" applyFont="1" applyBorder="1" applyAlignment="1">
      <alignment horizontal="center"/>
    </xf>
    <xf numFmtId="4" fontId="16" fillId="0" borderId="69" xfId="11" applyNumberFormat="1" applyFont="1" applyBorder="1"/>
    <xf numFmtId="3" fontId="16" fillId="0" borderId="54" xfId="11" applyNumberFormat="1" applyFont="1" applyBorder="1" applyAlignment="1">
      <alignment horizontal="center"/>
    </xf>
    <xf numFmtId="180" fontId="16" fillId="0" borderId="53" xfId="11" applyNumberFormat="1" applyFont="1" applyBorder="1" applyAlignment="1">
      <alignment horizontal="center"/>
    </xf>
    <xf numFmtId="0" fontId="4" fillId="0" borderId="53" xfId="11" applyFont="1" applyBorder="1" applyAlignment="1">
      <alignment horizontal="center"/>
    </xf>
    <xf numFmtId="0" fontId="4" fillId="0" borderId="71" xfId="11" applyFont="1" applyBorder="1" applyAlignment="1">
      <alignment horizontal="center"/>
    </xf>
    <xf numFmtId="4" fontId="4" fillId="0" borderId="69" xfId="11" applyNumberFormat="1" applyFont="1" applyBorder="1"/>
    <xf numFmtId="0" fontId="39" fillId="0" borderId="29" xfId="11" applyFont="1" applyBorder="1"/>
    <xf numFmtId="4" fontId="16" fillId="0" borderId="61" xfId="11" applyNumberFormat="1" applyFont="1" applyBorder="1"/>
    <xf numFmtId="4" fontId="16" fillId="0" borderId="62" xfId="11" applyNumberFormat="1" applyFont="1" applyBorder="1"/>
    <xf numFmtId="4" fontId="16" fillId="0" borderId="25" xfId="11" applyNumberFormat="1" applyFont="1" applyBorder="1"/>
    <xf numFmtId="4" fontId="16" fillId="0" borderId="28" xfId="11" applyNumberFormat="1" applyFont="1" applyBorder="1"/>
    <xf numFmtId="0" fontId="16" fillId="0" borderId="61" xfId="11" applyFont="1" applyBorder="1" applyAlignment="1">
      <alignment horizontal="center"/>
    </xf>
    <xf numFmtId="4" fontId="16" fillId="0" borderId="35" xfId="11" applyNumberFormat="1" applyFont="1" applyBorder="1"/>
    <xf numFmtId="3" fontId="16" fillId="0" borderId="59" xfId="11" applyNumberFormat="1" applyFont="1" applyBorder="1" applyAlignment="1">
      <alignment horizontal="center"/>
    </xf>
    <xf numFmtId="180" fontId="16" fillId="0" borderId="34" xfId="11" applyNumberFormat="1" applyFont="1" applyBorder="1" applyAlignment="1">
      <alignment horizontal="center"/>
    </xf>
    <xf numFmtId="0" fontId="4" fillId="0" borderId="34" xfId="11" applyFont="1" applyBorder="1" applyAlignment="1">
      <alignment horizontal="center"/>
    </xf>
    <xf numFmtId="0" fontId="4" fillId="0" borderId="27" xfId="11" applyFont="1" applyBorder="1" applyAlignment="1">
      <alignment horizontal="center"/>
    </xf>
    <xf numFmtId="4" fontId="4" fillId="0" borderId="35" xfId="11" applyNumberFormat="1" applyFont="1" applyBorder="1"/>
    <xf numFmtId="0" fontId="39" fillId="0" borderId="24" xfId="11" applyFont="1" applyBorder="1"/>
    <xf numFmtId="4" fontId="16" fillId="0" borderId="72" xfId="11" applyNumberFormat="1" applyFont="1" applyBorder="1"/>
    <xf numFmtId="4" fontId="16" fillId="0" borderId="63" xfId="11" applyNumberFormat="1" applyFont="1" applyBorder="1"/>
    <xf numFmtId="0" fontId="16" fillId="0" borderId="72" xfId="11" applyFont="1" applyBorder="1" applyAlignment="1">
      <alignment horizontal="center"/>
    </xf>
    <xf numFmtId="4" fontId="16" fillId="0" borderId="70" xfId="11" applyNumberFormat="1" applyFont="1" applyBorder="1"/>
    <xf numFmtId="3" fontId="16" fillId="0" borderId="0" xfId="11" applyNumberFormat="1" applyFont="1" applyAlignment="1">
      <alignment horizontal="center"/>
    </xf>
    <xf numFmtId="3" fontId="16" fillId="0" borderId="60" xfId="11" applyNumberFormat="1" applyFont="1" applyBorder="1" applyAlignment="1">
      <alignment horizontal="center"/>
    </xf>
    <xf numFmtId="0" fontId="4" fillId="0" borderId="60" xfId="11" applyFont="1" applyBorder="1" applyAlignment="1">
      <alignment horizontal="center"/>
    </xf>
    <xf numFmtId="0" fontId="4" fillId="0" borderId="15" xfId="11" applyFont="1" applyBorder="1" applyAlignment="1">
      <alignment horizontal="center"/>
    </xf>
    <xf numFmtId="4" fontId="4" fillId="0" borderId="70" xfId="11" applyNumberFormat="1" applyFont="1" applyBorder="1"/>
    <xf numFmtId="4" fontId="16" fillId="0" borderId="45" xfId="11" applyNumberFormat="1" applyFont="1" applyBorder="1"/>
    <xf numFmtId="4" fontId="16" fillId="0" borderId="46" xfId="11" applyNumberFormat="1" applyFont="1" applyBorder="1"/>
    <xf numFmtId="180" fontId="16" fillId="0" borderId="54" xfId="11" applyNumberFormat="1" applyFont="1" applyBorder="1" applyAlignment="1">
      <alignment horizontal="center"/>
    </xf>
    <xf numFmtId="180" fontId="16" fillId="0" borderId="59" xfId="11" applyNumberFormat="1" applyFont="1" applyBorder="1" applyAlignment="1">
      <alignment horizontal="center"/>
    </xf>
    <xf numFmtId="0" fontId="16" fillId="0" borderId="53" xfId="11" applyFont="1" applyBorder="1" applyAlignment="1">
      <alignment horizontal="center"/>
    </xf>
    <xf numFmtId="0" fontId="16" fillId="0" borderId="34" xfId="11" applyFont="1" applyBorder="1" applyAlignment="1">
      <alignment horizontal="center"/>
    </xf>
    <xf numFmtId="0" fontId="16" fillId="0" borderId="60" xfId="11" applyFont="1" applyBorder="1" applyAlignment="1">
      <alignment horizontal="center"/>
    </xf>
    <xf numFmtId="4" fontId="17" fillId="15" borderId="34" xfId="11" applyNumberFormat="1" applyFont="1" applyFill="1" applyBorder="1"/>
    <xf numFmtId="0" fontId="4" fillId="0" borderId="0" xfId="11" applyFont="1" applyAlignment="1">
      <alignment horizontal="center"/>
    </xf>
    <xf numFmtId="4" fontId="4" fillId="0" borderId="0" xfId="11" applyNumberFormat="1" applyFont="1"/>
    <xf numFmtId="0" fontId="50" fillId="0" borderId="54" xfId="11" applyFont="1" applyBorder="1" applyAlignment="1">
      <alignment horizontal="center" vertical="center"/>
    </xf>
    <xf numFmtId="0" fontId="39" fillId="4" borderId="0" xfId="11" applyFont="1" applyFill="1" applyAlignment="1">
      <alignment horizontal="center" vertical="center" wrapText="1"/>
    </xf>
    <xf numFmtId="0" fontId="16" fillId="0" borderId="54" xfId="11" applyFont="1" applyBorder="1" applyAlignment="1">
      <alignment horizontal="center"/>
    </xf>
    <xf numFmtId="4" fontId="16" fillId="4" borderId="0" xfId="11" applyNumberFormat="1" applyFont="1" applyFill="1"/>
    <xf numFmtId="0" fontId="16" fillId="0" borderId="59" xfId="11" applyFont="1" applyBorder="1" applyAlignment="1">
      <alignment horizontal="center"/>
    </xf>
    <xf numFmtId="0" fontId="39" fillId="0" borderId="4" xfId="11" applyFont="1" applyBorder="1"/>
    <xf numFmtId="4" fontId="17" fillId="4" borderId="0" xfId="11" applyNumberFormat="1" applyFont="1" applyFill="1"/>
    <xf numFmtId="4" fontId="17" fillId="15" borderId="0" xfId="11" applyNumberFormat="1" applyFont="1" applyFill="1"/>
    <xf numFmtId="0" fontId="50" fillId="0" borderId="0" xfId="11" applyFont="1" applyAlignment="1">
      <alignment horizontal="center"/>
    </xf>
    <xf numFmtId="4" fontId="50" fillId="0" borderId="0" xfId="11" applyNumberFormat="1" applyFont="1"/>
    <xf numFmtId="0" fontId="50" fillId="0" borderId="48" xfId="11" applyFont="1" applyBorder="1" applyAlignment="1">
      <alignment vertical="center"/>
    </xf>
    <xf numFmtId="0" fontId="50" fillId="0" borderId="33" xfId="11" applyFont="1" applyBorder="1" applyAlignment="1">
      <alignment horizontal="center" vertical="center" wrapText="1"/>
    </xf>
    <xf numFmtId="0" fontId="50" fillId="0" borderId="33" xfId="11" applyFont="1" applyBorder="1" applyAlignment="1">
      <alignment horizontal="center" wrapText="1"/>
    </xf>
    <xf numFmtId="0" fontId="50" fillId="0" borderId="49" xfId="11" applyFont="1" applyBorder="1" applyAlignment="1">
      <alignment horizontal="center" wrapText="1"/>
    </xf>
    <xf numFmtId="0" fontId="17" fillId="4" borderId="0" xfId="11" applyFont="1" applyFill="1" applyAlignment="1">
      <alignment horizontal="center" vertical="center" wrapText="1"/>
    </xf>
    <xf numFmtId="0" fontId="39" fillId="4" borderId="0" xfId="11" applyFont="1" applyFill="1"/>
    <xf numFmtId="0" fontId="50" fillId="4" borderId="0" xfId="11" applyFont="1" applyFill="1" applyAlignment="1">
      <alignment horizontal="center" vertical="center" wrapText="1"/>
    </xf>
    <xf numFmtId="0" fontId="5" fillId="4" borderId="0" xfId="11" applyFont="1" applyFill="1" applyAlignment="1">
      <alignment horizontal="center" vertical="center" wrapText="1"/>
    </xf>
    <xf numFmtId="0" fontId="39" fillId="0" borderId="50" xfId="11" applyFont="1" applyBorder="1"/>
    <xf numFmtId="4" fontId="16" fillId="0" borderId="9" xfId="11" applyNumberFormat="1" applyFont="1" applyBorder="1"/>
    <xf numFmtId="4" fontId="4" fillId="4" borderId="0" xfId="11" applyNumberFormat="1" applyFont="1" applyFill="1"/>
    <xf numFmtId="0" fontId="39" fillId="0" borderId="22" xfId="11" applyFont="1" applyBorder="1"/>
    <xf numFmtId="4" fontId="16" fillId="0" borderId="10" xfId="11" applyNumberFormat="1" applyFont="1" applyBorder="1"/>
    <xf numFmtId="0" fontId="16" fillId="4" borderId="0" xfId="11" applyFont="1" applyFill="1"/>
    <xf numFmtId="0" fontId="17" fillId="4" borderId="0" xfId="11" applyFont="1" applyFill="1" applyAlignment="1">
      <alignment horizontal="center"/>
    </xf>
    <xf numFmtId="0" fontId="39" fillId="0" borderId="25" xfId="11" applyFont="1" applyBorder="1"/>
    <xf numFmtId="4" fontId="16" fillId="0" borderId="26" xfId="11" applyNumberFormat="1" applyFont="1" applyBorder="1"/>
    <xf numFmtId="0" fontId="50" fillId="4" borderId="0" xfId="11" applyFont="1" applyFill="1" applyAlignment="1">
      <alignment horizontal="center" wrapText="1"/>
    </xf>
    <xf numFmtId="4" fontId="17" fillId="0" borderId="20" xfId="11" applyNumberFormat="1" applyFont="1" applyBorder="1" applyAlignment="1">
      <alignment vertical="center"/>
    </xf>
    <xf numFmtId="4" fontId="17" fillId="0" borderId="16" xfId="11" applyNumberFormat="1" applyFont="1" applyBorder="1" applyAlignment="1">
      <alignment vertical="center"/>
    </xf>
    <xf numFmtId="4" fontId="17" fillId="0" borderId="7" xfId="11" applyNumberFormat="1" applyFont="1" applyBorder="1" applyAlignment="1">
      <alignment vertical="center"/>
    </xf>
    <xf numFmtId="4" fontId="17" fillId="0" borderId="9" xfId="11" applyNumberFormat="1" applyFont="1" applyBorder="1" applyAlignment="1">
      <alignment vertical="center"/>
    </xf>
    <xf numFmtId="39" fontId="52" fillId="4" borderId="0" xfId="11" applyNumberFormat="1" applyFont="1" applyFill="1" applyAlignment="1">
      <alignment horizontal="center"/>
    </xf>
    <xf numFmtId="0" fontId="50" fillId="0" borderId="10" xfId="11" applyFont="1" applyBorder="1" applyAlignment="1">
      <alignment horizontal="center" wrapText="1"/>
    </xf>
    <xf numFmtId="0" fontId="50" fillId="0" borderId="0" xfId="11" applyFont="1" applyAlignment="1">
      <alignment horizontal="center" wrapText="1"/>
    </xf>
    <xf numFmtId="0" fontId="39" fillId="0" borderId="10" xfId="11" applyFont="1" applyBorder="1"/>
    <xf numFmtId="2" fontId="16" fillId="0" borderId="10" xfId="11" applyNumberFormat="1" applyFont="1" applyBorder="1"/>
    <xf numFmtId="4" fontId="39" fillId="0" borderId="0" xfId="11" applyNumberFormat="1" applyFont="1"/>
    <xf numFmtId="39" fontId="53" fillId="4" borderId="0" xfId="11" applyNumberFormat="1" applyFont="1" applyFill="1" applyAlignment="1">
      <alignment horizontal="center"/>
    </xf>
    <xf numFmtId="0" fontId="39" fillId="0" borderId="6" xfId="11" applyFont="1" applyBorder="1"/>
    <xf numFmtId="4" fontId="17" fillId="0" borderId="10" xfId="11" applyNumberFormat="1" applyFont="1" applyBorder="1"/>
    <xf numFmtId="2" fontId="17" fillId="0" borderId="10" xfId="11" applyNumberFormat="1" applyFont="1" applyBorder="1"/>
    <xf numFmtId="2" fontId="39" fillId="0" borderId="0" xfId="11" applyNumberFormat="1" applyFont="1"/>
    <xf numFmtId="0" fontId="50" fillId="3" borderId="13" xfId="11" applyFont="1" applyFill="1" applyBorder="1"/>
    <xf numFmtId="0" fontId="50" fillId="3" borderId="14" xfId="11" applyFont="1" applyFill="1" applyBorder="1"/>
    <xf numFmtId="0" fontId="50" fillId="3" borderId="10" xfId="11" applyFont="1" applyFill="1" applyBorder="1" applyAlignment="1">
      <alignment horizontal="right"/>
    </xf>
    <xf numFmtId="0" fontId="50" fillId="3" borderId="3" xfId="11" applyFont="1" applyFill="1" applyBorder="1"/>
    <xf numFmtId="0" fontId="3" fillId="3" borderId="14" xfId="11" applyFill="1" applyBorder="1"/>
    <xf numFmtId="0" fontId="39" fillId="0" borderId="13" xfId="11" applyFont="1" applyBorder="1"/>
    <xf numFmtId="0" fontId="39" fillId="0" borderId="14" xfId="11" applyFont="1" applyBorder="1"/>
    <xf numFmtId="4" fontId="39" fillId="0" borderId="10" xfId="11" applyNumberFormat="1" applyFont="1" applyBorder="1" applyAlignment="1">
      <alignment horizontal="right"/>
    </xf>
    <xf numFmtId="0" fontId="39" fillId="0" borderId="3" xfId="11" applyFont="1" applyBorder="1"/>
    <xf numFmtId="0" fontId="3" fillId="0" borderId="14" xfId="11" applyBorder="1"/>
    <xf numFmtId="4" fontId="39" fillId="0" borderId="0" xfId="11" applyNumberFormat="1" applyFont="1" applyAlignment="1">
      <alignment horizontal="right"/>
    </xf>
    <xf numFmtId="4" fontId="11" fillId="0" borderId="10" xfId="4" applyNumberFormat="1" applyFont="1" applyBorder="1" applyAlignment="1">
      <alignment horizontal="center"/>
    </xf>
    <xf numFmtId="0" fontId="20" fillId="3" borderId="10" xfId="4" applyFont="1" applyFill="1" applyBorder="1" applyAlignment="1">
      <alignment horizontal="center" vertical="center" wrapText="1"/>
    </xf>
    <xf numFmtId="0" fontId="20" fillId="3" borderId="10" xfId="8" applyFont="1" applyFill="1" applyBorder="1" applyAlignment="1">
      <alignment horizontal="center" vertical="center"/>
    </xf>
    <xf numFmtId="4" fontId="10" fillId="4" borderId="10" xfId="4" applyNumberFormat="1" applyFont="1" applyFill="1" applyBorder="1" applyAlignment="1">
      <alignment horizontal="center"/>
    </xf>
    <xf numFmtId="0" fontId="11" fillId="4" borderId="14" xfId="4" applyFont="1" applyFill="1" applyBorder="1" applyAlignment="1">
      <alignment horizontal="left"/>
    </xf>
    <xf numFmtId="0" fontId="20" fillId="4" borderId="13" xfId="4" applyFont="1" applyFill="1" applyBorder="1" applyAlignment="1">
      <alignment horizontal="left" vertical="center"/>
    </xf>
    <xf numFmtId="0" fontId="20" fillId="4" borderId="14" xfId="4" applyFont="1" applyFill="1" applyBorder="1" applyAlignment="1">
      <alignment horizontal="center" vertical="center"/>
    </xf>
    <xf numFmtId="0" fontId="20" fillId="4" borderId="10" xfId="4" applyFont="1" applyFill="1" applyBorder="1" applyAlignment="1">
      <alignment horizontal="center" vertical="center" wrapText="1"/>
    </xf>
    <xf numFmtId="0" fontId="20" fillId="4" borderId="10" xfId="8" applyFont="1" applyFill="1" applyBorder="1" applyAlignment="1">
      <alignment horizontal="center" vertical="center"/>
    </xf>
    <xf numFmtId="0" fontId="16" fillId="4" borderId="36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4" fontId="16" fillId="4" borderId="38" xfId="0" applyNumberFormat="1" applyFont="1" applyFill="1" applyBorder="1"/>
    <xf numFmtId="4" fontId="16" fillId="4" borderId="42" xfId="0" applyNumberFormat="1" applyFont="1" applyFill="1" applyBorder="1"/>
    <xf numFmtId="0" fontId="0" fillId="4" borderId="0" xfId="0" applyFill="1"/>
    <xf numFmtId="0" fontId="3" fillId="4" borderId="0" xfId="0" applyFont="1" applyFill="1" applyAlignment="1">
      <alignment horizontal="left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50" fillId="5" borderId="68" xfId="11" applyFont="1" applyFill="1" applyBorder="1" applyAlignment="1">
      <alignment horizontal="center" vertical="center" wrapText="1"/>
    </xf>
    <xf numFmtId="4" fontId="17" fillId="16" borderId="0" xfId="11" applyNumberFormat="1" applyFont="1" applyFill="1"/>
    <xf numFmtId="4" fontId="17" fillId="17" borderId="0" xfId="11" applyNumberFormat="1" applyFont="1" applyFill="1"/>
    <xf numFmtId="4" fontId="51" fillId="18" borderId="0" xfId="11" applyNumberFormat="1" applyFont="1" applyFill="1"/>
    <xf numFmtId="4" fontId="50" fillId="4" borderId="0" xfId="11" applyNumberFormat="1" applyFont="1" applyFill="1"/>
    <xf numFmtId="4" fontId="17" fillId="15" borderId="16" xfId="11" applyNumberFormat="1" applyFont="1" applyFill="1" applyBorder="1"/>
    <xf numFmtId="180" fontId="16" fillId="0" borderId="0" xfId="11" applyNumberFormat="1" applyFont="1" applyAlignment="1">
      <alignment horizontal="center"/>
    </xf>
    <xf numFmtId="0" fontId="16" fillId="0" borderId="38" xfId="4" applyFont="1" applyBorder="1" applyAlignment="1">
      <alignment horizontal="left"/>
    </xf>
    <xf numFmtId="0" fontId="16" fillId="0" borderId="38" xfId="4" applyFont="1" applyBorder="1" applyAlignment="1">
      <alignment horizontal="center"/>
    </xf>
    <xf numFmtId="0" fontId="20" fillId="3" borderId="10" xfId="8" applyFont="1" applyFill="1" applyBorder="1" applyAlignment="1">
      <alignment horizontal="center" vertical="center" wrapText="1"/>
    </xf>
    <xf numFmtId="4" fontId="39" fillId="0" borderId="10" xfId="11" applyNumberFormat="1" applyFont="1" applyBorder="1"/>
    <xf numFmtId="0" fontId="20" fillId="5" borderId="3" xfId="0" applyFont="1" applyFill="1" applyBorder="1" applyAlignment="1">
      <alignment horizontal="left" vertical="center" indent="1"/>
    </xf>
    <xf numFmtId="0" fontId="23" fillId="5" borderId="3" xfId="0" applyFont="1" applyFill="1" applyBorder="1" applyAlignment="1">
      <alignment horizontal="left" indent="2"/>
    </xf>
    <xf numFmtId="0" fontId="50" fillId="5" borderId="48" xfId="11" applyFont="1" applyFill="1" applyBorder="1" applyAlignment="1">
      <alignment vertical="center" wrapText="1"/>
    </xf>
    <xf numFmtId="0" fontId="50" fillId="5" borderId="49" xfId="11" applyFont="1" applyFill="1" applyBorder="1" applyAlignment="1">
      <alignment vertical="center" wrapText="1"/>
    </xf>
    <xf numFmtId="0" fontId="21" fillId="0" borderId="16" xfId="0" applyFont="1" applyBorder="1" applyAlignment="1">
      <alignment horizontal="center" vertical="center"/>
    </xf>
    <xf numFmtId="0" fontId="29" fillId="0" borderId="24" xfId="0" applyFont="1" applyBorder="1" applyAlignment="1">
      <alignment vertical="center"/>
    </xf>
    <xf numFmtId="0" fontId="29" fillId="0" borderId="29" xfId="0" applyFont="1" applyBorder="1" applyAlignment="1">
      <alignment vertical="center"/>
    </xf>
    <xf numFmtId="0" fontId="29" fillId="0" borderId="24" xfId="0" applyFont="1" applyBorder="1"/>
    <xf numFmtId="0" fontId="29" fillId="0" borderId="29" xfId="0" applyFont="1" applyBorder="1"/>
    <xf numFmtId="9" fontId="29" fillId="0" borderId="10" xfId="10" applyFont="1" applyBorder="1" applyAlignment="1">
      <alignment horizontal="center" vertical="center"/>
    </xf>
    <xf numFmtId="9" fontId="29" fillId="0" borderId="0" xfId="10" applyFont="1" applyAlignment="1">
      <alignment horizontal="center" vertical="center"/>
    </xf>
    <xf numFmtId="0" fontId="50" fillId="4" borderId="14" xfId="11" applyFont="1" applyFill="1" applyBorder="1"/>
    <xf numFmtId="0" fontId="21" fillId="0" borderId="0" xfId="0" applyFont="1"/>
    <xf numFmtId="0" fontId="3" fillId="0" borderId="0" xfId="0" applyFont="1" applyAlignment="1">
      <alignment horizontal="center" vertical="center"/>
    </xf>
    <xf numFmtId="0" fontId="20" fillId="4" borderId="0" xfId="0" applyFont="1" applyFill="1"/>
    <xf numFmtId="0" fontId="20" fillId="4" borderId="0" xfId="0" applyFont="1" applyFill="1" applyAlignment="1">
      <alignment horizontal="center" vertical="center"/>
    </xf>
    <xf numFmtId="4" fontId="20" fillId="3" borderId="30" xfId="0" applyNumberFormat="1" applyFont="1" applyFill="1" applyBorder="1" applyAlignment="1">
      <alignment horizontal="center" wrapText="1"/>
    </xf>
    <xf numFmtId="4" fontId="16" fillId="0" borderId="8" xfId="0" applyNumberFormat="1" applyFont="1" applyBorder="1"/>
    <xf numFmtId="0" fontId="16" fillId="5" borderId="10" xfId="0" applyFont="1" applyFill="1" applyBorder="1" applyAlignment="1">
      <alignment horizontal="center" vertical="center"/>
    </xf>
    <xf numFmtId="44" fontId="16" fillId="5" borderId="10" xfId="13" applyFont="1" applyFill="1" applyBorder="1" applyAlignment="1">
      <alignment horizontal="center" vertical="center"/>
    </xf>
    <xf numFmtId="0" fontId="16" fillId="5" borderId="0" xfId="0" applyFont="1" applyFill="1"/>
    <xf numFmtId="4" fontId="16" fillId="0" borderId="3" xfId="0" applyNumberFormat="1" applyFont="1" applyBorder="1"/>
    <xf numFmtId="0" fontId="5" fillId="5" borderId="4" xfId="0" applyFont="1" applyFill="1" applyBorder="1"/>
    <xf numFmtId="0" fontId="0" fillId="0" borderId="5" xfId="0" applyBorder="1"/>
    <xf numFmtId="0" fontId="0" fillId="0" borderId="4" xfId="0" applyBorder="1"/>
    <xf numFmtId="0" fontId="0" fillId="0" borderId="11" xfId="0" applyBorder="1"/>
    <xf numFmtId="0" fontId="3" fillId="6" borderId="4" xfId="0" applyFont="1" applyFill="1" applyBorder="1"/>
    <xf numFmtId="0" fontId="3" fillId="19" borderId="4" xfId="0" applyFont="1" applyFill="1" applyBorder="1"/>
    <xf numFmtId="0" fontId="3" fillId="20" borderId="4" xfId="0" applyFont="1" applyFill="1" applyBorder="1"/>
    <xf numFmtId="0" fontId="3" fillId="22" borderId="4" xfId="0" applyFont="1" applyFill="1" applyBorder="1"/>
    <xf numFmtId="0" fontId="3" fillId="22" borderId="6" xfId="0" applyFont="1" applyFill="1" applyBorder="1"/>
    <xf numFmtId="0" fontId="0" fillId="0" borderId="13" xfId="0" applyBorder="1"/>
    <xf numFmtId="0" fontId="5" fillId="0" borderId="10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5" fillId="5" borderId="11" xfId="0" applyFont="1" applyFill="1" applyBorder="1"/>
    <xf numFmtId="0" fontId="5" fillId="0" borderId="12" xfId="0" applyFont="1" applyBorder="1"/>
    <xf numFmtId="0" fontId="0" fillId="0" borderId="12" xfId="0" applyBorder="1"/>
    <xf numFmtId="0" fontId="0" fillId="0" borderId="2" xfId="0" applyBorder="1"/>
    <xf numFmtId="0" fontId="5" fillId="5" borderId="6" xfId="0" applyFont="1" applyFill="1" applyBorder="1"/>
    <xf numFmtId="0" fontId="5" fillId="6" borderId="10" xfId="0" applyFont="1" applyFill="1" applyBorder="1" applyAlignment="1">
      <alignment horizontal="center"/>
    </xf>
    <xf numFmtId="0" fontId="3" fillId="6" borderId="13" xfId="0" applyFont="1" applyFill="1" applyBorder="1"/>
    <xf numFmtId="0" fontId="3" fillId="19" borderId="11" xfId="0" applyFont="1" applyFill="1" applyBorder="1"/>
    <xf numFmtId="0" fontId="3" fillId="19" borderId="6" xfId="0" applyFont="1" applyFill="1" applyBorder="1"/>
    <xf numFmtId="0" fontId="5" fillId="10" borderId="10" xfId="0" applyFont="1" applyFill="1" applyBorder="1" applyAlignment="1">
      <alignment horizontal="center"/>
    </xf>
    <xf numFmtId="0" fontId="3" fillId="10" borderId="13" xfId="0" applyFont="1" applyFill="1" applyBorder="1"/>
    <xf numFmtId="0" fontId="3" fillId="20" borderId="11" xfId="0" applyFont="1" applyFill="1" applyBorder="1"/>
    <xf numFmtId="0" fontId="3" fillId="20" borderId="6" xfId="0" applyFont="1" applyFill="1" applyBorder="1"/>
    <xf numFmtId="0" fontId="3" fillId="21" borderId="11" xfId="0" applyFont="1" applyFill="1" applyBorder="1"/>
    <xf numFmtId="0" fontId="3" fillId="21" borderId="6" xfId="0" applyFont="1" applyFill="1" applyBorder="1"/>
    <xf numFmtId="0" fontId="3" fillId="22" borderId="11" xfId="0" applyFont="1" applyFill="1" applyBorder="1"/>
    <xf numFmtId="0" fontId="0" fillId="0" borderId="11" xfId="0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0" fillId="0" borderId="6" xfId="0" applyBorder="1"/>
    <xf numFmtId="0" fontId="17" fillId="0" borderId="10" xfId="0" applyFont="1" applyBorder="1" applyAlignment="1">
      <alignment horizontal="center" vertical="center"/>
    </xf>
    <xf numFmtId="9" fontId="29" fillId="0" borderId="7" xfId="10" applyFont="1" applyBorder="1" applyAlignment="1">
      <alignment horizontal="center" vertical="center"/>
    </xf>
    <xf numFmtId="9" fontId="29" fillId="0" borderId="9" xfId="10" applyFont="1" applyBorder="1" applyAlignment="1">
      <alignment horizontal="center" vertical="center"/>
    </xf>
    <xf numFmtId="9" fontId="29" fillId="0" borderId="0" xfId="10" applyFont="1" applyBorder="1" applyAlignment="1">
      <alignment horizontal="center" vertical="center"/>
    </xf>
    <xf numFmtId="9" fontId="29" fillId="0" borderId="0" xfId="0" applyNumberFormat="1" applyFont="1" applyAlignment="1">
      <alignment horizontal="center" vertical="center"/>
    </xf>
    <xf numFmtId="9" fontId="29" fillId="0" borderId="10" xfId="0" applyNumberFormat="1" applyFont="1" applyBorder="1" applyAlignment="1">
      <alignment horizontal="center" vertical="center"/>
    </xf>
    <xf numFmtId="9" fontId="29" fillId="0" borderId="10" xfId="7" applyFont="1" applyBorder="1" applyAlignment="1">
      <alignment horizontal="center" vertical="center"/>
    </xf>
    <xf numFmtId="9" fontId="29" fillId="0" borderId="0" xfId="7" applyFont="1" applyBorder="1" applyAlignment="1">
      <alignment horizontal="center" vertical="center"/>
    </xf>
    <xf numFmtId="9" fontId="19" fillId="0" borderId="0" xfId="10" applyFont="1" applyAlignment="1">
      <alignment horizontal="center" vertical="center"/>
    </xf>
    <xf numFmtId="9" fontId="19" fillId="0" borderId="0" xfId="10" applyFont="1" applyFill="1" applyBorder="1" applyAlignment="1">
      <alignment horizontal="center" vertical="center"/>
    </xf>
    <xf numFmtId="9" fontId="29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9" fontId="29" fillId="13" borderId="10" xfId="7" applyFont="1" applyFill="1" applyBorder="1" applyAlignment="1">
      <alignment horizontal="center" vertical="center"/>
    </xf>
    <xf numFmtId="9" fontId="29" fillId="13" borderId="0" xfId="7" applyFont="1" applyFill="1" applyAlignment="1">
      <alignment horizontal="center"/>
    </xf>
    <xf numFmtId="9" fontId="29" fillId="13" borderId="0" xfId="0" applyNumberFormat="1" applyFont="1" applyFill="1" applyAlignment="1">
      <alignment horizontal="center"/>
    </xf>
    <xf numFmtId="9" fontId="29" fillId="0" borderId="14" xfId="7" applyFont="1" applyBorder="1" applyAlignment="1">
      <alignment horizontal="center"/>
    </xf>
    <xf numFmtId="9" fontId="29" fillId="0" borderId="14" xfId="7" applyFont="1" applyBorder="1" applyAlignment="1">
      <alignment horizontal="center" vertical="center"/>
    </xf>
    <xf numFmtId="9" fontId="29" fillId="0" borderId="0" xfId="7" applyFont="1" applyAlignment="1">
      <alignment horizontal="center" vertical="center"/>
    </xf>
    <xf numFmtId="9" fontId="19" fillId="0" borderId="10" xfId="7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/>
    </xf>
    <xf numFmtId="0" fontId="5" fillId="5" borderId="15" xfId="0" applyFont="1" applyFill="1" applyBorder="1" applyAlignment="1">
      <alignment horizontal="center"/>
    </xf>
    <xf numFmtId="0" fontId="5" fillId="5" borderId="9" xfId="0" applyFont="1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19" borderId="1" xfId="0" applyFill="1" applyBorder="1" applyAlignment="1">
      <alignment horizontal="center"/>
    </xf>
    <xf numFmtId="0" fontId="0" fillId="19" borderId="15" xfId="0" applyFill="1" applyBorder="1" applyAlignment="1">
      <alignment horizontal="center"/>
    </xf>
    <xf numFmtId="0" fontId="0" fillId="19" borderId="9" xfId="0" applyFill="1" applyBorder="1" applyAlignment="1">
      <alignment horizontal="center"/>
    </xf>
    <xf numFmtId="0" fontId="0" fillId="10" borderId="10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0" fillId="20" borderId="15" xfId="0" applyFill="1" applyBorder="1" applyAlignment="1">
      <alignment horizontal="center"/>
    </xf>
    <xf numFmtId="0" fontId="0" fillId="20" borderId="9" xfId="0" applyFill="1" applyBorder="1" applyAlignment="1">
      <alignment horizontal="center"/>
    </xf>
    <xf numFmtId="0" fontId="0" fillId="21" borderId="1" xfId="0" applyFill="1" applyBorder="1" applyAlignment="1">
      <alignment horizontal="center"/>
    </xf>
    <xf numFmtId="0" fontId="0" fillId="21" borderId="9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22" borderId="1" xfId="0" applyFill="1" applyBorder="1" applyAlignment="1">
      <alignment horizontal="center"/>
    </xf>
    <xf numFmtId="0" fontId="0" fillId="22" borderId="15" xfId="0" applyFill="1" applyBorder="1" applyAlignment="1">
      <alignment horizontal="center"/>
    </xf>
    <xf numFmtId="0" fontId="0" fillId="22" borderId="9" xfId="0" applyFill="1" applyBorder="1" applyAlignment="1">
      <alignment horizontal="center"/>
    </xf>
    <xf numFmtId="0" fontId="5" fillId="5" borderId="1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4" xfId="0" applyFill="1" applyBorder="1" applyAlignment="1">
      <alignment horizontal="center" vertical="center"/>
    </xf>
    <xf numFmtId="0" fontId="0" fillId="19" borderId="6" xfId="0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20" borderId="11" xfId="0" applyFill="1" applyBorder="1" applyAlignment="1">
      <alignment horizontal="center" vertical="center"/>
    </xf>
    <xf numFmtId="0" fontId="0" fillId="20" borderId="4" xfId="0" applyFill="1" applyBorder="1" applyAlignment="1">
      <alignment horizontal="center" vertical="center"/>
    </xf>
    <xf numFmtId="0" fontId="0" fillId="20" borderId="6" xfId="0" applyFill="1" applyBorder="1" applyAlignment="1">
      <alignment horizontal="center" vertical="center"/>
    </xf>
    <xf numFmtId="0" fontId="0" fillId="21" borderId="11" xfId="0" applyFill="1" applyBorder="1" applyAlignment="1">
      <alignment horizontal="center" vertical="center"/>
    </xf>
    <xf numFmtId="0" fontId="0" fillId="21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2" borderId="11" xfId="0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0" fontId="0" fillId="22" borderId="6" xfId="0" applyFill="1" applyBorder="1" applyAlignment="1">
      <alignment horizontal="center" vertical="center"/>
    </xf>
    <xf numFmtId="0" fontId="5" fillId="5" borderId="0" xfId="0" applyFont="1" applyFill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19" borderId="0" xfId="0" applyFill="1" applyAlignment="1">
      <alignment horizontal="center"/>
    </xf>
    <xf numFmtId="0" fontId="0" fillId="19" borderId="8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0" fillId="20" borderId="12" xfId="0" applyFill="1" applyBorder="1" applyAlignment="1">
      <alignment horizontal="center"/>
    </xf>
    <xf numFmtId="0" fontId="0" fillId="20" borderId="0" xfId="0" applyFill="1" applyAlignment="1">
      <alignment horizontal="center"/>
    </xf>
    <xf numFmtId="0" fontId="0" fillId="20" borderId="8" xfId="0" applyFill="1" applyBorder="1" applyAlignment="1">
      <alignment horizontal="center"/>
    </xf>
    <xf numFmtId="0" fontId="0" fillId="21" borderId="12" xfId="0" applyFill="1" applyBorder="1" applyAlignment="1">
      <alignment horizontal="center"/>
    </xf>
    <xf numFmtId="0" fontId="0" fillId="21" borderId="2" xfId="0" applyFill="1" applyBorder="1" applyAlignment="1">
      <alignment horizontal="center"/>
    </xf>
    <xf numFmtId="0" fontId="0" fillId="21" borderId="8" xfId="0" applyFill="1" applyBorder="1" applyAlignment="1">
      <alignment horizontal="center"/>
    </xf>
    <xf numFmtId="0" fontId="0" fillId="21" borderId="7" xfId="0" applyFill="1" applyBorder="1" applyAlignment="1">
      <alignment horizontal="center"/>
    </xf>
    <xf numFmtId="0" fontId="0" fillId="22" borderId="12" xfId="0" applyFill="1" applyBorder="1" applyAlignment="1">
      <alignment horizontal="center"/>
    </xf>
    <xf numFmtId="0" fontId="0" fillId="22" borderId="0" xfId="0" applyFill="1" applyAlignment="1">
      <alignment horizontal="center"/>
    </xf>
    <xf numFmtId="0" fontId="0" fillId="22" borderId="8" xfId="0" applyFill="1" applyBorder="1" applyAlignment="1">
      <alignment horizontal="center"/>
    </xf>
    <xf numFmtId="44" fontId="29" fillId="0" borderId="60" xfId="0" applyNumberFormat="1" applyFont="1" applyBorder="1" applyAlignment="1">
      <alignment vertical="center"/>
    </xf>
    <xf numFmtId="0" fontId="54" fillId="5" borderId="3" xfId="0" applyFont="1" applyFill="1" applyBorder="1" applyAlignment="1">
      <alignment horizontal="left" indent="2"/>
    </xf>
    <xf numFmtId="4" fontId="16" fillId="5" borderId="38" xfId="0" applyNumberFormat="1" applyFont="1" applyFill="1" applyBorder="1"/>
    <xf numFmtId="0" fontId="16" fillId="11" borderId="25" xfId="8" applyFont="1" applyFill="1" applyBorder="1"/>
    <xf numFmtId="0" fontId="19" fillId="0" borderId="0" xfId="11" applyFont="1" applyAlignment="1">
      <alignment vertical="center"/>
    </xf>
    <xf numFmtId="4" fontId="29" fillId="0" borderId="0" xfId="0" applyNumberFormat="1" applyFont="1" applyAlignment="1">
      <alignment horizontal="left" vertical="center"/>
    </xf>
    <xf numFmtId="0" fontId="29" fillId="5" borderId="0" xfId="0" applyFont="1" applyFill="1" applyAlignment="1">
      <alignment horizontal="center" vertical="center"/>
    </xf>
    <xf numFmtId="0" fontId="29" fillId="5" borderId="0" xfId="0" applyFont="1" applyFill="1"/>
    <xf numFmtId="4" fontId="29" fillId="5" borderId="10" xfId="0" applyNumberFormat="1" applyFont="1" applyFill="1" applyBorder="1" applyAlignment="1">
      <alignment horizontal="center" vertical="center"/>
    </xf>
    <xf numFmtId="4" fontId="29" fillId="5" borderId="0" xfId="0" applyNumberFormat="1" applyFont="1" applyFill="1" applyAlignment="1">
      <alignment vertical="center"/>
    </xf>
    <xf numFmtId="0" fontId="19" fillId="5" borderId="0" xfId="0" applyFont="1" applyFill="1" applyAlignment="1">
      <alignment horizontal="center" vertical="center"/>
    </xf>
    <xf numFmtId="4" fontId="29" fillId="5" borderId="0" xfId="0" applyNumberFormat="1" applyFont="1" applyFill="1" applyAlignment="1">
      <alignment vertical="top"/>
    </xf>
    <xf numFmtId="9" fontId="29" fillId="0" borderId="14" xfId="0" applyNumberFormat="1" applyFont="1" applyBorder="1" applyAlignment="1">
      <alignment horizontal="center" vertical="center"/>
    </xf>
    <xf numFmtId="9" fontId="29" fillId="0" borderId="14" xfId="10" applyFont="1" applyBorder="1" applyAlignment="1">
      <alignment horizontal="center" vertical="center"/>
    </xf>
    <xf numFmtId="0" fontId="16" fillId="11" borderId="10" xfId="0" applyFont="1" applyFill="1" applyBorder="1"/>
    <xf numFmtId="44" fontId="16" fillId="0" borderId="51" xfId="13" applyFont="1" applyBorder="1" applyAlignment="1">
      <alignment horizontal="justify"/>
    </xf>
    <xf numFmtId="44" fontId="16" fillId="0" borderId="44" xfId="13" applyFont="1" applyBorder="1" applyAlignment="1">
      <alignment horizontal="justify"/>
    </xf>
    <xf numFmtId="44" fontId="17" fillId="11" borderId="16" xfId="13" applyFont="1" applyFill="1" applyBorder="1" applyAlignment="1">
      <alignment horizontal="justify"/>
    </xf>
    <xf numFmtId="0" fontId="20" fillId="3" borderId="0" xfId="0" applyFont="1" applyFill="1" applyAlignment="1">
      <alignment horizontal="center" vertical="center"/>
    </xf>
    <xf numFmtId="0" fontId="20" fillId="3" borderId="0" xfId="0" applyFont="1" applyFill="1" applyAlignment="1">
      <alignment horizontal="center" vertical="center" wrapText="1"/>
    </xf>
    <xf numFmtId="0" fontId="20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 indent="1"/>
    </xf>
    <xf numFmtId="0" fontId="20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indent="2"/>
    </xf>
    <xf numFmtId="175" fontId="16" fillId="0" borderId="0" xfId="0" applyNumberFormat="1" applyFont="1" applyAlignment="1">
      <alignment horizontal="justify"/>
    </xf>
    <xf numFmtId="175" fontId="20" fillId="0" borderId="0" xfId="0" applyNumberFormat="1" applyFont="1" applyAlignment="1">
      <alignment horizontal="justify" vertical="center" wrapText="1"/>
    </xf>
    <xf numFmtId="175" fontId="45" fillId="0" borderId="0" xfId="0" applyNumberFormat="1" applyFont="1" applyAlignment="1">
      <alignment horizontal="justify" vertical="center" wrapText="1"/>
    </xf>
    <xf numFmtId="0" fontId="42" fillId="0" borderId="0" xfId="0" applyFont="1" applyAlignment="1">
      <alignment horizontal="left" indent="2"/>
    </xf>
    <xf numFmtId="0" fontId="44" fillId="0" borderId="0" xfId="0" applyFont="1" applyAlignment="1">
      <alignment horizontal="left" vertical="center" indent="1"/>
    </xf>
    <xf numFmtId="44" fontId="16" fillId="0" borderId="0" xfId="19" applyFont="1" applyBorder="1" applyAlignment="1">
      <alignment horizontal="justify"/>
    </xf>
    <xf numFmtId="44" fontId="17" fillId="11" borderId="0" xfId="19" applyFont="1" applyFill="1" applyBorder="1" applyAlignment="1">
      <alignment horizontal="justify"/>
    </xf>
    <xf numFmtId="0" fontId="19" fillId="11" borderId="11" xfId="0" applyFont="1" applyFill="1" applyBorder="1" applyAlignment="1">
      <alignment horizontal="center" vertical="center"/>
    </xf>
    <xf numFmtId="0" fontId="19" fillId="11" borderId="6" xfId="0" applyFont="1" applyFill="1" applyBorder="1" applyAlignment="1">
      <alignment horizontal="center" vertical="center"/>
    </xf>
    <xf numFmtId="4" fontId="19" fillId="11" borderId="11" xfId="0" applyNumberFormat="1" applyFont="1" applyFill="1" applyBorder="1" applyAlignment="1">
      <alignment horizontal="center" vertical="center" wrapText="1"/>
    </xf>
    <xf numFmtId="0" fontId="19" fillId="11" borderId="6" xfId="0" applyFont="1" applyFill="1" applyBorder="1" applyAlignment="1">
      <alignment horizontal="center" vertical="center" wrapText="1"/>
    </xf>
    <xf numFmtId="4" fontId="29" fillId="0" borderId="1" xfId="0" applyNumberFormat="1" applyFont="1" applyBorder="1" applyAlignment="1">
      <alignment horizontal="center" vertical="center"/>
    </xf>
    <xf numFmtId="4" fontId="29" fillId="0" borderId="15" xfId="0" applyNumberFormat="1" applyFont="1" applyBorder="1" applyAlignment="1">
      <alignment horizontal="center" vertical="center"/>
    </xf>
    <xf numFmtId="4" fontId="29" fillId="0" borderId="9" xfId="0" applyNumberFormat="1" applyFont="1" applyBorder="1" applyAlignment="1">
      <alignment horizontal="center" vertical="center"/>
    </xf>
    <xf numFmtId="9" fontId="29" fillId="0" borderId="2" xfId="10" applyFont="1" applyBorder="1" applyAlignment="1">
      <alignment horizontal="center" vertical="center"/>
    </xf>
    <xf numFmtId="9" fontId="29" fillId="0" borderId="5" xfId="10" applyFont="1" applyBorder="1" applyAlignment="1">
      <alignment horizontal="center" vertical="center"/>
    </xf>
    <xf numFmtId="9" fontId="29" fillId="0" borderId="7" xfId="10" applyFont="1" applyBorder="1" applyAlignment="1">
      <alignment horizontal="center" vertical="center"/>
    </xf>
    <xf numFmtId="4" fontId="29" fillId="0" borderId="10" xfId="0" applyNumberFormat="1" applyFont="1" applyBorder="1" applyAlignment="1">
      <alignment horizontal="center" vertical="center"/>
    </xf>
    <xf numFmtId="9" fontId="29" fillId="0" borderId="10" xfId="10" applyFont="1" applyBorder="1" applyAlignment="1">
      <alignment horizontal="center" vertical="center"/>
    </xf>
    <xf numFmtId="0" fontId="19" fillId="11" borderId="1" xfId="0" applyFont="1" applyFill="1" applyBorder="1" applyAlignment="1">
      <alignment horizontal="center" vertical="center" wrapText="1"/>
    </xf>
    <xf numFmtId="0" fontId="19" fillId="11" borderId="9" xfId="0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/>
    </xf>
    <xf numFmtId="0" fontId="19" fillId="11" borderId="9" xfId="0" applyFont="1" applyFill="1" applyBorder="1" applyAlignment="1">
      <alignment horizontal="center" vertical="center"/>
    </xf>
    <xf numFmtId="0" fontId="19" fillId="11" borderId="11" xfId="0" applyFont="1" applyFill="1" applyBorder="1" applyAlignment="1">
      <alignment horizontal="center" vertical="center" wrapText="1"/>
    </xf>
    <xf numFmtId="4" fontId="19" fillId="11" borderId="1" xfId="0" applyNumberFormat="1" applyFont="1" applyFill="1" applyBorder="1" applyAlignment="1">
      <alignment horizontal="center" vertical="center" wrapText="1"/>
    </xf>
    <xf numFmtId="0" fontId="19" fillId="11" borderId="12" xfId="0" applyFont="1" applyFill="1" applyBorder="1" applyAlignment="1">
      <alignment horizontal="center" vertical="center" wrapText="1"/>
    </xf>
    <xf numFmtId="0" fontId="19" fillId="11" borderId="8" xfId="0" applyFont="1" applyFill="1" applyBorder="1" applyAlignment="1">
      <alignment horizontal="center" vertical="center" wrapText="1"/>
    </xf>
    <xf numFmtId="0" fontId="19" fillId="11" borderId="10" xfId="0" applyFont="1" applyFill="1" applyBorder="1" applyAlignment="1">
      <alignment horizontal="center" vertical="center"/>
    </xf>
    <xf numFmtId="164" fontId="19" fillId="11" borderId="11" xfId="0" applyNumberFormat="1" applyFont="1" applyFill="1" applyBorder="1" applyAlignment="1">
      <alignment horizontal="center" vertical="center"/>
    </xf>
    <xf numFmtId="1" fontId="19" fillId="11" borderId="11" xfId="0" applyNumberFormat="1" applyFont="1" applyFill="1" applyBorder="1" applyAlignment="1">
      <alignment horizontal="center" vertical="center"/>
    </xf>
    <xf numFmtId="1" fontId="19" fillId="11" borderId="6" xfId="0" applyNumberFormat="1" applyFont="1" applyFill="1" applyBorder="1" applyAlignment="1">
      <alignment horizontal="center" vertical="center"/>
    </xf>
    <xf numFmtId="0" fontId="19" fillId="11" borderId="4" xfId="0" applyFont="1" applyFill="1" applyBorder="1" applyAlignment="1">
      <alignment horizontal="center" vertical="center"/>
    </xf>
    <xf numFmtId="0" fontId="19" fillId="11" borderId="15" xfId="0" applyFont="1" applyFill="1" applyBorder="1" applyAlignment="1">
      <alignment horizontal="center" vertical="center"/>
    </xf>
    <xf numFmtId="0" fontId="19" fillId="11" borderId="2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19" fillId="11" borderId="2" xfId="0" applyFont="1" applyFill="1" applyBorder="1" applyAlignment="1">
      <alignment horizontal="center" vertical="center"/>
    </xf>
    <xf numFmtId="0" fontId="19" fillId="11" borderId="7" xfId="0" applyFont="1" applyFill="1" applyBorder="1" applyAlignment="1">
      <alignment horizontal="center" vertical="center"/>
    </xf>
    <xf numFmtId="0" fontId="19" fillId="11" borderId="13" xfId="0" applyFont="1" applyFill="1" applyBorder="1" applyAlignment="1">
      <alignment horizontal="center" vertical="center"/>
    </xf>
    <xf numFmtId="0" fontId="19" fillId="11" borderId="3" xfId="0" applyFont="1" applyFill="1" applyBorder="1" applyAlignment="1">
      <alignment horizontal="center" vertical="center"/>
    </xf>
    <xf numFmtId="0" fontId="19" fillId="11" borderId="14" xfId="0" applyFont="1" applyFill="1" applyBorder="1" applyAlignment="1">
      <alignment horizontal="center" vertical="center"/>
    </xf>
    <xf numFmtId="0" fontId="33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 wrapText="1"/>
    </xf>
    <xf numFmtId="0" fontId="40" fillId="0" borderId="0" xfId="0" applyFont="1" applyAlignment="1">
      <alignment horizontal="center" vertical="center"/>
    </xf>
    <xf numFmtId="0" fontId="19" fillId="11" borderId="0" xfId="0" applyFont="1" applyFill="1" applyAlignment="1">
      <alignment horizontal="center" vertical="center" wrapText="1"/>
    </xf>
    <xf numFmtId="9" fontId="29" fillId="0" borderId="1" xfId="10" applyFont="1" applyBorder="1" applyAlignment="1">
      <alignment horizontal="center" vertical="center"/>
    </xf>
    <xf numFmtId="9" fontId="29" fillId="0" borderId="9" xfId="10" applyFont="1" applyBorder="1" applyAlignment="1">
      <alignment horizontal="center" vertical="center"/>
    </xf>
    <xf numFmtId="9" fontId="29" fillId="0" borderId="1" xfId="0" applyNumberFormat="1" applyFont="1" applyBorder="1" applyAlignment="1">
      <alignment horizontal="center" vertical="center"/>
    </xf>
    <xf numFmtId="9" fontId="29" fillId="0" borderId="9" xfId="0" applyNumberFormat="1" applyFont="1" applyBorder="1" applyAlignment="1">
      <alignment horizontal="center" vertical="center"/>
    </xf>
    <xf numFmtId="2" fontId="19" fillId="11" borderId="11" xfId="0" applyNumberFormat="1" applyFont="1" applyFill="1" applyBorder="1" applyAlignment="1">
      <alignment horizontal="center" vertical="center"/>
    </xf>
    <xf numFmtId="2" fontId="19" fillId="11" borderId="1" xfId="0" applyNumberFormat="1" applyFont="1" applyFill="1" applyBorder="1" applyAlignment="1">
      <alignment horizontal="center" vertical="center"/>
    </xf>
    <xf numFmtId="9" fontId="29" fillId="0" borderId="15" xfId="10" applyFont="1" applyBorder="1" applyAlignment="1">
      <alignment horizontal="center" vertical="center"/>
    </xf>
    <xf numFmtId="9" fontId="29" fillId="0" borderId="2" xfId="0" applyNumberFormat="1" applyFont="1" applyBorder="1" applyAlignment="1">
      <alignment horizontal="center" vertical="center"/>
    </xf>
    <xf numFmtId="9" fontId="29" fillId="0" borderId="5" xfId="0" applyNumberFormat="1" applyFont="1" applyBorder="1" applyAlignment="1">
      <alignment horizontal="center" vertical="center"/>
    </xf>
    <xf numFmtId="9" fontId="29" fillId="0" borderId="7" xfId="0" applyNumberFormat="1" applyFont="1" applyBorder="1" applyAlignment="1">
      <alignment horizontal="center" vertical="center"/>
    </xf>
    <xf numFmtId="9" fontId="29" fillId="0" borderId="1" xfId="7" applyFont="1" applyBorder="1" applyAlignment="1">
      <alignment horizontal="center" vertical="center"/>
    </xf>
    <xf numFmtId="9" fontId="29" fillId="0" borderId="15" xfId="7" applyFont="1" applyBorder="1" applyAlignment="1">
      <alignment horizontal="center" vertical="center"/>
    </xf>
    <xf numFmtId="9" fontId="29" fillId="0" borderId="9" xfId="7" applyFont="1" applyBorder="1" applyAlignment="1">
      <alignment horizontal="center" vertical="center"/>
    </xf>
    <xf numFmtId="2" fontId="29" fillId="12" borderId="10" xfId="0" applyNumberFormat="1" applyFont="1" applyFill="1" applyBorder="1" applyAlignment="1">
      <alignment vertical="center"/>
    </xf>
    <xf numFmtId="9" fontId="29" fillId="0" borderId="10" xfId="7" applyFont="1" applyBorder="1" applyAlignment="1">
      <alignment horizontal="center" vertical="center"/>
    </xf>
    <xf numFmtId="9" fontId="29" fillId="0" borderId="15" xfId="0" applyNumberFormat="1" applyFont="1" applyBorder="1" applyAlignment="1">
      <alignment horizontal="center" vertical="center"/>
    </xf>
    <xf numFmtId="0" fontId="19" fillId="0" borderId="20" xfId="0" applyFont="1" applyBorder="1" applyAlignment="1">
      <alignment horizontal="center" vertical="center"/>
    </xf>
    <xf numFmtId="0" fontId="19" fillId="0" borderId="21" xfId="0" applyFont="1" applyBorder="1" applyAlignment="1">
      <alignment horizontal="center" vertical="center"/>
    </xf>
    <xf numFmtId="0" fontId="19" fillId="11" borderId="10" xfId="0" applyFont="1" applyFill="1" applyBorder="1" applyAlignment="1">
      <alignment horizontal="center" vertical="center" wrapText="1"/>
    </xf>
    <xf numFmtId="4" fontId="29" fillId="0" borderId="11" xfId="0" applyNumberFormat="1" applyFont="1" applyBorder="1" applyAlignment="1">
      <alignment horizontal="center" vertical="center"/>
    </xf>
    <xf numFmtId="4" fontId="29" fillId="0" borderId="4" xfId="0" applyNumberFormat="1" applyFont="1" applyBorder="1" applyAlignment="1">
      <alignment horizontal="center" vertical="center"/>
    </xf>
    <xf numFmtId="4" fontId="29" fillId="0" borderId="6" xfId="0" applyNumberFormat="1" applyFont="1" applyBorder="1" applyAlignment="1">
      <alignment horizontal="center" vertical="center"/>
    </xf>
    <xf numFmtId="4" fontId="19" fillId="11" borderId="11" xfId="0" applyNumberFormat="1" applyFont="1" applyFill="1" applyBorder="1" applyAlignment="1">
      <alignment horizontal="center" vertical="center"/>
    </xf>
    <xf numFmtId="2" fontId="29" fillId="0" borderId="1" xfId="0" applyNumberFormat="1" applyFont="1" applyBorder="1" applyAlignment="1">
      <alignment vertical="center"/>
    </xf>
    <xf numFmtId="2" fontId="29" fillId="0" borderId="15" xfId="0" applyNumberFormat="1" applyFont="1" applyBorder="1" applyAlignment="1">
      <alignment vertical="center"/>
    </xf>
    <xf numFmtId="2" fontId="29" fillId="0" borderId="9" xfId="0" applyNumberFormat="1" applyFont="1" applyBorder="1" applyAlignment="1">
      <alignment vertical="center"/>
    </xf>
    <xf numFmtId="0" fontId="16" fillId="11" borderId="10" xfId="0" applyFont="1" applyFill="1" applyBorder="1" applyAlignment="1">
      <alignment horizontal="center" wrapText="1"/>
    </xf>
    <xf numFmtId="0" fontId="17" fillId="0" borderId="0" xfId="0" applyFont="1" applyAlignment="1">
      <alignment horizontal="right"/>
    </xf>
    <xf numFmtId="0" fontId="17" fillId="11" borderId="0" xfId="0" applyFont="1" applyFill="1" applyAlignment="1">
      <alignment horizontal="right"/>
    </xf>
    <xf numFmtId="0" fontId="19" fillId="11" borderId="20" xfId="11" applyFont="1" applyFill="1" applyBorder="1" applyAlignment="1">
      <alignment horizontal="center" vertical="center"/>
    </xf>
    <xf numFmtId="0" fontId="19" fillId="11" borderId="30" xfId="11" applyFont="1" applyFill="1" applyBorder="1" applyAlignment="1">
      <alignment horizontal="center" vertical="center"/>
    </xf>
    <xf numFmtId="0" fontId="19" fillId="11" borderId="21" xfId="11" applyFont="1" applyFill="1" applyBorder="1" applyAlignment="1">
      <alignment horizontal="center" vertical="center"/>
    </xf>
    <xf numFmtId="0" fontId="17" fillId="0" borderId="17" xfId="0" applyFont="1" applyBorder="1" applyAlignment="1">
      <alignment horizontal="right"/>
    </xf>
    <xf numFmtId="0" fontId="17" fillId="0" borderId="18" xfId="0" applyFont="1" applyBorder="1" applyAlignment="1">
      <alignment horizontal="right"/>
    </xf>
    <xf numFmtId="0" fontId="17" fillId="11" borderId="48" xfId="0" applyFont="1" applyFill="1" applyBorder="1" applyAlignment="1">
      <alignment horizontal="right"/>
    </xf>
    <xf numFmtId="0" fontId="17" fillId="11" borderId="49" xfId="0" applyFont="1" applyFill="1" applyBorder="1" applyAlignment="1">
      <alignment horizontal="right"/>
    </xf>
    <xf numFmtId="0" fontId="17" fillId="0" borderId="50" xfId="0" applyFont="1" applyBorder="1" applyAlignment="1">
      <alignment horizontal="right"/>
    </xf>
    <xf numFmtId="0" fontId="17" fillId="0" borderId="32" xfId="0" applyFont="1" applyBorder="1" applyAlignment="1">
      <alignment horizontal="right"/>
    </xf>
    <xf numFmtId="0" fontId="17" fillId="0" borderId="45" xfId="0" applyFont="1" applyBorder="1" applyAlignment="1">
      <alignment horizontal="right"/>
    </xf>
    <xf numFmtId="0" fontId="17" fillId="0" borderId="46" xfId="0" applyFont="1" applyBorder="1" applyAlignment="1">
      <alignment horizontal="right"/>
    </xf>
    <xf numFmtId="0" fontId="17" fillId="0" borderId="9" xfId="0" applyFont="1" applyBorder="1" applyAlignment="1">
      <alignment horizontal="right"/>
    </xf>
    <xf numFmtId="0" fontId="17" fillId="0" borderId="22" xfId="0" applyFont="1" applyBorder="1" applyAlignment="1">
      <alignment horizontal="right"/>
    </xf>
    <xf numFmtId="0" fontId="17" fillId="0" borderId="10" xfId="0" applyFont="1" applyBorder="1" applyAlignment="1">
      <alignment horizontal="right"/>
    </xf>
    <xf numFmtId="0" fontId="17" fillId="11" borderId="25" xfId="0" applyFont="1" applyFill="1" applyBorder="1" applyAlignment="1">
      <alignment horizontal="right"/>
    </xf>
    <xf numFmtId="0" fontId="17" fillId="11" borderId="26" xfId="0" applyFont="1" applyFill="1" applyBorder="1" applyAlignment="1">
      <alignment horizontal="right"/>
    </xf>
    <xf numFmtId="0" fontId="24" fillId="0" borderId="53" xfId="11" applyFont="1" applyBorder="1" applyAlignment="1">
      <alignment horizontal="center" vertical="center" wrapText="1"/>
    </xf>
    <xf numFmtId="0" fontId="24" fillId="0" borderId="60" xfId="11" applyFont="1" applyBorder="1" applyAlignment="1">
      <alignment horizontal="center" vertical="center" wrapText="1"/>
    </xf>
    <xf numFmtId="0" fontId="24" fillId="0" borderId="34" xfId="11" applyFont="1" applyBorder="1" applyAlignment="1">
      <alignment horizontal="center" vertical="center" wrapText="1"/>
    </xf>
    <xf numFmtId="0" fontId="24" fillId="0" borderId="53" xfId="11" applyFont="1" applyBorder="1" applyAlignment="1">
      <alignment horizontal="center" vertical="center"/>
    </xf>
    <xf numFmtId="0" fontId="24" fillId="0" borderId="60" xfId="11" applyFont="1" applyBorder="1" applyAlignment="1">
      <alignment horizontal="center" vertical="center"/>
    </xf>
    <xf numFmtId="0" fontId="24" fillId="0" borderId="34" xfId="11" applyFont="1" applyBorder="1" applyAlignment="1">
      <alignment horizontal="center" vertical="center"/>
    </xf>
    <xf numFmtId="0" fontId="19" fillId="5" borderId="20" xfId="11" applyFont="1" applyFill="1" applyBorder="1" applyAlignment="1">
      <alignment horizontal="center"/>
    </xf>
    <xf numFmtId="0" fontId="19" fillId="5" borderId="30" xfId="11" applyFont="1" applyFill="1" applyBorder="1" applyAlignment="1">
      <alignment horizontal="center"/>
    </xf>
    <xf numFmtId="0" fontId="19" fillId="5" borderId="21" xfId="11" applyFont="1" applyFill="1" applyBorder="1" applyAlignment="1">
      <alignment horizontal="center"/>
    </xf>
    <xf numFmtId="171" fontId="17" fillId="3" borderId="48" xfId="11" applyNumberFormat="1" applyFont="1" applyFill="1" applyBorder="1" applyAlignment="1">
      <alignment horizontal="center"/>
    </xf>
    <xf numFmtId="171" fontId="17" fillId="3" borderId="33" xfId="11" applyNumberFormat="1" applyFont="1" applyFill="1" applyBorder="1" applyAlignment="1">
      <alignment horizontal="center"/>
    </xf>
    <xf numFmtId="171" fontId="17" fillId="3" borderId="49" xfId="11" applyNumberFormat="1" applyFont="1" applyFill="1" applyBorder="1" applyAlignment="1">
      <alignment horizontal="center"/>
    </xf>
    <xf numFmtId="0" fontId="28" fillId="0" borderId="19" xfId="11" applyFont="1" applyBorder="1" applyAlignment="1">
      <alignment horizontal="center" vertical="center" wrapText="1"/>
    </xf>
    <xf numFmtId="0" fontId="28" fillId="0" borderId="24" xfId="11" applyFont="1" applyBorder="1" applyAlignment="1">
      <alignment horizontal="center" vertical="center" wrapText="1"/>
    </xf>
    <xf numFmtId="0" fontId="28" fillId="0" borderId="29" xfId="11" applyFont="1" applyBorder="1" applyAlignment="1">
      <alignment horizontal="center" vertical="center" wrapText="1"/>
    </xf>
    <xf numFmtId="0" fontId="27" fillId="0" borderId="19" xfId="11" applyFont="1" applyBorder="1" applyAlignment="1">
      <alignment horizontal="center" vertical="center" wrapText="1"/>
    </xf>
    <xf numFmtId="0" fontId="27" fillId="0" borderId="24" xfId="11" applyFont="1" applyBorder="1" applyAlignment="1">
      <alignment horizontal="center" vertical="center" wrapText="1"/>
    </xf>
    <xf numFmtId="0" fontId="27" fillId="0" borderId="29" xfId="11" applyFont="1" applyBorder="1" applyAlignment="1">
      <alignment horizontal="center" vertical="center" wrapText="1"/>
    </xf>
    <xf numFmtId="0" fontId="24" fillId="0" borderId="19" xfId="11" applyFont="1" applyBorder="1" applyAlignment="1">
      <alignment horizontal="center" vertical="center" wrapText="1"/>
    </xf>
    <xf numFmtId="0" fontId="24" fillId="0" borderId="24" xfId="11" applyFont="1" applyBorder="1" applyAlignment="1">
      <alignment horizontal="center" vertical="center" wrapText="1"/>
    </xf>
    <xf numFmtId="0" fontId="24" fillId="0" borderId="29" xfId="11" applyFont="1" applyBorder="1" applyAlignment="1">
      <alignment horizontal="center" vertical="center" wrapText="1"/>
    </xf>
    <xf numFmtId="0" fontId="19" fillId="5" borderId="20" xfId="11" applyFont="1" applyFill="1" applyBorder="1" applyAlignment="1">
      <alignment horizontal="center" vertical="center"/>
    </xf>
    <xf numFmtId="0" fontId="19" fillId="5" borderId="30" xfId="11" applyFont="1" applyFill="1" applyBorder="1" applyAlignment="1">
      <alignment horizontal="center" vertical="center"/>
    </xf>
    <xf numFmtId="0" fontId="19" fillId="5" borderId="21" xfId="11" applyFont="1" applyFill="1" applyBorder="1" applyAlignment="1">
      <alignment horizontal="center" vertical="center"/>
    </xf>
    <xf numFmtId="0" fontId="17" fillId="5" borderId="20" xfId="11" applyFont="1" applyFill="1" applyBorder="1" applyAlignment="1">
      <alignment horizontal="center"/>
    </xf>
    <xf numFmtId="0" fontId="17" fillId="5" borderId="30" xfId="11" applyFont="1" applyFill="1" applyBorder="1" applyAlignment="1">
      <alignment horizontal="center"/>
    </xf>
    <xf numFmtId="0" fontId="17" fillId="5" borderId="21" xfId="11" applyFont="1" applyFill="1" applyBorder="1" applyAlignment="1">
      <alignment horizontal="center"/>
    </xf>
    <xf numFmtId="0" fontId="16" fillId="0" borderId="60" xfId="11" applyFont="1" applyBorder="1" applyAlignment="1">
      <alignment horizontal="center" vertical="center" wrapText="1"/>
    </xf>
    <xf numFmtId="0" fontId="16" fillId="0" borderId="34" xfId="11" applyFont="1" applyBorder="1" applyAlignment="1">
      <alignment horizontal="center" vertical="center" wrapText="1"/>
    </xf>
    <xf numFmtId="0" fontId="20" fillId="3" borderId="20" xfId="11" applyFont="1" applyFill="1" applyBorder="1" applyAlignment="1">
      <alignment horizontal="center"/>
    </xf>
    <xf numFmtId="0" fontId="20" fillId="3" borderId="30" xfId="11" applyFont="1" applyFill="1" applyBorder="1" applyAlignment="1">
      <alignment horizontal="center"/>
    </xf>
    <xf numFmtId="0" fontId="20" fillId="3" borderId="21" xfId="11" applyFont="1" applyFill="1" applyBorder="1" applyAlignment="1">
      <alignment horizontal="center"/>
    </xf>
    <xf numFmtId="0" fontId="20" fillId="3" borderId="48" xfId="11" applyFont="1" applyFill="1" applyBorder="1" applyAlignment="1">
      <alignment horizontal="center"/>
    </xf>
    <xf numFmtId="0" fontId="20" fillId="3" borderId="33" xfId="11" applyFont="1" applyFill="1" applyBorder="1" applyAlignment="1">
      <alignment horizontal="center"/>
    </xf>
    <xf numFmtId="0" fontId="20" fillId="3" borderId="49" xfId="11" applyFont="1" applyFill="1" applyBorder="1" applyAlignment="1">
      <alignment horizontal="center"/>
    </xf>
    <xf numFmtId="0" fontId="17" fillId="0" borderId="0" xfId="8" applyFont="1" applyAlignment="1">
      <alignment horizontal="center"/>
    </xf>
    <xf numFmtId="0" fontId="17" fillId="5" borderId="20" xfId="8" applyFont="1" applyFill="1" applyBorder="1" applyAlignment="1">
      <alignment horizontal="center"/>
    </xf>
    <xf numFmtId="0" fontId="17" fillId="5" borderId="30" xfId="8" applyFont="1" applyFill="1" applyBorder="1" applyAlignment="1">
      <alignment horizontal="center"/>
    </xf>
    <xf numFmtId="0" fontId="17" fillId="5" borderId="21" xfId="8" applyFont="1" applyFill="1" applyBorder="1" applyAlignment="1">
      <alignment horizontal="center"/>
    </xf>
    <xf numFmtId="0" fontId="16" fillId="0" borderId="0" xfId="8" applyFont="1" applyAlignment="1">
      <alignment horizontal="center"/>
    </xf>
    <xf numFmtId="2" fontId="8" fillId="0" borderId="0" xfId="4" applyNumberFormat="1" applyFont="1" applyAlignment="1">
      <alignment horizontal="right" vertical="center"/>
    </xf>
    <xf numFmtId="0" fontId="20" fillId="3" borderId="20" xfId="4" applyFont="1" applyFill="1" applyBorder="1" applyAlignment="1">
      <alignment horizontal="center" vertical="center"/>
    </xf>
    <xf numFmtId="0" fontId="20" fillId="3" borderId="30" xfId="4" applyFont="1" applyFill="1" applyBorder="1" applyAlignment="1">
      <alignment horizontal="center" vertical="center"/>
    </xf>
    <xf numFmtId="0" fontId="20" fillId="3" borderId="20" xfId="8" applyFont="1" applyFill="1" applyBorder="1" applyAlignment="1">
      <alignment horizontal="center"/>
    </xf>
    <xf numFmtId="0" fontId="20" fillId="3" borderId="30" xfId="8" applyFont="1" applyFill="1" applyBorder="1" applyAlignment="1">
      <alignment horizontal="center"/>
    </xf>
    <xf numFmtId="0" fontId="20" fillId="3" borderId="21" xfId="8" applyFont="1" applyFill="1" applyBorder="1" applyAlignment="1">
      <alignment horizontal="center"/>
    </xf>
    <xf numFmtId="0" fontId="20" fillId="3" borderId="10" xfId="8" applyFont="1" applyFill="1" applyBorder="1" applyAlignment="1">
      <alignment horizontal="center"/>
    </xf>
    <xf numFmtId="0" fontId="16" fillId="0" borderId="10" xfId="8" applyFont="1" applyBorder="1" applyAlignment="1">
      <alignment horizontal="left" vertical="center"/>
    </xf>
    <xf numFmtId="0" fontId="20" fillId="3" borderId="13" xfId="8" applyFont="1" applyFill="1" applyBorder="1" applyAlignment="1">
      <alignment horizontal="center"/>
    </xf>
    <xf numFmtId="0" fontId="20" fillId="3" borderId="14" xfId="8" applyFont="1" applyFill="1" applyBorder="1" applyAlignment="1">
      <alignment horizontal="center"/>
    </xf>
    <xf numFmtId="0" fontId="17" fillId="3" borderId="13" xfId="8" applyFont="1" applyFill="1" applyBorder="1" applyAlignment="1">
      <alignment horizontal="center"/>
    </xf>
    <xf numFmtId="0" fontId="17" fillId="3" borderId="14" xfId="8" applyFont="1" applyFill="1" applyBorder="1" applyAlignment="1">
      <alignment horizontal="center"/>
    </xf>
    <xf numFmtId="0" fontId="20" fillId="3" borderId="13" xfId="8" applyFont="1" applyFill="1" applyBorder="1" applyAlignment="1">
      <alignment horizontal="right"/>
    </xf>
    <xf numFmtId="0" fontId="20" fillId="3" borderId="3" xfId="8" applyFont="1" applyFill="1" applyBorder="1" applyAlignment="1">
      <alignment horizontal="right"/>
    </xf>
    <xf numFmtId="0" fontId="20" fillId="8" borderId="13" xfId="0" applyFont="1" applyFill="1" applyBorder="1" applyAlignment="1">
      <alignment horizontal="right" vertical="center"/>
    </xf>
    <xf numFmtId="0" fontId="20" fillId="8" borderId="3" xfId="0" applyFont="1" applyFill="1" applyBorder="1" applyAlignment="1">
      <alignment horizontal="right" vertical="center"/>
    </xf>
    <xf numFmtId="0" fontId="17" fillId="0" borderId="0" xfId="0" applyFont="1" applyAlignment="1">
      <alignment horizontal="center" vertical="center"/>
    </xf>
    <xf numFmtId="0" fontId="20" fillId="3" borderId="10" xfId="0" applyFont="1" applyFill="1" applyBorder="1" applyAlignment="1">
      <alignment horizontal="center" vertical="center"/>
    </xf>
    <xf numFmtId="0" fontId="17" fillId="8" borderId="13" xfId="0" applyFont="1" applyFill="1" applyBorder="1" applyAlignment="1">
      <alignment horizontal="center" vertical="center"/>
    </xf>
    <xf numFmtId="0" fontId="17" fillId="8" borderId="3" xfId="0" applyFont="1" applyFill="1" applyBorder="1" applyAlignment="1">
      <alignment horizontal="center" vertical="center"/>
    </xf>
    <xf numFmtId="0" fontId="17" fillId="8" borderId="14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20" fillId="8" borderId="3" xfId="0" applyFont="1" applyFill="1" applyBorder="1" applyAlignment="1">
      <alignment horizontal="left" vertical="center"/>
    </xf>
    <xf numFmtId="0" fontId="20" fillId="8" borderId="14" xfId="0" applyFont="1" applyFill="1" applyBorder="1" applyAlignment="1">
      <alignment horizontal="left" vertical="center"/>
    </xf>
    <xf numFmtId="0" fontId="11" fillId="0" borderId="10" xfId="0" applyFont="1" applyBorder="1" applyAlignment="1">
      <alignment horizontal="center"/>
    </xf>
    <xf numFmtId="0" fontId="16" fillId="0" borderId="10" xfId="0" applyFont="1" applyBorder="1" applyAlignment="1">
      <alignment horizontal="center"/>
    </xf>
    <xf numFmtId="0" fontId="17" fillId="10" borderId="13" xfId="0" applyFont="1" applyFill="1" applyBorder="1" applyAlignment="1">
      <alignment horizontal="center" vertical="center"/>
    </xf>
    <xf numFmtId="0" fontId="17" fillId="10" borderId="14" xfId="0" applyFont="1" applyFill="1" applyBorder="1" applyAlignment="1">
      <alignment horizontal="center" vertical="center"/>
    </xf>
    <xf numFmtId="0" fontId="16" fillId="0" borderId="13" xfId="4" applyFont="1" applyBorder="1" applyAlignment="1">
      <alignment horizontal="left"/>
    </xf>
    <xf numFmtId="0" fontId="16" fillId="0" borderId="14" xfId="4" applyFont="1" applyBorder="1" applyAlignment="1">
      <alignment horizontal="left"/>
    </xf>
    <xf numFmtId="0" fontId="20" fillId="3" borderId="13" xfId="4" applyFont="1" applyFill="1" applyBorder="1" applyAlignment="1">
      <alignment horizontal="right" vertical="center"/>
    </xf>
    <xf numFmtId="0" fontId="20" fillId="3" borderId="3" xfId="4" applyFont="1" applyFill="1" applyBorder="1" applyAlignment="1">
      <alignment horizontal="right" vertical="center"/>
    </xf>
    <xf numFmtId="0" fontId="17" fillId="5" borderId="10" xfId="4" applyFont="1" applyFill="1" applyBorder="1" applyAlignment="1">
      <alignment horizontal="center" vertical="center"/>
    </xf>
    <xf numFmtId="0" fontId="17" fillId="3" borderId="13" xfId="4" applyFont="1" applyFill="1" applyBorder="1" applyAlignment="1">
      <alignment horizontal="center"/>
    </xf>
    <xf numFmtId="0" fontId="17" fillId="3" borderId="14" xfId="4" applyFont="1" applyFill="1" applyBorder="1" applyAlignment="1">
      <alignment horizontal="center"/>
    </xf>
    <xf numFmtId="0" fontId="20" fillId="3" borderId="13" xfId="4" applyFont="1" applyFill="1" applyBorder="1" applyAlignment="1">
      <alignment horizontal="right"/>
    </xf>
    <xf numFmtId="0" fontId="20" fillId="3" borderId="3" xfId="4" applyFont="1" applyFill="1" applyBorder="1" applyAlignment="1">
      <alignment horizontal="right"/>
    </xf>
    <xf numFmtId="0" fontId="26" fillId="3" borderId="13" xfId="4" applyFont="1" applyFill="1" applyBorder="1" applyAlignment="1">
      <alignment horizontal="right" vertical="center"/>
    </xf>
    <xf numFmtId="0" fontId="26" fillId="3" borderId="3" xfId="4" applyFont="1" applyFill="1" applyBorder="1" applyAlignment="1">
      <alignment horizontal="right" vertical="center"/>
    </xf>
    <xf numFmtId="0" fontId="26" fillId="3" borderId="13" xfId="4" applyFont="1" applyFill="1" applyBorder="1" applyAlignment="1">
      <alignment horizontal="center" vertical="center"/>
    </xf>
    <xf numFmtId="0" fontId="26" fillId="3" borderId="3" xfId="4" applyFont="1" applyFill="1" applyBorder="1" applyAlignment="1">
      <alignment horizontal="center" vertical="center"/>
    </xf>
    <xf numFmtId="0" fontId="26" fillId="3" borderId="3" xfId="4" applyFont="1" applyFill="1" applyBorder="1" applyAlignment="1">
      <alignment horizontal="left" vertical="center"/>
    </xf>
    <xf numFmtId="0" fontId="26" fillId="3" borderId="14" xfId="4" applyFont="1" applyFill="1" applyBorder="1" applyAlignment="1">
      <alignment horizontal="left" vertical="center"/>
    </xf>
    <xf numFmtId="0" fontId="20" fillId="3" borderId="10" xfId="4" applyFont="1" applyFill="1" applyBorder="1" applyAlignment="1">
      <alignment horizontal="center" vertical="center"/>
    </xf>
    <xf numFmtId="0" fontId="11" fillId="4" borderId="10" xfId="4" applyFont="1" applyFill="1" applyBorder="1" applyAlignment="1">
      <alignment horizontal="left"/>
    </xf>
    <xf numFmtId="0" fontId="50" fillId="0" borderId="48" xfId="11" applyFont="1" applyBorder="1" applyAlignment="1">
      <alignment horizontal="center" vertical="center"/>
    </xf>
    <xf numFmtId="0" fontId="50" fillId="0" borderId="49" xfId="11" applyFont="1" applyBorder="1" applyAlignment="1">
      <alignment horizontal="center" vertical="center"/>
    </xf>
    <xf numFmtId="0" fontId="17" fillId="0" borderId="20" xfId="11" applyFont="1" applyBorder="1" applyAlignment="1">
      <alignment horizontal="center" vertical="center"/>
    </xf>
    <xf numFmtId="0" fontId="17" fillId="0" borderId="30" xfId="11" applyFont="1" applyBorder="1" applyAlignment="1">
      <alignment horizontal="center" vertical="center"/>
    </xf>
    <xf numFmtId="0" fontId="17" fillId="0" borderId="21" xfId="11" applyFont="1" applyBorder="1" applyAlignment="1">
      <alignment horizontal="center" vertical="center"/>
    </xf>
    <xf numFmtId="0" fontId="50" fillId="15" borderId="20" xfId="11" applyFont="1" applyFill="1" applyBorder="1" applyAlignment="1">
      <alignment horizontal="center" vertical="center"/>
    </xf>
    <xf numFmtId="0" fontId="50" fillId="15" borderId="30" xfId="11" applyFont="1" applyFill="1" applyBorder="1" applyAlignment="1">
      <alignment horizontal="center" vertical="center"/>
    </xf>
    <xf numFmtId="0" fontId="50" fillId="15" borderId="21" xfId="11" applyFont="1" applyFill="1" applyBorder="1" applyAlignment="1">
      <alignment horizontal="center" vertical="center"/>
    </xf>
    <xf numFmtId="0" fontId="50" fillId="16" borderId="30" xfId="11" applyFont="1" applyFill="1" applyBorder="1" applyAlignment="1">
      <alignment horizontal="center" vertical="center"/>
    </xf>
    <xf numFmtId="0" fontId="50" fillId="16" borderId="21" xfId="11" applyFont="1" applyFill="1" applyBorder="1" applyAlignment="1">
      <alignment horizontal="center" vertical="center"/>
    </xf>
    <xf numFmtId="0" fontId="50" fillId="17" borderId="20" xfId="11" applyFont="1" applyFill="1" applyBorder="1" applyAlignment="1">
      <alignment horizontal="center" vertical="center"/>
    </xf>
    <xf numFmtId="0" fontId="50" fillId="17" borderId="30" xfId="11" applyFont="1" applyFill="1" applyBorder="1" applyAlignment="1">
      <alignment horizontal="center" vertical="center"/>
    </xf>
    <xf numFmtId="0" fontId="50" fillId="17" borderId="21" xfId="11" applyFont="1" applyFill="1" applyBorder="1" applyAlignment="1">
      <alignment horizontal="center" vertical="center"/>
    </xf>
    <xf numFmtId="0" fontId="5" fillId="18" borderId="20" xfId="11" applyFont="1" applyFill="1" applyBorder="1" applyAlignment="1">
      <alignment horizontal="center"/>
    </xf>
    <xf numFmtId="0" fontId="5" fillId="18" borderId="30" xfId="11" applyFont="1" applyFill="1" applyBorder="1" applyAlignment="1">
      <alignment horizontal="center"/>
    </xf>
    <xf numFmtId="0" fontId="5" fillId="18" borderId="21" xfId="11" applyFont="1" applyFill="1" applyBorder="1" applyAlignment="1">
      <alignment horizontal="center"/>
    </xf>
    <xf numFmtId="0" fontId="16" fillId="4" borderId="0" xfId="11" applyFont="1" applyFill="1" applyAlignment="1">
      <alignment horizontal="left" wrapText="1"/>
    </xf>
    <xf numFmtId="0" fontId="50" fillId="0" borderId="19" xfId="11" applyFont="1" applyBorder="1" applyAlignment="1">
      <alignment horizontal="center" vertical="center"/>
    </xf>
    <xf numFmtId="0" fontId="50" fillId="0" borderId="24" xfId="11" applyFont="1" applyBorder="1" applyAlignment="1">
      <alignment horizontal="center" vertical="center"/>
    </xf>
    <xf numFmtId="0" fontId="50" fillId="0" borderId="29" xfId="11" applyFont="1" applyBorder="1" applyAlignment="1">
      <alignment horizontal="center" vertical="center"/>
    </xf>
    <xf numFmtId="0" fontId="17" fillId="4" borderId="0" xfId="11" applyFont="1" applyFill="1" applyAlignment="1">
      <alignment horizontal="center" vertical="center"/>
    </xf>
    <xf numFmtId="0" fontId="53" fillId="4" borderId="0" xfId="11" applyFont="1" applyFill="1" applyAlignment="1">
      <alignment horizontal="center"/>
    </xf>
    <xf numFmtId="0" fontId="50" fillId="4" borderId="0" xfId="11" applyFont="1" applyFill="1" applyAlignment="1">
      <alignment horizontal="center" vertical="center"/>
    </xf>
    <xf numFmtId="0" fontId="52" fillId="4" borderId="0" xfId="11" applyFont="1" applyFill="1" applyAlignment="1">
      <alignment horizontal="left"/>
    </xf>
    <xf numFmtId="0" fontId="52" fillId="4" borderId="0" xfId="11" applyFont="1" applyFill="1" applyAlignment="1">
      <alignment horizontal="left" wrapText="1"/>
    </xf>
    <xf numFmtId="4" fontId="17" fillId="5" borderId="48" xfId="0" applyNumberFormat="1" applyFont="1" applyFill="1" applyBorder="1" applyAlignment="1">
      <alignment horizontal="left" wrapText="1"/>
    </xf>
    <xf numFmtId="0" fontId="17" fillId="5" borderId="33" xfId="0" applyFont="1" applyFill="1" applyBorder="1" applyAlignment="1">
      <alignment horizontal="left" wrapText="1"/>
    </xf>
    <xf numFmtId="0" fontId="17" fillId="5" borderId="49" xfId="0" applyFont="1" applyFill="1" applyBorder="1" applyAlignment="1">
      <alignment horizontal="left" wrapText="1"/>
    </xf>
    <xf numFmtId="0" fontId="17" fillId="5" borderId="48" xfId="0" applyFont="1" applyFill="1" applyBorder="1" applyAlignment="1">
      <alignment horizontal="center"/>
    </xf>
    <xf numFmtId="0" fontId="17" fillId="5" borderId="33" xfId="0" applyFont="1" applyFill="1" applyBorder="1" applyAlignment="1">
      <alignment horizontal="center"/>
    </xf>
    <xf numFmtId="0" fontId="17" fillId="5" borderId="49" xfId="0" applyFont="1" applyFill="1" applyBorder="1" applyAlignment="1">
      <alignment horizontal="center"/>
    </xf>
    <xf numFmtId="0" fontId="19" fillId="5" borderId="20" xfId="0" applyFont="1" applyFill="1" applyBorder="1" applyAlignment="1">
      <alignment horizontal="center" vertical="center"/>
    </xf>
    <xf numFmtId="0" fontId="19" fillId="5" borderId="30" xfId="0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19" borderId="1" xfId="0" applyFont="1" applyFill="1" applyBorder="1" applyAlignment="1">
      <alignment horizontal="center" vertical="center" wrapText="1"/>
    </xf>
    <xf numFmtId="0" fontId="5" fillId="19" borderId="15" xfId="0" applyFont="1" applyFill="1" applyBorder="1" applyAlignment="1">
      <alignment horizontal="center" vertical="center" wrapText="1"/>
    </xf>
    <xf numFmtId="0" fontId="5" fillId="19" borderId="9" xfId="0" applyFont="1" applyFill="1" applyBorder="1" applyAlignment="1">
      <alignment horizontal="center" vertical="center" wrapText="1"/>
    </xf>
    <xf numFmtId="0" fontId="5" fillId="20" borderId="1" xfId="0" applyFont="1" applyFill="1" applyBorder="1" applyAlignment="1">
      <alignment horizontal="center" vertical="center" wrapText="1"/>
    </xf>
    <xf numFmtId="0" fontId="5" fillId="20" borderId="15" xfId="0" applyFont="1" applyFill="1" applyBorder="1" applyAlignment="1">
      <alignment horizontal="center" vertical="center" wrapText="1"/>
    </xf>
    <xf numFmtId="0" fontId="5" fillId="20" borderId="9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5" fillId="21" borderId="1" xfId="0" applyFont="1" applyFill="1" applyBorder="1" applyAlignment="1">
      <alignment horizontal="center" vertical="center" wrapText="1"/>
    </xf>
    <xf numFmtId="0" fontId="5" fillId="21" borderId="9" xfId="0" applyFont="1" applyFill="1" applyBorder="1" applyAlignment="1">
      <alignment horizontal="center" vertical="center" wrapText="1"/>
    </xf>
    <xf numFmtId="0" fontId="5" fillId="6" borderId="15" xfId="0" applyFont="1" applyFill="1" applyBorder="1" applyAlignment="1">
      <alignment horizontal="center" vertical="center" wrapText="1"/>
    </xf>
    <xf numFmtId="0" fontId="5" fillId="22" borderId="1" xfId="0" applyFont="1" applyFill="1" applyBorder="1" applyAlignment="1">
      <alignment horizontal="center" vertical="center" wrapText="1"/>
    </xf>
    <xf numFmtId="0" fontId="5" fillId="22" borderId="15" xfId="0" applyFont="1" applyFill="1" applyBorder="1" applyAlignment="1">
      <alignment horizontal="center" vertical="center" wrapText="1"/>
    </xf>
    <xf numFmtId="0" fontId="5" fillId="22" borderId="9" xfId="0" applyFont="1" applyFill="1" applyBorder="1" applyAlignment="1">
      <alignment horizontal="center" vertical="center" wrapText="1"/>
    </xf>
    <xf numFmtId="0" fontId="5" fillId="0" borderId="1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 wrapText="1"/>
    </xf>
    <xf numFmtId="0" fontId="16" fillId="0" borderId="4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10" xfId="0" applyFont="1" applyBorder="1" applyAlignment="1">
      <alignment horizontal="center" vertical="center"/>
    </xf>
    <xf numFmtId="0" fontId="3" fillId="0" borderId="0" xfId="0" applyFont="1" applyAlignment="1">
      <alignment horizontal="center"/>
    </xf>
    <xf numFmtId="0" fontId="43" fillId="0" borderId="37" xfId="0" applyFont="1" applyBorder="1" applyAlignment="1">
      <alignment horizontal="left" vertical="center" indent="1"/>
    </xf>
    <xf numFmtId="0" fontId="20" fillId="11" borderId="54" xfId="0" applyFont="1" applyFill="1" applyBorder="1" applyAlignment="1">
      <alignment horizontal="center" vertical="center"/>
    </xf>
    <xf numFmtId="0" fontId="23" fillId="0" borderId="12" xfId="0" applyFont="1" applyBorder="1" applyAlignment="1">
      <alignment horizontal="left" indent="2"/>
    </xf>
    <xf numFmtId="0" fontId="20" fillId="0" borderId="8" xfId="0" applyFont="1" applyBorder="1" applyAlignment="1">
      <alignment horizontal="left" vertical="center" indent="1"/>
    </xf>
    <xf numFmtId="0" fontId="16" fillId="5" borderId="3" xfId="0" applyFont="1" applyFill="1" applyBorder="1"/>
  </cellXfs>
  <cellStyles count="20">
    <cellStyle name="Euro" xfId="1" xr:uid="{00000000-0005-0000-0000-000000000000}"/>
    <cellStyle name="Hipervínculo" xfId="5" builtinId="8"/>
    <cellStyle name="Millares" xfId="2" builtinId="3"/>
    <cellStyle name="Millares 10 10 3" xfId="6" xr:uid="{00000000-0005-0000-0000-000003000000}"/>
    <cellStyle name="Millares 10 10 3 2" xfId="15" xr:uid="{8C87C508-1F38-46CD-AD8F-B5FD5FEC00F4}"/>
    <cellStyle name="Millares 2" xfId="3" xr:uid="{00000000-0005-0000-0000-000004000000}"/>
    <cellStyle name="Moneda" xfId="13" builtinId="4"/>
    <cellStyle name="Moneda 2" xfId="14" xr:uid="{7652973C-0CD0-4B94-BCE3-763AE75192E2}"/>
    <cellStyle name="Moneda 2 2" xfId="19" xr:uid="{D31D8613-E6DD-44BF-8748-93EF89B821F6}"/>
    <cellStyle name="Moneda 3" xfId="18" xr:uid="{7FE3F1A4-0AB5-496A-AD77-31DF8620B07A}"/>
    <cellStyle name="Normal" xfId="0" builtinId="0"/>
    <cellStyle name="Normal 2" xfId="11" xr:uid="{00000000-0005-0000-0000-000007000000}"/>
    <cellStyle name="Normal 3" xfId="4" xr:uid="{00000000-0005-0000-0000-000008000000}"/>
    <cellStyle name="Normal 3 2" xfId="8" xr:uid="{00000000-0005-0000-0000-000009000000}"/>
    <cellStyle name="Normal 3 2 2" xfId="16" xr:uid="{9EC2754B-CA48-4F45-89F2-BACC1EE98228}"/>
    <cellStyle name="Normal 9" xfId="12" xr:uid="{00000000-0005-0000-0000-00000A000000}"/>
    <cellStyle name="Porcentaje" xfId="10" builtinId="5"/>
    <cellStyle name="Porcentaje 2" xfId="7" xr:uid="{00000000-0005-0000-0000-00000C000000}"/>
    <cellStyle name="Porcentaje 2 2" xfId="9" xr:uid="{00000000-0005-0000-0000-00000D000000}"/>
    <cellStyle name="Porcentaje 2 2 2" xfId="17" xr:uid="{B6BD9C46-BA91-42A5-9D8C-12340174450B}"/>
  </cellStyles>
  <dxfs count="0"/>
  <tableStyles count="0" defaultTableStyle="TableStyleMedium9" defaultPivotStyle="PivotStyleLight16"/>
  <colors>
    <mruColors>
      <color rgb="FFF6A62F"/>
      <color rgb="FF0000FF"/>
      <color rgb="FFEFB525"/>
      <color rgb="FFF5B961"/>
      <color rgb="FFF4AF4A"/>
      <color rgb="FFF29E22"/>
      <color rgb="FF2554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14</xdr:row>
      <xdr:rowOff>0</xdr:rowOff>
    </xdr:from>
    <xdr:to>
      <xdr:col>11</xdr:col>
      <xdr:colOff>304800</xdr:colOff>
      <xdr:row>15</xdr:row>
      <xdr:rowOff>102394</xdr:rowOff>
    </xdr:to>
    <xdr:sp macro="" textlink="">
      <xdr:nvSpPr>
        <xdr:cNvPr id="1030" name="AutoShape 6" descr="CHINT Logo PNG Vector (AI) Free Download">
          <a:extLst>
            <a:ext uri="{FF2B5EF4-FFF2-40B4-BE49-F238E27FC236}">
              <a16:creationId xmlns:a16="http://schemas.microsoft.com/office/drawing/2014/main" id="{21F58EEB-AFB5-94D5-BF3F-8BC7C8600200}"/>
            </a:ext>
          </a:extLst>
        </xdr:cNvPr>
        <xdr:cNvSpPr>
          <a:spLocks noChangeAspect="1" noChangeArrowheads="1"/>
        </xdr:cNvSpPr>
      </xdr:nvSpPr>
      <xdr:spPr bwMode="auto">
        <a:xfrm>
          <a:off x="10687050" y="39433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123825</xdr:colOff>
      <xdr:row>0</xdr:row>
      <xdr:rowOff>159543</xdr:rowOff>
    </xdr:from>
    <xdr:to>
      <xdr:col>3</xdr:col>
      <xdr:colOff>1593159</xdr:colOff>
      <xdr:row>3</xdr:row>
      <xdr:rowOff>154780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D2CD6B0-688D-46E0-8111-91973AC64A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5763" y="159543"/>
          <a:ext cx="2612334" cy="602456"/>
        </a:xfrm>
        <a:prstGeom prst="rect">
          <a:avLst/>
        </a:prstGeom>
        <a:effectLst>
          <a:outerShdw blurRad="50800" dist="38100" dir="2700000" algn="tl" rotWithShape="0">
            <a:schemeClr val="bg1">
              <a:alpha val="40000"/>
            </a:schemeClr>
          </a:outerShdw>
        </a:effec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92964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3003"/>
    <xdr:sp macro="" textlink="">
      <xdr:nvSpPr>
        <xdr:cNvPr id="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217</xdr:row>
      <xdr:rowOff>0</xdr:rowOff>
    </xdr:from>
    <xdr:ext cx="304800" cy="306942"/>
    <xdr:sp macro="" textlink="">
      <xdr:nvSpPr>
        <xdr:cNvPr id="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714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7</xdr:col>
      <xdr:colOff>0</xdr:colOff>
      <xdr:row>211</xdr:row>
      <xdr:rowOff>19050</xdr:rowOff>
    </xdr:from>
    <xdr:ext cx="304800" cy="306942"/>
    <xdr:sp macro="" textlink="">
      <xdr:nvSpPr>
        <xdr:cNvPr id="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1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3211175" y="475202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7</xdr:col>
      <xdr:colOff>171450</xdr:colOff>
      <xdr:row>176</xdr:row>
      <xdr:rowOff>133350</xdr:rowOff>
    </xdr:from>
    <xdr:to>
      <xdr:col>11</xdr:col>
      <xdr:colOff>715271</xdr:colOff>
      <xdr:row>248</xdr:row>
      <xdr:rowOff>124192</xdr:rowOff>
    </xdr:to>
    <xdr:pic>
      <xdr:nvPicPr>
        <xdr:cNvPr id="74" name="Imagen 73">
          <a:extLst>
            <a:ext uri="{FF2B5EF4-FFF2-40B4-BE49-F238E27FC236}">
              <a16:creationId xmlns:a16="http://schemas.microsoft.com/office/drawing/2014/main" id="{252FD3D1-6FDD-44BC-8763-DB6836E3CC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353425" y="31299150"/>
          <a:ext cx="6420746" cy="2629267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314325</xdr:colOff>
      <xdr:row>163</xdr:row>
      <xdr:rowOff>161925</xdr:rowOff>
    </xdr:from>
    <xdr:to>
      <xdr:col>12</xdr:col>
      <xdr:colOff>57459</xdr:colOff>
      <xdr:row>248</xdr:row>
      <xdr:rowOff>25926</xdr:rowOff>
    </xdr:to>
    <xdr:pic>
      <xdr:nvPicPr>
        <xdr:cNvPr id="75" name="Imagen 74">
          <a:extLst>
            <a:ext uri="{FF2B5EF4-FFF2-40B4-BE49-F238E27FC236}">
              <a16:creationId xmlns:a16="http://schemas.microsoft.com/office/drawing/2014/main" id="{D75068BE-0C7C-6E06-8834-1D6D3BA326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496300" y="17611725"/>
          <a:ext cx="6591609" cy="2531001"/>
        </a:xfrm>
        <a:prstGeom prst="rect">
          <a:avLst/>
        </a:prstGeom>
      </xdr:spPr>
    </xdr:pic>
    <xdr:clientData/>
  </xdr:twoCellAnchor>
  <xdr:twoCellAnchor editAs="oneCell">
    <xdr:from>
      <xdr:col>7</xdr:col>
      <xdr:colOff>314324</xdr:colOff>
      <xdr:row>209</xdr:row>
      <xdr:rowOff>16379</xdr:rowOff>
    </xdr:from>
    <xdr:to>
      <xdr:col>11</xdr:col>
      <xdr:colOff>485774</xdr:colOff>
      <xdr:row>250</xdr:row>
      <xdr:rowOff>87702</xdr:rowOff>
    </xdr:to>
    <xdr:pic>
      <xdr:nvPicPr>
        <xdr:cNvPr id="77" name="Imagen 76">
          <a:extLst>
            <a:ext uri="{FF2B5EF4-FFF2-40B4-BE49-F238E27FC236}">
              <a16:creationId xmlns:a16="http://schemas.microsoft.com/office/drawing/2014/main" id="{B2C25D75-62AA-D1D9-6AE9-D90EFBD78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1549" y="31010729"/>
          <a:ext cx="6048375" cy="2916627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92</xdr:row>
      <xdr:rowOff>0</xdr:rowOff>
    </xdr:from>
    <xdr:to>
      <xdr:col>12</xdr:col>
      <xdr:colOff>304800</xdr:colOff>
      <xdr:row>93</xdr:row>
      <xdr:rowOff>123825</xdr:rowOff>
    </xdr:to>
    <xdr:sp macro="" textlink="">
      <xdr:nvSpPr>
        <xdr:cNvPr id="9217" name="AutoShape 1">
          <a:extLst>
            <a:ext uri="{FF2B5EF4-FFF2-40B4-BE49-F238E27FC236}">
              <a16:creationId xmlns:a16="http://schemas.microsoft.com/office/drawing/2014/main" id="{10CE39B3-4B1B-58A0-3FF9-25A59975167D}"/>
            </a:ext>
          </a:extLst>
        </xdr:cNvPr>
        <xdr:cNvSpPr>
          <a:spLocks noChangeAspect="1" noChangeArrowheads="1"/>
        </xdr:cNvSpPr>
      </xdr:nvSpPr>
      <xdr:spPr bwMode="auto">
        <a:xfrm>
          <a:off x="11315700" y="107727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7</xdr:col>
      <xdr:colOff>447675</xdr:colOff>
      <xdr:row>109</xdr:row>
      <xdr:rowOff>151556</xdr:rowOff>
    </xdr:from>
    <xdr:to>
      <xdr:col>12</xdr:col>
      <xdr:colOff>466725</xdr:colOff>
      <xdr:row>255</xdr:row>
      <xdr:rowOff>21151</xdr:rowOff>
    </xdr:to>
    <xdr:pic>
      <xdr:nvPicPr>
        <xdr:cNvPr id="76" name="Imagen 75">
          <a:extLst>
            <a:ext uri="{FF2B5EF4-FFF2-40B4-BE49-F238E27FC236}">
              <a16:creationId xmlns:a16="http://schemas.microsoft.com/office/drawing/2014/main" id="{FCF2EC8C-7D9D-F985-9FC7-CDC53B8D4C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439275" y="20125481"/>
          <a:ext cx="6867525" cy="3659701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3003"/>
    <xdr:sp macro="" textlink="">
      <xdr:nvSpPr>
        <xdr:cNvPr id="1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74</xdr:row>
      <xdr:rowOff>0</xdr:rowOff>
    </xdr:from>
    <xdr:ext cx="304800" cy="306942"/>
    <xdr:sp macro="" textlink="">
      <xdr:nvSpPr>
        <xdr:cNvPr id="1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00000}"/>
            </a:ext>
          </a:extLst>
        </xdr:cNvPr>
        <xdr:cNvSpPr>
          <a:spLocks noChangeAspect="1" noChangeArrowheads="1"/>
        </xdr:cNvSpPr>
      </xdr:nvSpPr>
      <xdr:spPr bwMode="auto">
        <a:xfrm>
          <a:off x="1504950" y="28670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1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1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0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2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2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3003"/>
    <xdr:sp macro="" textlink="">
      <xdr:nvSpPr>
        <xdr:cNvPr id="3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1</xdr:row>
      <xdr:rowOff>0</xdr:rowOff>
    </xdr:from>
    <xdr:ext cx="304800" cy="306942"/>
    <xdr:sp macro="" textlink="">
      <xdr:nvSpPr>
        <xdr:cNvPr id="3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619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3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3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3003"/>
    <xdr:sp macro="" textlink="">
      <xdr:nvSpPr>
        <xdr:cNvPr id="4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2</xdr:row>
      <xdr:rowOff>0</xdr:rowOff>
    </xdr:from>
    <xdr:ext cx="304800" cy="306942"/>
    <xdr:sp macro="" textlink="">
      <xdr:nvSpPr>
        <xdr:cNvPr id="4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4953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4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1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5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5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6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6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6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3003"/>
    <xdr:sp macro="" textlink="">
      <xdr:nvSpPr>
        <xdr:cNvPr id="6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122</xdr:row>
      <xdr:rowOff>0</xdr:rowOff>
    </xdr:from>
    <xdr:ext cx="304800" cy="306942"/>
    <xdr:sp macro="" textlink="">
      <xdr:nvSpPr>
        <xdr:cNvPr id="6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296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6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6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2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7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7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3003"/>
    <xdr:sp macro="" textlink="">
      <xdr:nvSpPr>
        <xdr:cNvPr id="8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8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123</xdr:row>
      <xdr:rowOff>0</xdr:rowOff>
    </xdr:from>
    <xdr:ext cx="304800" cy="306942"/>
    <xdr:sp macro="" textlink="">
      <xdr:nvSpPr>
        <xdr:cNvPr id="9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4776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9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9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3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0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0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1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1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4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2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2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3003"/>
    <xdr:sp macro="" textlink="">
      <xdr:nvSpPr>
        <xdr:cNvPr id="13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124</xdr:row>
      <xdr:rowOff>0</xdr:rowOff>
    </xdr:from>
    <xdr:ext cx="304800" cy="306942"/>
    <xdr:sp macro="" textlink="">
      <xdr:nvSpPr>
        <xdr:cNvPr id="13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6586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3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3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4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4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5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5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5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6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6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6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7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7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3003"/>
    <xdr:sp macro="" textlink="">
      <xdr:nvSpPr>
        <xdr:cNvPr id="18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8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125</xdr:row>
      <xdr:rowOff>0</xdr:rowOff>
    </xdr:from>
    <xdr:ext cx="304800" cy="306942"/>
    <xdr:sp macro="" textlink="">
      <xdr:nvSpPr>
        <xdr:cNvPr id="19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18395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19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19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7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0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0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1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1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2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2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8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3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3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4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4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9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3003"/>
    <xdr:sp macro="" textlink="">
      <xdr:nvSpPr>
        <xdr:cNvPr id="25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5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126</xdr:row>
      <xdr:rowOff>0</xdr:rowOff>
    </xdr:from>
    <xdr:ext cx="304800" cy="306942"/>
    <xdr:sp macro="" textlink="">
      <xdr:nvSpPr>
        <xdr:cNvPr id="26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0205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6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6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3003"/>
    <xdr:sp macro="" textlink="">
      <xdr:nvSpPr>
        <xdr:cNvPr id="27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0</xdr:colOff>
      <xdr:row>127</xdr:row>
      <xdr:rowOff>0</xdr:rowOff>
    </xdr:from>
    <xdr:ext cx="304800" cy="306942"/>
    <xdr:sp macro="" textlink="">
      <xdr:nvSpPr>
        <xdr:cNvPr id="27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A0000}"/>
            </a:ext>
          </a:extLst>
        </xdr:cNvPr>
        <xdr:cNvSpPr>
          <a:spLocks noChangeAspect="1" noChangeArrowheads="1"/>
        </xdr:cNvSpPr>
      </xdr:nvSpPr>
      <xdr:spPr bwMode="auto">
        <a:xfrm>
          <a:off x="1933575" y="1220152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7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7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A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3003"/>
    <xdr:sp macro="" textlink="">
      <xdr:nvSpPr>
        <xdr:cNvPr id="28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2</xdr:row>
      <xdr:rowOff>0</xdr:rowOff>
    </xdr:from>
    <xdr:ext cx="304800" cy="306942"/>
    <xdr:sp macro="" textlink="">
      <xdr:nvSpPr>
        <xdr:cNvPr id="28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086475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8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8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9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9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9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3003"/>
    <xdr:sp macro="" textlink="">
      <xdr:nvSpPr>
        <xdr:cNvPr id="29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9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9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10</xdr:row>
      <xdr:rowOff>0</xdr:rowOff>
    </xdr:from>
    <xdr:ext cx="304800" cy="306942"/>
    <xdr:sp macro="" textlink="">
      <xdr:nvSpPr>
        <xdr:cNvPr id="29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3003"/>
    <xdr:sp macro="" textlink="">
      <xdr:nvSpPr>
        <xdr:cNvPr id="29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33</xdr:row>
      <xdr:rowOff>0</xdr:rowOff>
    </xdr:from>
    <xdr:ext cx="304800" cy="306942"/>
    <xdr:sp macro="" textlink="">
      <xdr:nvSpPr>
        <xdr:cNvPr id="29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810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29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29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3003"/>
    <xdr:sp macro="" textlink="">
      <xdr:nvSpPr>
        <xdr:cNvPr id="30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E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0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1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54</xdr:row>
      <xdr:rowOff>0</xdr:rowOff>
    </xdr:from>
    <xdr:ext cx="304800" cy="306942"/>
    <xdr:sp macro="" textlink="">
      <xdr:nvSpPr>
        <xdr:cNvPr id="30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2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33528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3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4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5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6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7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8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9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A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B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C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D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E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FF0B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0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0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0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1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2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3003"/>
    <xdr:sp macro="" textlink="">
      <xdr:nvSpPr>
        <xdr:cNvPr id="3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19</xdr:row>
      <xdr:rowOff>0</xdr:rowOff>
    </xdr:from>
    <xdr:ext cx="304800" cy="306942"/>
    <xdr:sp macro="" textlink="">
      <xdr:nvSpPr>
        <xdr:cNvPr id="3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186690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3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4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5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6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1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1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7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2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2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3003"/>
    <xdr:sp macro="" textlink="">
      <xdr:nvSpPr>
        <xdr:cNvPr id="32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2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2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43</xdr:row>
      <xdr:rowOff>0</xdr:rowOff>
    </xdr:from>
    <xdr:ext cx="304800" cy="306942"/>
    <xdr:sp macro="" textlink="">
      <xdr:nvSpPr>
        <xdr:cNvPr id="32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48577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8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9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A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B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7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8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9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A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B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C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D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E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CF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0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1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2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3003"/>
    <xdr:sp macro="" textlink="">
      <xdr:nvSpPr>
        <xdr:cNvPr id="32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3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4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5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2</xdr:col>
      <xdr:colOff>0</xdr:colOff>
      <xdr:row>63</xdr:row>
      <xdr:rowOff>0</xdr:rowOff>
    </xdr:from>
    <xdr:ext cx="304800" cy="306942"/>
    <xdr:sp macro="" textlink="">
      <xdr:nvSpPr>
        <xdr:cNvPr id="32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000000-0008-0000-0200-0000D60C0000}"/>
            </a:ext>
          </a:extLst>
        </xdr:cNvPr>
        <xdr:cNvSpPr>
          <a:spLocks noChangeAspect="1" noChangeArrowheads="1"/>
        </xdr:cNvSpPr>
      </xdr:nvSpPr>
      <xdr:spPr bwMode="auto">
        <a:xfrm>
          <a:off x="1428750" y="63436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67</xdr:row>
      <xdr:rowOff>9525</xdr:rowOff>
    </xdr:from>
    <xdr:to>
      <xdr:col>7</xdr:col>
      <xdr:colOff>286646</xdr:colOff>
      <xdr:row>80</xdr:row>
      <xdr:rowOff>162292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9625" y="11753850"/>
          <a:ext cx="6420746" cy="262926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85725</xdr:colOff>
      <xdr:row>46</xdr:row>
      <xdr:rowOff>142875</xdr:rowOff>
    </xdr:from>
    <xdr:to>
      <xdr:col>19</xdr:col>
      <xdr:colOff>105671</xdr:colOff>
      <xdr:row>60</xdr:row>
      <xdr:rowOff>47992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848725" y="8582025"/>
          <a:ext cx="6420746" cy="262926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2EF468D-F548-4324-9240-7AB5C8CDB33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676C1AD-A0E7-478F-B558-B7FB355DDBC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F66869A-9E95-4331-BC1A-225A16F33A4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8F1813D-4DE8-4A2F-9D94-9B0C8E2F618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1BD96CF-1C84-4008-99B6-0B9337E9BC5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87EF384-E541-43E7-B9E7-BF6FDA2C4EE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3C638E5-C05B-4D64-9D2F-041EC7E46E4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F6F2070-B855-488A-9546-07FE83AFD90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AB57FCF-8EA9-484B-AAF9-D2C56F9FEB8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0C8503D-C879-47C3-B55B-0E554F84DD3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2038A7F-8CAE-4941-873A-865DA126C6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30492BA-B197-4DCF-8F58-6002B7E225D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38E527E-1289-469A-B47D-AA0B40E46E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42370D0-5F91-4120-B3E0-5A910E1AB16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085E9CE-8AA9-423A-8D3B-462F3F221ED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115B6CC-AC06-4504-84A6-66693744276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E246479-179B-48A3-B4AD-F9BC22E3765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50E3962-6F1C-4246-BCAE-F200CA8E2D0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19FB8D2-FC73-4F94-B038-A02B712DF6E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2D695F6-59F8-4239-81E3-790C31F2560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159BAC6-F477-4AA4-B026-0EF8AF14736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8F262D9-F4C9-47BB-8D51-85DBCE70196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79A5491-6490-4FE6-B103-2E91250CD71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F2DDB9F-D8AE-43A0-9701-433D640005E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0436D99-3D35-43E9-B024-66E5EF6BD3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27551DD-65F2-47CF-AAA8-B5652B4DD9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37CCFDE-735B-4A15-A90A-A69268B6600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C5D593D-FC1D-459A-BD3A-D5B33E47E1D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4380A7D-E4FC-41E2-9489-44E779CE18E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5F920E7-A79C-45FF-9C71-A881D227902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594B068-56FE-46A2-8D76-387DD869446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A8EA023-26D7-420C-9788-8DF25541563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B206CEA-305F-45D9-A0A6-ACEDCDC25AC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61FEA25-8011-474D-B0E2-0BBA610C765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C6DC650-98A9-400A-B2A4-60546F20770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6E01BEB-BB2F-4E9F-868B-9DDCFA841A1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CEFB565-4FAF-45EB-A985-A9A1A4DBEEB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8415494-B2AA-4DC2-A12D-DDD0A8223EC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8D79D91-31AF-42A7-BAF9-10D83588E27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CE61C08-A78E-4C2B-8F59-5D39E14DE6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2ACEC9D-047A-46EE-8F84-8EA0EDA0CA5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C71AE13-1BB6-40D9-AC77-495C6262B69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F9C5FA7-9C71-46F4-AD6D-042EEA5B9FA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E89F7DD-305D-4033-9179-92611896650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FFCC648-D354-485E-B711-ECF7F938CDE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90F11C2-A3B6-44F7-9244-051EB4C87BE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A781F8D-D506-403C-9238-24F62571C87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B68F22B-AC24-4AAD-8046-95D472C148B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957FA6C-AB4F-4C00-908B-D599B19ADAD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0EBBDA7-2C1B-4C97-BE27-2856F12B57E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C1F49C6-D18A-4117-ADF8-0E77F16CC98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386CA13-733E-44D0-AD40-90AFCB60DA6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C334545-D019-4D72-A564-584AAAF7C8E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4F29806-99A4-47D2-8817-4D57C609411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59E812D-24D3-4E17-BA7E-0AC17C167A3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78151B1-23A3-4E1D-AECA-94EA00D2522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A7FCD43-C83A-47BF-A36D-04B8DE4D2A6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125ACAD-C819-4756-B940-3AC845BEB23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A04C6AE-0E63-426C-B874-BE9B7D528A1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2D2F2F9-E5AF-4550-87B7-54693F41012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8277650-C53D-4936-B09D-F626324218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018E39C-5910-4962-BC95-2A7A7CCCF56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A2539FB-6179-442E-952E-70023382EE4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DE73C0F-6108-497D-BD6D-47DCD61BA8D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27A6F99-7248-4A0E-A05B-7CE81008924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321915B-F66E-4118-91EF-DD1C17FD18D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BE9ACC9-EBD6-4910-9D2A-F9284527142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AA81BB4-24C4-4530-B64E-4C9B710DC6E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0C540FC-A8EF-4065-A27D-207471F4119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023163C-74D8-436A-9729-37D0BECFC84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9B91279-AAFA-4247-978E-B8DFBFB1E3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F79738E-1EAD-4DAE-B76B-7B35528C6EF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A961C5B-5E89-4915-A3D7-7EDD3EA5DC7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9D881E5-1107-4B09-98CF-A0BA946079C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76D518B-1CBC-4CED-A982-F39FC84C956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B463D6-71D3-4483-9581-7A59E977C9E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836EB72-1E20-46B5-9F95-5B0DBD02F61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F2B3646-E3A8-415D-96FF-09847C17858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F35502E-FE30-47DD-BBD9-6D920970CFF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59AF067-25D3-4D9B-959F-FA05CF16FC1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2246655-67A2-4473-9E21-96F5BC9A2B0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287B964-92E5-4057-980E-1E81B95AB1A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95DBA1E-D5E6-43EB-8957-783C6B9A9F8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88BBC2D-7A88-4816-B3E8-A41E9997DFF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6C92D02-4F87-4492-BA3E-F82446A735B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3379E39-92EC-4D21-AFFE-39AAA21DD40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7F618E4-B26C-480D-A8CA-3B7C1B87EB6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80841C8-810D-4FAB-A7C2-BC58DFF7873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88F60C8-7936-49DA-859F-8731BA9BFC1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1101A1F-B6B4-4B5B-B7BF-23F5E1B0B3A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703DD80-8E66-44AF-B3E4-8A3962EC52EB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D61D192-11D3-4770-B393-56CBB8BB355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06563E2-7732-4994-B0BA-94B2BA10074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18B1967-A652-4B3D-A6E5-38D4655999C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8553A9E-9895-47E5-8D0C-D1905D2C8A0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A573382-3FCA-4811-94A6-66B51EA8889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E37A43F-879F-4BDD-9992-81FBA9D6E64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F45CE2A-02FC-428A-A9F1-FD9D8468B5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E2CAC75-B1E1-49C0-8545-66E01E934F7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054F6CC-900B-4510-B80E-FEF95AACD6F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37EF79F-BD71-4665-A44D-BB23D77F7F8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3F78CC3-CB18-4F86-979A-0B8D5875558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4A25774-569C-41D0-B833-BAD3C5C967C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C953166-2CE6-4A8F-8C43-7D91F1FDD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91D4111-1F3F-497C-81AC-A4F719278D45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9228744-FD5C-40CA-988D-0A6B1AA5033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3003"/>
    <xdr:sp macro="" textlink="">
      <xdr:nvSpPr>
        <xdr:cNvPr id="1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6A2B447-8DAE-4626-A0CB-30943BC19CF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A6800AC-12CF-46EC-8849-AD36DFED6FF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1642A40-4A68-4DA3-945B-BF6F40FFF2C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44DD49F-80CF-4713-8B50-0CE84453981E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E880766-9DB1-4B4F-9AE4-C361C6FD639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58915B9-95F1-4B33-90B6-2E5E65F2F5E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87588FC-E9B2-43E3-99F3-2A831A709C7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59A7276-4D26-4C62-9C69-48167EB08C2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B00DE32-C710-4D28-AC6B-46BE5DD4C397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EAA416F-E4B4-465D-AC0E-074D8F518B3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9C9C27C-D14A-4EF3-B89B-FC200B9E03A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0290564-3A26-4A5A-901B-73F3A3CB4B7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7DB0BA6-4441-48EA-A85B-7A4CC5B02D6C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38A4F71-F676-45B9-ADD1-E487D30F025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8E51CA4-8431-4D13-8AC4-A15905ED3534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D188BE8-0493-4B06-8EAF-D0A5932760D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40EB7D9-1300-4091-BB87-B114EF1640E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BAD71B7-F33D-4449-81DE-1AA339FA247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59B97CD-DD25-419F-98EB-E491C68F44C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C3476F3-0331-4A00-9C90-EC7FE73F1D2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DC77585-DE4E-4354-95D4-975D0B29C182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34F00FB-44A3-446D-A59D-CAC68E470BAA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F54CB0B-E927-41F8-B0BD-ACF52AFFCA03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CE8AE59-3390-4C58-9856-4B899CA2633D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3ABE0CB-B74A-450D-AB95-ACEC6A8BA68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446C1CA-8DA6-4182-BAC4-803C475D65B9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9AA53C6-16C7-410E-9C7D-3BDC4239EAA8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E282DDC-2598-4762-A26E-81DA9051CC86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3436ACD-7E5D-49E0-A4EA-5F44A6855C9F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9D59709-A99B-4DC9-A993-4103262FA000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</xdr:col>
      <xdr:colOff>0</xdr:colOff>
      <xdr:row>6</xdr:row>
      <xdr:rowOff>0</xdr:rowOff>
    </xdr:from>
    <xdr:ext cx="304800" cy="306942"/>
    <xdr:sp macro="" textlink="">
      <xdr:nvSpPr>
        <xdr:cNvPr id="1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F6A48D6-47F1-480B-B3D4-8D28BB8D5DC1}"/>
            </a:ext>
          </a:extLst>
        </xdr:cNvPr>
        <xdr:cNvSpPr>
          <a:spLocks noChangeAspect="1" noChangeArrowheads="1"/>
        </xdr:cNvSpPr>
      </xdr:nvSpPr>
      <xdr:spPr bwMode="auto">
        <a:xfrm>
          <a:off x="762000" y="15049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FED408A-70A8-44E5-96E6-0CBC0BA37A1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0FDAF8D-4A9C-4E5B-A591-40087C539E2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712FD2D-5676-4C4C-A261-09AC87ACF4E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D19B8D9-7271-4664-A9B0-A597F91508B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313EFA9-B81C-4826-8207-284DF8CB7E2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2A8E889-E98E-4609-8DBF-B825A1CFB30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AC555BD-5918-475D-AC4A-5BFFA5E86EE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A1AA06D-CE9D-4DAC-BBB1-29EB08D235D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93AE1A9-9AF2-4A00-BBE5-1F697D10748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2D8D5F2-1B46-467A-B051-52F3F43DE41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D52ADF7-5567-4D94-B5F9-675A6C32D9F5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DFE9390-98B1-4459-9398-2FD23B5812F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3C7A02C-FE61-41DC-A3C2-B68CC0CF6FA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15AEE79-D571-40A7-AB13-DF0744CCE39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0882409-DB2D-4992-A771-1C9DF21EF35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FACE2CB-807C-4AC9-92D6-3D92F012769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1BC01A2-6546-4ED8-BB11-AD60744E342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EEEE980-39E9-4B3F-B125-6B5080EDA87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AC9AFB8-063A-4C1C-959F-72322DC59A7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0261B53-128A-4295-9B72-54E527E87F45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0F7281C-EFE3-4D34-9C5D-3E6B96032B9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AF908CC-C33B-48B9-9DDE-B2B80496CB3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6B93F95-1E94-4468-A770-391A84B0CDF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A0927FE-FC84-464D-BEC8-4FC5B9C67DF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0AD8862-1666-42A7-87B9-DC4B56B234F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A147136-3609-4826-8C7A-81CDD8ABF41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00F26FC7-E57C-46A6-BDA8-28E9C081CBE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0BB5436-29D9-4CAB-944C-F56E232EDFD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5CE693E-2289-40BB-9A00-F851E8B46FC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B8A6464-6FFC-454A-A00A-E1E1074BBDA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828F66E-01C4-4E33-A17F-B72B025B4C5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2FFFDFA-01AF-4CD9-B984-B41724DFCD4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7DD0E8A-3F9B-4E95-ACE2-C1FCD06F49E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55D1F13-D4F2-4BFD-B933-587AD978D1A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2D1EA20-2E9B-42F4-AF76-C4940F03575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A81B0AF-FC8A-447B-813A-BBB781627A8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8E56884-1F9E-42E5-8121-1844B40C4F1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1B743C6-DF6F-4AE4-B393-AA8E27B3FAF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7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CAFD102-6D89-4731-B86E-5EDDB588349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7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F7E9BD4-E9B1-4171-9A89-D54B11A88C2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7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1D4ED8B-1D8F-4E0D-A0A6-6C88BAD99B1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DA8CA89-2A16-41B0-9D7D-B323158A8FB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D5FFEC9-21CE-4D2F-9E82-AE371C85CB2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791DCE3-7661-4DC6-AF91-52CB34F5446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28EFF08-760C-42F3-9DAE-6DB475EB443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ED326B2-0E05-4A52-8B42-FE826507E7E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8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D179BBB-961D-418E-ADE9-451FC8BEB22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8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FCC5DC0-4502-4D35-8D40-FF0BCD007C2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057E8A1-8292-4ED6-B23E-D69BFE7CC57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8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DFD30DA-1A04-4CED-813D-B330BA872EC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8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541DF60-0861-421B-B284-4DCF5769DA5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9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6C6AA44-4C58-49DC-8FEF-6BE9A363E194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9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7812383-1C5A-4C42-A2DC-2404A2DC654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9F13A38-9873-443C-A748-6990EF43EDD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9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18A9569-90F9-4E98-8C9A-4DEE8A0BCA1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19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044B5B6-71BC-4C09-8BC0-E408F335EEE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684A352-9926-462E-93CC-5E71037588F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1E70E04-C307-4802-9FBB-58089D67A39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CC7724B-5EE6-4B12-86C4-547C99F2427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2ECE286-1969-48B7-B787-3346E53A0E0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19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E6089CA-5924-4AEC-B066-1818F2A058C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0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95D8C9E-FBC8-4F8C-A32B-6CEA1626B2F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E2FB4CF-BD33-4CB2-9F7D-2725A6F03D2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5B1C6BC-5869-4AAC-8B11-FF840BA9340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AC599E1-1F6E-4B21-B1AD-76027A1CD99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D69E4EE-BBBD-4D23-B2F2-9529AEF1B06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86A0FCD-4CA5-4D78-890A-69A53A574AD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0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8A49F41-1B2C-4F04-80AD-A97798237B4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0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03CF034-D388-43D1-9C00-02486BDA5ED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95417EF-2023-46B6-8EB5-9122656B93C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0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983F0F6-302C-4820-A75C-6A63A576E66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1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2F3D566-40E7-4ACE-8C0E-A9C94950D71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1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FC923BD-7029-49C2-BA8D-D592ABB3281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1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5CCD9DB-02C5-481E-9ECE-B197B7EF5AE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1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621D117-A0EC-4789-B62D-DDDAEB39225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1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0C595F0-66AC-448A-A3AF-254F41F7AE7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1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56084A3-D189-48EA-BE82-498C04604344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1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09AF95A-7BE3-441C-AB3A-7E8927AA71D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1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473D2EE-69F7-4BCC-AA09-3975156D515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1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9E441B6-D909-4C3C-B30D-D2392E86B7C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1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6B93D70-4CDA-4E47-89F4-069B89F9D81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6B5BB3B-12A2-45D0-AC2A-C5DF2F2E50E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50BDBDB-916C-4668-B7C2-F210C78472D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B66E45F3-04C5-43DC-B806-008B4A2CAA24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760DF8D-126D-4CC4-AD05-41067B2AFBB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2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A8A10FE-85E1-492A-A48E-0A1140F8E55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6503583-D706-4C3D-8B8D-37DC17AD818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16D8724-2634-4DD3-99A4-59A0F8C4B6B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13565D2-F17B-4A42-9C51-FAF6089958A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4D2AC63-2C22-4421-90F4-89FBFA3E42B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2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AD13FEC-16AB-43F2-8BEF-4E245C347B8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3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23D7F1D-9F0A-487D-8E94-1DBAABD1D03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3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A492440-A0AB-47D5-A9B0-58C80F86618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3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ABB2983-379A-42C3-B36A-033CDB9D201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3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0B37413-94EB-402E-8DE1-C9C342B5E74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3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4969D86-9229-4C3C-9BEA-0D5C96B1FF5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3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0F88A70-35DE-4B51-B800-6DF391D44AA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3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7B6DDBD-7DC9-4867-A8B2-D87ABC14258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3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3A050E5-CD5A-4709-B0B8-DD01A5ACE50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3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E2E5DE9-5EF3-4150-B708-7E2321EC9FA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3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75EE972-1F15-4032-9A21-5BC1A3D7C03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4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2949091-DF7A-433B-A7D3-1258959A0F4D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CCAA7FC7-F554-45F0-A6AC-AD18CCB5EC4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FC2999D-1719-43B4-AD64-A67FDEC3D81A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4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550A853-53AD-4711-B000-240D01F988E4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4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183090D-FB6D-4CF7-BF48-E3785827F4D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3003"/>
    <xdr:sp macro="" textlink="">
      <xdr:nvSpPr>
        <xdr:cNvPr id="24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B4FB8FA-1712-4865-AF17-46535693133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300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06B72BC-D1DD-4585-9DD1-C6A01312DE4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1D4D66A-7889-476F-A1E6-F2071B3149D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367A5D1-0F68-48FC-8EAF-3AE2724284D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4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352EF1F1-BF81-425E-9E5A-BE2F58408CE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E21319F-4823-499A-83A0-B3917E78E13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3A525C1-CE37-454A-966D-F44B387BAB8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21A3A44-24F0-4198-975D-F59339298E1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A942160-4A5D-42F8-A24A-7E46243975B9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D4AB0C5B-CFB4-4CAE-99A4-C592C56909DB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91021B4E-84B5-424B-A734-7FFAF79F52C3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AA1AD97B-8533-4B52-A9A4-9BC3B7093335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69CD63A-D0E2-4EE5-AA06-C7C55CE6E0B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31B7037-C20B-4BE6-855F-539EDBD3180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5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6AEFA0B-375B-420D-A4BE-781750BBECF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C3D9B48-7EB6-475E-A2C3-6BC5338F2FB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68075811-1C4C-410E-959F-15CE1786F79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5F0F27ED-9A5E-45C4-BE2E-834122EA5CA5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05D8C5A-F1A4-4EBE-B19B-DD63B341BC6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8BE1670-8466-4AB5-B040-5E35D1EDDD6E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1704E427-4788-412D-9B47-E7080E6639A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6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F224462-99BE-4AF2-BD08-4B7EB179BFC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7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75567C82-37BD-44F7-A4BA-900A036CCAD8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8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4E0F24F4-F7BA-4F94-8598-BAF1C811A691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69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E496787-7DC8-429A-9A27-4CDD9E215BA2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0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D4206FF-C0A6-4E02-B587-D9F011D3F6EF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1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E301FE4-B6F6-4A59-8787-43FEE024C557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2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84E51162-EDFD-40DE-BDA0-A24EEA67546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3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FB760439-DA08-4FAC-B5CE-C6A8BC82F3C6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4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E11AB994-5C6E-40B5-AF82-E1924E66513C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0</xdr:colOff>
      <xdr:row>74</xdr:row>
      <xdr:rowOff>0</xdr:rowOff>
    </xdr:from>
    <xdr:ext cx="304800" cy="306942"/>
    <xdr:sp macro="" textlink="">
      <xdr:nvSpPr>
        <xdr:cNvPr id="275" name="AutoShape 3" descr="blob:https://web.whatsapp.com/ccaae6ba-13dc-46dd-af0b-7ef28c6656af">
          <a:extLst>
            <a:ext uri="{FF2B5EF4-FFF2-40B4-BE49-F238E27FC236}">
              <a16:creationId xmlns:a16="http://schemas.microsoft.com/office/drawing/2014/main" id="{24A2557D-66D0-49F2-A520-6F52D18F8520}"/>
            </a:ext>
          </a:extLst>
        </xdr:cNvPr>
        <xdr:cNvSpPr>
          <a:spLocks noChangeAspect="1" noChangeArrowheads="1"/>
        </xdr:cNvSpPr>
      </xdr:nvSpPr>
      <xdr:spPr bwMode="auto">
        <a:xfrm>
          <a:off x="11753850" y="9544050"/>
          <a:ext cx="304800" cy="3069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10</xdr:col>
      <xdr:colOff>523875</xdr:colOff>
      <xdr:row>76</xdr:row>
      <xdr:rowOff>85725</xdr:rowOff>
    </xdr:from>
    <xdr:to>
      <xdr:col>12</xdr:col>
      <xdr:colOff>581247</xdr:colOff>
      <xdr:row>98</xdr:row>
      <xdr:rowOff>67205</xdr:rowOff>
    </xdr:to>
    <xdr:pic>
      <xdr:nvPicPr>
        <xdr:cNvPr id="276" name="Imagen 275">
          <a:extLst>
            <a:ext uri="{FF2B5EF4-FFF2-40B4-BE49-F238E27FC236}">
              <a16:creationId xmlns:a16="http://schemas.microsoft.com/office/drawing/2014/main" id="{154974EE-5151-4A93-80CB-3DADD76437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43925" y="18107025"/>
          <a:ext cx="1590897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bbti.com.pe/" TargetMode="External"/><Relationship Id="rId1" Type="http://schemas.openxmlformats.org/officeDocument/2006/relationships/hyperlink" Target="mailto:postmaster@bbti.com.pe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70"/>
  <sheetViews>
    <sheetView showGridLines="0" view="pageBreakPreview" topLeftCell="B1712" zoomScale="80" zoomScaleNormal="80" zoomScaleSheetLayoutView="80" workbookViewId="0">
      <selection activeCell="D1744" sqref="D1744"/>
    </sheetView>
  </sheetViews>
  <sheetFormatPr baseColWidth="10" defaultRowHeight="15.75" x14ac:dyDescent="0.25"/>
  <cols>
    <col min="1" max="1" width="2.7109375" style="463" customWidth="1"/>
    <col min="2" max="2" width="9.42578125" style="468" customWidth="1"/>
    <col min="3" max="3" width="7.7109375" style="463" customWidth="1"/>
    <col min="4" max="4" width="71.85546875" style="467" customWidth="1"/>
    <col min="5" max="5" width="14.5703125" style="468" customWidth="1"/>
    <col min="6" max="6" width="16" style="468" customWidth="1"/>
    <col min="7" max="7" width="14.42578125" style="463" customWidth="1"/>
    <col min="8" max="8" width="14.85546875" style="463" customWidth="1"/>
    <col min="9" max="9" width="11.42578125" style="463" customWidth="1"/>
    <col min="10" max="10" width="8.5703125" style="925" customWidth="1"/>
    <col min="11" max="11" width="5.5703125" style="467" customWidth="1"/>
    <col min="12" max="12" width="56.28515625" style="468" customWidth="1"/>
    <col min="13" max="13" width="13.28515625" style="468" bestFit="1" customWidth="1"/>
    <col min="14" max="14" width="11.42578125" style="468" bestFit="1" customWidth="1"/>
    <col min="15" max="15" width="15.42578125" style="470" customWidth="1"/>
    <col min="16" max="16" width="16.42578125" style="468" customWidth="1"/>
    <col min="17" max="17" width="11.42578125" style="465"/>
    <col min="18" max="18" width="11.7109375" style="468" bestFit="1" customWidth="1"/>
    <col min="19" max="16384" width="11.42578125" style="468"/>
  </cols>
  <sheetData>
    <row r="1" spans="2:15" x14ac:dyDescent="0.25">
      <c r="B1" s="466"/>
      <c r="F1" s="469" t="s">
        <v>901</v>
      </c>
    </row>
    <row r="2" spans="2:15" x14ac:dyDescent="0.25">
      <c r="B2" s="466"/>
      <c r="F2" s="469" t="s">
        <v>902</v>
      </c>
    </row>
    <row r="3" spans="2:15" x14ac:dyDescent="0.25">
      <c r="B3" s="466"/>
      <c r="F3" s="471" t="s">
        <v>903</v>
      </c>
    </row>
    <row r="4" spans="2:15" x14ac:dyDescent="0.25">
      <c r="B4" s="466"/>
      <c r="F4" s="471" t="s">
        <v>904</v>
      </c>
    </row>
    <row r="5" spans="2:15" ht="8.25" customHeight="1" x14ac:dyDescent="0.25">
      <c r="B5" s="466"/>
      <c r="F5" s="469"/>
    </row>
    <row r="6" spans="2:15" x14ac:dyDescent="0.25">
      <c r="B6" s="1077" t="s">
        <v>475</v>
      </c>
      <c r="C6" s="1105"/>
      <c r="D6" s="1091" t="s">
        <v>504</v>
      </c>
      <c r="E6" s="1077" t="s">
        <v>22</v>
      </c>
      <c r="F6" s="1105"/>
      <c r="O6" s="468"/>
    </row>
    <row r="7" spans="2:15" x14ac:dyDescent="0.25">
      <c r="B7" s="1078">
        <v>20565747356</v>
      </c>
      <c r="C7" s="1106"/>
      <c r="D7" s="1092"/>
      <c r="E7" s="1078"/>
      <c r="F7" s="1106"/>
      <c r="O7" s="468"/>
    </row>
    <row r="8" spans="2:15" ht="9.75" customHeight="1" x14ac:dyDescent="0.25">
      <c r="O8" s="468"/>
    </row>
    <row r="9" spans="2:15" x14ac:dyDescent="0.25">
      <c r="C9" s="472"/>
      <c r="F9" s="473" t="s">
        <v>987</v>
      </c>
      <c r="O9" s="468"/>
    </row>
    <row r="10" spans="2:15" ht="9.75" customHeight="1" x14ac:dyDescent="0.25">
      <c r="D10" s="473"/>
      <c r="E10" s="474"/>
      <c r="F10" s="474"/>
      <c r="O10" s="468"/>
    </row>
    <row r="11" spans="2:15" ht="20.25" x14ac:dyDescent="0.25">
      <c r="B11" s="1112" t="s">
        <v>988</v>
      </c>
      <c r="C11" s="1112"/>
      <c r="D11" s="1112"/>
      <c r="E11" s="1112"/>
      <c r="F11" s="1112"/>
      <c r="O11" s="468"/>
    </row>
    <row r="12" spans="2:15" ht="9.75" customHeight="1" x14ac:dyDescent="0.25">
      <c r="B12" s="466"/>
      <c r="D12" s="468"/>
    </row>
    <row r="13" spans="2:15" x14ac:dyDescent="0.25">
      <c r="B13" s="475" t="s">
        <v>479</v>
      </c>
      <c r="C13" s="463" t="s">
        <v>474</v>
      </c>
      <c r="D13" s="488" t="s">
        <v>749</v>
      </c>
      <c r="E13" s="579"/>
      <c r="F13" s="580"/>
    </row>
    <row r="14" spans="2:15" x14ac:dyDescent="0.25">
      <c r="B14" s="475" t="s">
        <v>471</v>
      </c>
      <c r="C14" s="463" t="s">
        <v>474</v>
      </c>
      <c r="D14" s="488">
        <v>20510413301</v>
      </c>
      <c r="E14" s="579"/>
      <c r="F14" s="580"/>
    </row>
    <row r="15" spans="2:15" x14ac:dyDescent="0.25">
      <c r="B15" s="475" t="s">
        <v>472</v>
      </c>
      <c r="C15" s="463" t="s">
        <v>474</v>
      </c>
      <c r="D15" s="488" t="s">
        <v>750</v>
      </c>
      <c r="E15" s="579"/>
      <c r="F15" s="580"/>
    </row>
    <row r="16" spans="2:15" x14ac:dyDescent="0.25">
      <c r="B16" s="475" t="s">
        <v>480</v>
      </c>
      <c r="C16" s="463" t="s">
        <v>474</v>
      </c>
      <c r="D16" s="581" t="s">
        <v>543</v>
      </c>
      <c r="E16" s="579"/>
      <c r="F16" s="580"/>
    </row>
    <row r="17" spans="2:17" ht="50.25" customHeight="1" x14ac:dyDescent="0.25">
      <c r="B17" s="475" t="s">
        <v>473</v>
      </c>
      <c r="C17" s="463" t="s">
        <v>474</v>
      </c>
      <c r="D17" s="1111" t="s">
        <v>751</v>
      </c>
      <c r="E17" s="1111"/>
      <c r="F17" s="1111"/>
      <c r="H17" s="465"/>
      <c r="I17" s="465"/>
      <c r="J17" s="978"/>
      <c r="K17" s="464"/>
    </row>
    <row r="18" spans="2:17" ht="9" customHeight="1" x14ac:dyDescent="0.25">
      <c r="C18" s="468"/>
      <c r="E18" s="476"/>
      <c r="H18" s="465"/>
      <c r="I18" s="465"/>
      <c r="J18" s="978"/>
      <c r="K18" s="464"/>
    </row>
    <row r="19" spans="2:17" x14ac:dyDescent="0.25">
      <c r="B19" s="468" t="s">
        <v>18</v>
      </c>
      <c r="E19" s="476"/>
      <c r="H19" s="465"/>
      <c r="O19" s="468"/>
    </row>
    <row r="20" spans="2:17" x14ac:dyDescent="0.25">
      <c r="B20" s="468" t="s">
        <v>19</v>
      </c>
      <c r="E20" s="476"/>
      <c r="H20" s="465"/>
      <c r="O20" s="468"/>
    </row>
    <row r="21" spans="2:17" ht="9" customHeight="1" x14ac:dyDescent="0.25">
      <c r="E21" s="476"/>
      <c r="H21" s="465"/>
      <c r="I21" s="465"/>
      <c r="J21" s="978"/>
      <c r="K21" s="464"/>
      <c r="O21" s="585"/>
    </row>
    <row r="22" spans="2:17" s="463" customFormat="1" x14ac:dyDescent="0.2">
      <c r="B22" s="1091" t="s">
        <v>6</v>
      </c>
      <c r="C22" s="1091" t="s">
        <v>0</v>
      </c>
      <c r="D22" s="1091" t="s">
        <v>8</v>
      </c>
      <c r="E22" s="515" t="s">
        <v>450</v>
      </c>
      <c r="F22" s="572" t="s">
        <v>1</v>
      </c>
      <c r="G22" s="572" t="s">
        <v>791</v>
      </c>
      <c r="H22" s="465"/>
      <c r="I22" s="477"/>
      <c r="J22" s="925"/>
      <c r="K22" s="477"/>
      <c r="O22" s="586"/>
      <c r="Q22" s="465"/>
    </row>
    <row r="23" spans="2:17" s="463" customFormat="1" x14ac:dyDescent="0.2">
      <c r="B23" s="1092"/>
      <c r="C23" s="1092"/>
      <c r="D23" s="1092"/>
      <c r="E23" s="571" t="s">
        <v>23</v>
      </c>
      <c r="F23" s="534" t="s">
        <v>23</v>
      </c>
      <c r="G23" s="534" t="s">
        <v>792</v>
      </c>
      <c r="H23" s="465"/>
      <c r="I23" s="477"/>
      <c r="J23" s="925"/>
      <c r="K23" s="477"/>
      <c r="O23" s="586"/>
      <c r="Q23" s="465"/>
    </row>
    <row r="24" spans="2:17" x14ac:dyDescent="0.25">
      <c r="B24" s="564">
        <v>1</v>
      </c>
      <c r="C24" s="752"/>
      <c r="D24" s="535" t="s">
        <v>820</v>
      </c>
      <c r="E24" s="481"/>
      <c r="F24" s="481"/>
      <c r="G24" s="561"/>
      <c r="H24" s="465"/>
      <c r="I24" s="477"/>
      <c r="K24" s="539"/>
    </row>
    <row r="25" spans="2:17" x14ac:dyDescent="0.25">
      <c r="B25" s="479">
        <f>+B24+0.01</f>
        <v>1.01</v>
      </c>
      <c r="C25" s="752">
        <v>8</v>
      </c>
      <c r="D25" s="578" t="s">
        <v>821</v>
      </c>
      <c r="E25" s="481">
        <f>+E169</f>
        <v>8840.0855833333335</v>
      </c>
      <c r="F25" s="481">
        <f t="shared" ref="F25:F31" si="0">ROUND(E25*C25,2)</f>
        <v>70720.679999999993</v>
      </c>
      <c r="G25" s="561" t="s">
        <v>790</v>
      </c>
      <c r="H25" s="465"/>
      <c r="I25" s="477"/>
      <c r="K25" s="539"/>
    </row>
    <row r="26" spans="2:17" x14ac:dyDescent="0.25">
      <c r="B26" s="479">
        <f>+B25+0.01</f>
        <v>1.02</v>
      </c>
      <c r="C26" s="752">
        <v>3</v>
      </c>
      <c r="D26" s="578" t="s">
        <v>822</v>
      </c>
      <c r="E26" s="481">
        <f>+E185</f>
        <v>16892.448083333333</v>
      </c>
      <c r="F26" s="481">
        <f t="shared" si="0"/>
        <v>50677.34</v>
      </c>
      <c r="G26" s="561" t="s">
        <v>790</v>
      </c>
      <c r="H26" s="465"/>
      <c r="I26" s="477"/>
      <c r="K26" s="539"/>
    </row>
    <row r="27" spans="2:17" x14ac:dyDescent="0.25">
      <c r="B27" s="479">
        <f t="shared" ref="B27:B31" si="1">+B26+0.01</f>
        <v>1.03</v>
      </c>
      <c r="C27" s="752">
        <v>5</v>
      </c>
      <c r="D27" s="578" t="s">
        <v>823</v>
      </c>
      <c r="E27" s="481">
        <f>+E201</f>
        <v>24944.810583333332</v>
      </c>
      <c r="F27" s="481">
        <f t="shared" si="0"/>
        <v>124724.05</v>
      </c>
      <c r="G27" s="561" t="s">
        <v>790</v>
      </c>
      <c r="H27" s="465"/>
      <c r="I27" s="477"/>
      <c r="K27" s="539"/>
    </row>
    <row r="28" spans="2:17" x14ac:dyDescent="0.25">
      <c r="B28" s="479">
        <f t="shared" si="1"/>
        <v>1.04</v>
      </c>
      <c r="C28" s="752">
        <v>23</v>
      </c>
      <c r="D28" s="578" t="s">
        <v>824</v>
      </c>
      <c r="E28" s="481">
        <f>+E217</f>
        <v>32997.173083333335</v>
      </c>
      <c r="F28" s="481">
        <f t="shared" si="0"/>
        <v>758934.98</v>
      </c>
      <c r="G28" s="561" t="s">
        <v>790</v>
      </c>
      <c r="H28" s="465"/>
      <c r="I28" s="477"/>
      <c r="K28" s="539"/>
    </row>
    <row r="29" spans="2:17" x14ac:dyDescent="0.25">
      <c r="B29" s="479">
        <f t="shared" si="1"/>
        <v>1.05</v>
      </c>
      <c r="C29" s="752">
        <v>8</v>
      </c>
      <c r="D29" s="578" t="s">
        <v>825</v>
      </c>
      <c r="E29" s="481">
        <f>+E233</f>
        <v>41059.285583333331</v>
      </c>
      <c r="F29" s="481">
        <f t="shared" si="0"/>
        <v>328474.28000000003</v>
      </c>
      <c r="G29" s="561" t="s">
        <v>790</v>
      </c>
      <c r="H29" s="465"/>
      <c r="I29" s="477"/>
      <c r="K29" s="539"/>
    </row>
    <row r="30" spans="2:17" x14ac:dyDescent="0.25">
      <c r="B30" s="479">
        <f t="shared" si="1"/>
        <v>1.06</v>
      </c>
      <c r="C30" s="752">
        <v>5</v>
      </c>
      <c r="D30" s="578" t="s">
        <v>826</v>
      </c>
      <c r="E30" s="481">
        <f>+E249</f>
        <v>49111.648083333333</v>
      </c>
      <c r="F30" s="481">
        <f t="shared" si="0"/>
        <v>245558.24</v>
      </c>
      <c r="G30" s="561" t="s">
        <v>790</v>
      </c>
      <c r="H30" s="465"/>
      <c r="I30" s="477"/>
      <c r="K30" s="539"/>
    </row>
    <row r="31" spans="2:17" x14ac:dyDescent="0.25">
      <c r="B31" s="479">
        <f t="shared" si="1"/>
        <v>1.07</v>
      </c>
      <c r="C31" s="752">
        <v>3</v>
      </c>
      <c r="D31" s="578" t="s">
        <v>827</v>
      </c>
      <c r="E31" s="481">
        <f>+E265</f>
        <v>57164.010583333336</v>
      </c>
      <c r="F31" s="481">
        <f t="shared" si="0"/>
        <v>171492.03</v>
      </c>
      <c r="G31" s="561" t="s">
        <v>790</v>
      </c>
      <c r="H31" s="465"/>
      <c r="I31" s="477"/>
      <c r="K31" s="539"/>
    </row>
    <row r="32" spans="2:17" s="463" customFormat="1" x14ac:dyDescent="0.2">
      <c r="B32" s="564">
        <v>2</v>
      </c>
      <c r="C32" s="480"/>
      <c r="D32" s="535" t="s">
        <v>748</v>
      </c>
      <c r="E32" s="481"/>
      <c r="F32" s="481"/>
      <c r="G32" s="561"/>
      <c r="H32" s="465"/>
      <c r="I32" s="477"/>
      <c r="J32" s="925"/>
      <c r="K32" s="477"/>
      <c r="O32" s="478"/>
      <c r="Q32" s="465"/>
    </row>
    <row r="33" spans="2:17" s="463" customFormat="1" ht="31.5" x14ac:dyDescent="0.2">
      <c r="B33" s="479">
        <f>+B32+0.01</f>
        <v>2.0099999999999998</v>
      </c>
      <c r="C33" s="480">
        <v>1</v>
      </c>
      <c r="D33" s="578" t="s">
        <v>562</v>
      </c>
      <c r="E33" s="481">
        <f>ROUND(E282,2)</f>
        <v>28502.75</v>
      </c>
      <c r="F33" s="481">
        <f>ROUND(E33*C33,2)</f>
        <v>28502.75</v>
      </c>
      <c r="G33" s="561" t="s">
        <v>790</v>
      </c>
      <c r="H33" s="465"/>
      <c r="I33" s="477"/>
      <c r="J33" s="925"/>
      <c r="K33" s="477"/>
      <c r="O33" s="478"/>
      <c r="Q33" s="465"/>
    </row>
    <row r="34" spans="2:17" s="463" customFormat="1" ht="31.5" x14ac:dyDescent="0.2">
      <c r="B34" s="479">
        <f>+B33+0.01</f>
        <v>2.0199999999999996</v>
      </c>
      <c r="C34" s="480">
        <v>1</v>
      </c>
      <c r="D34" s="578" t="s">
        <v>563</v>
      </c>
      <c r="E34" s="481">
        <f>ROUND(E299,2)</f>
        <v>36542.269999999997</v>
      </c>
      <c r="F34" s="481">
        <f>ROUND(E34*C34,2)</f>
        <v>36542.269999999997</v>
      </c>
      <c r="G34" s="561" t="s">
        <v>790</v>
      </c>
      <c r="H34" s="465"/>
      <c r="I34" s="477"/>
      <c r="J34" s="925"/>
      <c r="K34" s="477"/>
      <c r="O34" s="478"/>
      <c r="Q34" s="465"/>
    </row>
    <row r="35" spans="2:17" ht="31.5" x14ac:dyDescent="0.25">
      <c r="B35" s="564">
        <v>3</v>
      </c>
      <c r="C35" s="480"/>
      <c r="D35" s="535" t="s">
        <v>714</v>
      </c>
      <c r="E35" s="481"/>
      <c r="F35" s="481"/>
      <c r="G35" s="561"/>
      <c r="H35" s="465"/>
      <c r="I35" s="477"/>
      <c r="K35" s="539"/>
    </row>
    <row r="36" spans="2:17" x14ac:dyDescent="0.25">
      <c r="B36" s="563">
        <f>+B35+0.01</f>
        <v>3.01</v>
      </c>
      <c r="C36" s="480">
        <v>4</v>
      </c>
      <c r="D36" s="578" t="s">
        <v>989</v>
      </c>
      <c r="E36" s="481">
        <f>ROUND(E316,2)</f>
        <v>1225.2</v>
      </c>
      <c r="F36" s="481">
        <f t="shared" ref="F36:F41" si="2">ROUND(E36*C36,2)</f>
        <v>4900.8</v>
      </c>
      <c r="G36" s="561" t="s">
        <v>793</v>
      </c>
      <c r="H36" s="465"/>
      <c r="I36" s="477"/>
      <c r="K36" s="539"/>
    </row>
    <row r="37" spans="2:17" x14ac:dyDescent="0.25">
      <c r="B37" s="563">
        <f>+B36+0.01</f>
        <v>3.0199999999999996</v>
      </c>
      <c r="C37" s="480">
        <v>2</v>
      </c>
      <c r="D37" s="578" t="s">
        <v>990</v>
      </c>
      <c r="E37" s="481">
        <f>ROUND(E345,2)</f>
        <v>1215.5999999999999</v>
      </c>
      <c r="F37" s="481">
        <f t="shared" si="2"/>
        <v>2431.1999999999998</v>
      </c>
      <c r="G37" s="561" t="s">
        <v>793</v>
      </c>
      <c r="H37" s="465"/>
      <c r="I37" s="477"/>
      <c r="K37" s="539"/>
    </row>
    <row r="38" spans="2:17" x14ac:dyDescent="0.25">
      <c r="B38" s="563">
        <f t="shared" ref="B38:B66" si="3">+B37+0.01</f>
        <v>3.0299999999999994</v>
      </c>
      <c r="C38" s="480">
        <v>1</v>
      </c>
      <c r="D38" s="578" t="s">
        <v>991</v>
      </c>
      <c r="E38" s="481">
        <f>ROUND(E372,2)</f>
        <v>1210.8</v>
      </c>
      <c r="F38" s="481">
        <f t="shared" si="2"/>
        <v>1210.8</v>
      </c>
      <c r="G38" s="561" t="s">
        <v>793</v>
      </c>
      <c r="H38" s="465"/>
      <c r="I38" s="477"/>
      <c r="K38" s="539"/>
    </row>
    <row r="39" spans="2:17" x14ac:dyDescent="0.25">
      <c r="B39" s="563">
        <f t="shared" si="3"/>
        <v>3.0399999999999991</v>
      </c>
      <c r="C39" s="480">
        <v>1</v>
      </c>
      <c r="D39" s="578" t="s">
        <v>992</v>
      </c>
      <c r="E39" s="481">
        <f>ROUND(E399,2)</f>
        <v>1220.4000000000001</v>
      </c>
      <c r="F39" s="481">
        <f t="shared" si="2"/>
        <v>1220.4000000000001</v>
      </c>
      <c r="G39" s="561" t="s">
        <v>793</v>
      </c>
      <c r="H39" s="465"/>
      <c r="I39" s="477"/>
      <c r="K39" s="539"/>
    </row>
    <row r="40" spans="2:17" x14ac:dyDescent="0.25">
      <c r="B40" s="563">
        <f>+B39+0.01</f>
        <v>3.0499999999999989</v>
      </c>
      <c r="C40" s="480">
        <v>2</v>
      </c>
      <c r="D40" s="578" t="s">
        <v>993</v>
      </c>
      <c r="E40" s="481">
        <f>ROUND(E426,2)</f>
        <v>2125.1999999999998</v>
      </c>
      <c r="F40" s="481">
        <f t="shared" si="2"/>
        <v>4250.3999999999996</v>
      </c>
      <c r="G40" s="561" t="s">
        <v>793</v>
      </c>
      <c r="H40" s="465"/>
      <c r="I40" s="477"/>
      <c r="K40" s="539"/>
    </row>
    <row r="41" spans="2:17" x14ac:dyDescent="0.25">
      <c r="B41" s="563">
        <f t="shared" si="3"/>
        <v>3.0599999999999987</v>
      </c>
      <c r="C41" s="480">
        <v>3</v>
      </c>
      <c r="D41" s="578" t="s">
        <v>994</v>
      </c>
      <c r="E41" s="481">
        <f>ROUND(E453,2)</f>
        <v>1337.3</v>
      </c>
      <c r="F41" s="481">
        <f t="shared" si="2"/>
        <v>4011.9</v>
      </c>
      <c r="G41" s="561" t="s">
        <v>793</v>
      </c>
      <c r="H41" s="465"/>
      <c r="I41" s="477"/>
      <c r="K41" s="539"/>
    </row>
    <row r="42" spans="2:17" x14ac:dyDescent="0.25">
      <c r="B42" s="563">
        <f t="shared" si="3"/>
        <v>3.0699999999999985</v>
      </c>
      <c r="C42" s="480">
        <v>3</v>
      </c>
      <c r="D42" s="578" t="s">
        <v>995</v>
      </c>
      <c r="E42" s="481">
        <f>ROUND(E477,2)</f>
        <v>2576.2600000000002</v>
      </c>
      <c r="F42" s="481">
        <f t="shared" ref="F42:F66" si="4">ROUND(E42*C42,2)</f>
        <v>7728.78</v>
      </c>
      <c r="G42" s="561" t="s">
        <v>793</v>
      </c>
      <c r="H42" s="465"/>
      <c r="I42" s="477"/>
      <c r="K42" s="539"/>
    </row>
    <row r="43" spans="2:17" x14ac:dyDescent="0.25">
      <c r="B43" s="563">
        <f t="shared" si="3"/>
        <v>3.0799999999999983</v>
      </c>
      <c r="C43" s="480">
        <v>1</v>
      </c>
      <c r="D43" s="578" t="s">
        <v>996</v>
      </c>
      <c r="E43" s="481">
        <f>ROUND(E502,2)</f>
        <v>2146.8000000000002</v>
      </c>
      <c r="F43" s="481">
        <f t="shared" si="4"/>
        <v>2146.8000000000002</v>
      </c>
      <c r="G43" s="561" t="s">
        <v>793</v>
      </c>
      <c r="H43" s="465"/>
      <c r="I43" s="477"/>
      <c r="K43" s="539"/>
    </row>
    <row r="44" spans="2:17" x14ac:dyDescent="0.25">
      <c r="B44" s="563">
        <f>+B43+0.01</f>
        <v>3.0899999999999981</v>
      </c>
      <c r="C44" s="480">
        <v>3</v>
      </c>
      <c r="D44" s="578" t="s">
        <v>997</v>
      </c>
      <c r="E44" s="481">
        <f>ROUND(E530,2)</f>
        <v>3139.2</v>
      </c>
      <c r="F44" s="481">
        <f t="shared" si="4"/>
        <v>9417.6</v>
      </c>
      <c r="G44" s="561" t="s">
        <v>793</v>
      </c>
      <c r="H44" s="465"/>
      <c r="I44" s="477"/>
      <c r="K44" s="539"/>
    </row>
    <row r="45" spans="2:17" x14ac:dyDescent="0.25">
      <c r="B45" s="563">
        <f t="shared" si="3"/>
        <v>3.0999999999999979</v>
      </c>
      <c r="C45" s="480">
        <v>1</v>
      </c>
      <c r="D45" s="578" t="s">
        <v>998</v>
      </c>
      <c r="E45" s="481">
        <f>+E530</f>
        <v>3139.2</v>
      </c>
      <c r="F45" s="481">
        <f t="shared" si="4"/>
        <v>3139.2</v>
      </c>
      <c r="G45" s="561" t="s">
        <v>793</v>
      </c>
      <c r="H45" s="465"/>
      <c r="I45" s="477"/>
      <c r="K45" s="539"/>
    </row>
    <row r="46" spans="2:17" x14ac:dyDescent="0.25">
      <c r="B46" s="563">
        <f t="shared" si="3"/>
        <v>3.1099999999999977</v>
      </c>
      <c r="C46" s="480">
        <v>2</v>
      </c>
      <c r="D46" s="578" t="s">
        <v>999</v>
      </c>
      <c r="E46" s="481">
        <f>ROUND(E587,2)</f>
        <v>4165.2</v>
      </c>
      <c r="F46" s="481">
        <f t="shared" si="4"/>
        <v>8330.4</v>
      </c>
      <c r="G46" s="561" t="s">
        <v>793</v>
      </c>
      <c r="H46" s="465"/>
      <c r="I46" s="477"/>
      <c r="K46" s="539"/>
    </row>
    <row r="47" spans="2:17" x14ac:dyDescent="0.25">
      <c r="B47" s="563">
        <f t="shared" si="3"/>
        <v>3.1199999999999974</v>
      </c>
      <c r="C47" s="480">
        <v>2</v>
      </c>
      <c r="D47" s="578" t="s">
        <v>1000</v>
      </c>
      <c r="E47" s="481">
        <f>ROUND(E615,2)</f>
        <v>4165.2</v>
      </c>
      <c r="F47" s="481">
        <f t="shared" si="4"/>
        <v>8330.4</v>
      </c>
      <c r="G47" s="561" t="s">
        <v>793</v>
      </c>
      <c r="H47" s="465"/>
      <c r="I47" s="477"/>
      <c r="K47" s="539"/>
    </row>
    <row r="48" spans="2:17" x14ac:dyDescent="0.25">
      <c r="B48" s="563">
        <f>+B47+0.01</f>
        <v>3.1299999999999972</v>
      </c>
      <c r="C48" s="480">
        <v>3</v>
      </c>
      <c r="D48" s="578" t="s">
        <v>1001</v>
      </c>
      <c r="E48" s="481">
        <f>ROUND(E642,2)</f>
        <v>5110.8</v>
      </c>
      <c r="F48" s="481">
        <f t="shared" si="4"/>
        <v>15332.4</v>
      </c>
      <c r="G48" s="561" t="s">
        <v>793</v>
      </c>
      <c r="H48" s="465"/>
      <c r="I48" s="477"/>
      <c r="K48" s="539"/>
    </row>
    <row r="49" spans="2:11" x14ac:dyDescent="0.25">
      <c r="B49" s="563">
        <f t="shared" si="3"/>
        <v>3.139999999999997</v>
      </c>
      <c r="C49" s="480">
        <v>1</v>
      </c>
      <c r="D49" s="578" t="s">
        <v>1002</v>
      </c>
      <c r="E49" s="481">
        <f>ROUND(E670,2)</f>
        <v>5110.8</v>
      </c>
      <c r="F49" s="481">
        <f t="shared" si="4"/>
        <v>5110.8</v>
      </c>
      <c r="G49" s="561" t="s">
        <v>793</v>
      </c>
      <c r="H49" s="465"/>
      <c r="I49" s="477"/>
      <c r="K49" s="539"/>
    </row>
    <row r="50" spans="2:11" x14ac:dyDescent="0.25">
      <c r="B50" s="563">
        <f t="shared" si="3"/>
        <v>3.1499999999999968</v>
      </c>
      <c r="C50" s="480">
        <v>4</v>
      </c>
      <c r="D50" s="578" t="s">
        <v>1003</v>
      </c>
      <c r="E50" s="481">
        <f>ROUND(E699,2)</f>
        <v>5110.8</v>
      </c>
      <c r="F50" s="481">
        <f t="shared" si="4"/>
        <v>20443.2</v>
      </c>
      <c r="G50" s="561" t="s">
        <v>793</v>
      </c>
      <c r="H50" s="465"/>
      <c r="I50" s="477"/>
      <c r="K50" s="539"/>
    </row>
    <row r="51" spans="2:11" x14ac:dyDescent="0.25">
      <c r="B51" s="563">
        <f t="shared" si="3"/>
        <v>3.1599999999999966</v>
      </c>
      <c r="C51" s="480">
        <v>5</v>
      </c>
      <c r="D51" s="578" t="s">
        <v>1004</v>
      </c>
      <c r="E51" s="481">
        <f>ROUND(E727,2)</f>
        <v>5961.6</v>
      </c>
      <c r="F51" s="481">
        <f t="shared" si="4"/>
        <v>29808</v>
      </c>
      <c r="G51" s="561" t="s">
        <v>793</v>
      </c>
      <c r="H51" s="465"/>
      <c r="I51" s="477"/>
      <c r="K51" s="539"/>
    </row>
    <row r="52" spans="2:11" x14ac:dyDescent="0.25">
      <c r="B52" s="563">
        <f t="shared" si="3"/>
        <v>3.1699999999999964</v>
      </c>
      <c r="C52" s="480">
        <v>1</v>
      </c>
      <c r="D52" s="578" t="s">
        <v>1005</v>
      </c>
      <c r="E52" s="481">
        <f>+E755</f>
        <v>6978</v>
      </c>
      <c r="F52" s="481">
        <f t="shared" si="4"/>
        <v>6978</v>
      </c>
      <c r="G52" s="561" t="s">
        <v>793</v>
      </c>
      <c r="H52" s="465"/>
      <c r="I52" s="477"/>
      <c r="K52" s="539"/>
    </row>
    <row r="53" spans="2:11" x14ac:dyDescent="0.25">
      <c r="B53" s="563">
        <f t="shared" si="3"/>
        <v>3.1799999999999962</v>
      </c>
      <c r="C53" s="480">
        <v>2</v>
      </c>
      <c r="D53" s="578" t="s">
        <v>1006</v>
      </c>
      <c r="E53" s="481">
        <f>+E782</f>
        <v>6978</v>
      </c>
      <c r="F53" s="481">
        <f t="shared" si="4"/>
        <v>13956</v>
      </c>
      <c r="G53" s="561" t="s">
        <v>793</v>
      </c>
      <c r="H53" s="465"/>
      <c r="I53" s="477"/>
      <c r="K53" s="539"/>
    </row>
    <row r="54" spans="2:11" x14ac:dyDescent="0.25">
      <c r="B54" s="563">
        <f t="shared" si="3"/>
        <v>3.1899999999999959</v>
      </c>
      <c r="C54" s="480">
        <v>1</v>
      </c>
      <c r="D54" s="578" t="s">
        <v>1007</v>
      </c>
      <c r="E54" s="481">
        <f>+E809</f>
        <v>3064.8</v>
      </c>
      <c r="F54" s="481">
        <f t="shared" si="4"/>
        <v>3064.8</v>
      </c>
      <c r="G54" s="561" t="s">
        <v>793</v>
      </c>
      <c r="H54" s="465"/>
      <c r="I54" s="477"/>
      <c r="K54" s="539"/>
    </row>
    <row r="55" spans="2:11" ht="31.5" x14ac:dyDescent="0.25">
      <c r="B55" s="563">
        <f>+B54+0.01</f>
        <v>3.1999999999999957</v>
      </c>
      <c r="C55" s="480">
        <v>1</v>
      </c>
      <c r="D55" s="578" t="s">
        <v>1008</v>
      </c>
      <c r="E55" s="481">
        <f>ROUND(E836,2)</f>
        <v>321.60000000000002</v>
      </c>
      <c r="F55" s="481">
        <f t="shared" si="4"/>
        <v>321.60000000000002</v>
      </c>
      <c r="G55" s="561" t="s">
        <v>793</v>
      </c>
      <c r="H55" s="465"/>
      <c r="I55" s="477"/>
      <c r="K55" s="539"/>
    </row>
    <row r="56" spans="2:11" ht="31.5" x14ac:dyDescent="0.25">
      <c r="B56" s="563">
        <f t="shared" si="3"/>
        <v>3.2099999999999955</v>
      </c>
      <c r="C56" s="480">
        <v>1</v>
      </c>
      <c r="D56" s="578" t="s">
        <v>1009</v>
      </c>
      <c r="E56" s="481">
        <f>ROUND(E856,2)</f>
        <v>4174.8</v>
      </c>
      <c r="F56" s="481">
        <f t="shared" si="4"/>
        <v>4174.8</v>
      </c>
      <c r="G56" s="561" t="s">
        <v>793</v>
      </c>
      <c r="H56" s="465"/>
      <c r="I56" s="477"/>
      <c r="K56" s="539"/>
    </row>
    <row r="57" spans="2:11" ht="31.5" x14ac:dyDescent="0.25">
      <c r="B57" s="563">
        <f t="shared" si="3"/>
        <v>3.2199999999999953</v>
      </c>
      <c r="C57" s="480">
        <v>1</v>
      </c>
      <c r="D57" s="578" t="s">
        <v>1010</v>
      </c>
      <c r="E57" s="481">
        <f>ROUND(E883,2)</f>
        <v>321.60000000000002</v>
      </c>
      <c r="F57" s="481">
        <f t="shared" si="4"/>
        <v>321.60000000000002</v>
      </c>
      <c r="G57" s="561" t="s">
        <v>793</v>
      </c>
      <c r="H57" s="465"/>
      <c r="I57" s="477"/>
      <c r="K57" s="539"/>
    </row>
    <row r="58" spans="2:11" ht="31.5" x14ac:dyDescent="0.25">
      <c r="B58" s="563">
        <f t="shared" si="3"/>
        <v>3.2299999999999951</v>
      </c>
      <c r="C58" s="480">
        <v>1</v>
      </c>
      <c r="D58" s="578" t="s">
        <v>1011</v>
      </c>
      <c r="E58" s="481">
        <f>ROUND(E903,2)</f>
        <v>4150.8</v>
      </c>
      <c r="F58" s="481">
        <f t="shared" si="4"/>
        <v>4150.8</v>
      </c>
      <c r="G58" s="561" t="s">
        <v>793</v>
      </c>
      <c r="H58" s="465"/>
      <c r="I58" s="477"/>
      <c r="K58" s="539"/>
    </row>
    <row r="59" spans="2:11" ht="31.5" x14ac:dyDescent="0.25">
      <c r="B59" s="563">
        <f t="shared" si="3"/>
        <v>3.2399999999999949</v>
      </c>
      <c r="C59" s="480">
        <v>1</v>
      </c>
      <c r="D59" s="578" t="s">
        <v>1012</v>
      </c>
      <c r="E59" s="481">
        <f>ROUND(E930,2)</f>
        <v>321.60000000000002</v>
      </c>
      <c r="F59" s="481">
        <f t="shared" si="4"/>
        <v>321.60000000000002</v>
      </c>
      <c r="G59" s="561" t="s">
        <v>793</v>
      </c>
      <c r="H59" s="465"/>
      <c r="I59" s="477"/>
      <c r="K59" s="539"/>
    </row>
    <row r="60" spans="2:11" ht="31.5" x14ac:dyDescent="0.25">
      <c r="B60" s="563">
        <f t="shared" si="3"/>
        <v>3.2499999999999947</v>
      </c>
      <c r="C60" s="480">
        <v>1</v>
      </c>
      <c r="D60" s="578" t="s">
        <v>1013</v>
      </c>
      <c r="E60" s="481">
        <f>ROUND(E950,2)</f>
        <v>4150.8</v>
      </c>
      <c r="F60" s="481">
        <f t="shared" si="4"/>
        <v>4150.8</v>
      </c>
      <c r="G60" s="561" t="s">
        <v>793</v>
      </c>
      <c r="H60" s="465"/>
      <c r="I60" s="477"/>
      <c r="K60" s="539"/>
    </row>
    <row r="61" spans="2:11" ht="31.5" x14ac:dyDescent="0.25">
      <c r="B61" s="563">
        <f t="shared" si="3"/>
        <v>3.2599999999999945</v>
      </c>
      <c r="C61" s="480">
        <v>1</v>
      </c>
      <c r="D61" s="578" t="s">
        <v>1014</v>
      </c>
      <c r="E61" s="481">
        <f>ROUND(E977,2)</f>
        <v>321.60000000000002</v>
      </c>
      <c r="F61" s="481">
        <f t="shared" si="4"/>
        <v>321.60000000000002</v>
      </c>
      <c r="G61" s="561" t="s">
        <v>793</v>
      </c>
      <c r="H61" s="465"/>
      <c r="I61" s="477"/>
      <c r="K61" s="539"/>
    </row>
    <row r="62" spans="2:11" ht="31.5" x14ac:dyDescent="0.25">
      <c r="B62" s="563">
        <f t="shared" si="3"/>
        <v>3.2699999999999942</v>
      </c>
      <c r="C62" s="480">
        <v>1</v>
      </c>
      <c r="D62" s="578" t="s">
        <v>1015</v>
      </c>
      <c r="E62" s="481">
        <f>ROUND(E997,2)</f>
        <v>4150.8</v>
      </c>
      <c r="F62" s="481">
        <f t="shared" si="4"/>
        <v>4150.8</v>
      </c>
      <c r="G62" s="561" t="s">
        <v>793</v>
      </c>
      <c r="H62" s="465"/>
      <c r="I62" s="477"/>
      <c r="K62" s="539"/>
    </row>
    <row r="63" spans="2:11" ht="31.5" x14ac:dyDescent="0.25">
      <c r="B63" s="563">
        <f t="shared" si="3"/>
        <v>3.279999999999994</v>
      </c>
      <c r="C63" s="480">
        <v>1</v>
      </c>
      <c r="D63" s="578" t="s">
        <v>1016</v>
      </c>
      <c r="E63" s="481">
        <f>ROUND(E1024,2)</f>
        <v>321.60000000000002</v>
      </c>
      <c r="F63" s="481">
        <f t="shared" si="4"/>
        <v>321.60000000000002</v>
      </c>
      <c r="G63" s="561" t="s">
        <v>793</v>
      </c>
      <c r="H63" s="465"/>
      <c r="I63" s="477"/>
      <c r="K63" s="539"/>
    </row>
    <row r="64" spans="2:11" ht="31.5" x14ac:dyDescent="0.25">
      <c r="B64" s="563">
        <f t="shared" si="3"/>
        <v>3.2899999999999938</v>
      </c>
      <c r="C64" s="480">
        <v>1</v>
      </c>
      <c r="D64" s="578" t="s">
        <v>1017</v>
      </c>
      <c r="E64" s="481">
        <f>ROUND(E1044,2)</f>
        <v>4140</v>
      </c>
      <c r="F64" s="481">
        <f t="shared" si="4"/>
        <v>4140</v>
      </c>
      <c r="G64" s="561" t="s">
        <v>793</v>
      </c>
      <c r="H64" s="465"/>
      <c r="I64" s="477"/>
      <c r="K64" s="539"/>
    </row>
    <row r="65" spans="2:11" ht="31.5" x14ac:dyDescent="0.25">
      <c r="B65" s="563">
        <f t="shared" si="3"/>
        <v>3.2999999999999936</v>
      </c>
      <c r="C65" s="480">
        <v>1</v>
      </c>
      <c r="D65" s="578" t="s">
        <v>1018</v>
      </c>
      <c r="E65" s="481">
        <f>ROUND(E1071,2)</f>
        <v>321.60000000000002</v>
      </c>
      <c r="F65" s="481">
        <f t="shared" si="4"/>
        <v>321.60000000000002</v>
      </c>
      <c r="G65" s="561" t="s">
        <v>793</v>
      </c>
      <c r="H65" s="465"/>
      <c r="I65" s="477"/>
      <c r="K65" s="539"/>
    </row>
    <row r="66" spans="2:11" ht="31.5" x14ac:dyDescent="0.25">
      <c r="B66" s="563">
        <f t="shared" si="3"/>
        <v>3.3099999999999934</v>
      </c>
      <c r="C66" s="480">
        <v>1</v>
      </c>
      <c r="D66" s="578" t="s">
        <v>1019</v>
      </c>
      <c r="E66" s="481">
        <f>ROUND(E1091,2)</f>
        <v>4140</v>
      </c>
      <c r="F66" s="481">
        <f t="shared" si="4"/>
        <v>4140</v>
      </c>
      <c r="G66" s="561" t="s">
        <v>793</v>
      </c>
      <c r="H66" s="465"/>
      <c r="I66" s="477"/>
      <c r="K66" s="539"/>
    </row>
    <row r="67" spans="2:11" x14ac:dyDescent="0.25">
      <c r="B67" s="564">
        <v>4</v>
      </c>
      <c r="C67" s="480"/>
      <c r="D67" s="535" t="s">
        <v>789</v>
      </c>
      <c r="E67" s="481"/>
      <c r="F67" s="481"/>
      <c r="G67" s="477"/>
      <c r="H67" s="465"/>
      <c r="I67" s="477"/>
      <c r="K67" s="539"/>
    </row>
    <row r="68" spans="2:11" x14ac:dyDescent="0.25">
      <c r="B68" s="577">
        <f>+B67+0.01</f>
        <v>4.01</v>
      </c>
      <c r="C68" s="480">
        <v>4</v>
      </c>
      <c r="D68" s="578" t="s">
        <v>717</v>
      </c>
      <c r="E68" s="481">
        <f>+E1118</f>
        <v>562.79999999999995</v>
      </c>
      <c r="F68" s="481">
        <f>ROUND(E68*C68,2)</f>
        <v>2251.1999999999998</v>
      </c>
      <c r="G68" s="477"/>
      <c r="H68" s="465"/>
      <c r="I68" s="477"/>
      <c r="K68" s="539"/>
    </row>
    <row r="69" spans="2:11" x14ac:dyDescent="0.25">
      <c r="B69" s="577">
        <f>+B68+0.01</f>
        <v>4.0199999999999996</v>
      </c>
      <c r="C69" s="480">
        <v>2</v>
      </c>
      <c r="D69" s="578" t="s">
        <v>718</v>
      </c>
      <c r="E69" s="481">
        <f>+E1138</f>
        <v>860.4</v>
      </c>
      <c r="F69" s="481">
        <f t="shared" ref="F69:F98" si="5">ROUND(E69*C69,2)</f>
        <v>1720.8</v>
      </c>
      <c r="G69" s="477"/>
      <c r="H69" s="465"/>
      <c r="I69" s="477"/>
      <c r="K69" s="539"/>
    </row>
    <row r="70" spans="2:11" x14ac:dyDescent="0.25">
      <c r="B70" s="577">
        <f t="shared" ref="B70:B98" si="6">+B69+0.01</f>
        <v>4.0299999999999994</v>
      </c>
      <c r="C70" s="480">
        <v>1</v>
      </c>
      <c r="D70" s="578" t="s">
        <v>719</v>
      </c>
      <c r="E70" s="481">
        <f>+E1158</f>
        <v>548.4</v>
      </c>
      <c r="F70" s="481">
        <f t="shared" si="5"/>
        <v>548.4</v>
      </c>
      <c r="G70" s="477"/>
      <c r="H70" s="465"/>
      <c r="I70" s="477"/>
      <c r="K70" s="539"/>
    </row>
    <row r="71" spans="2:11" x14ac:dyDescent="0.25">
      <c r="B71" s="577">
        <f t="shared" si="6"/>
        <v>4.0399999999999991</v>
      </c>
      <c r="C71" s="480">
        <v>1</v>
      </c>
      <c r="D71" s="578" t="s">
        <v>720</v>
      </c>
      <c r="E71" s="481">
        <f>+E1178</f>
        <v>565.20000000000005</v>
      </c>
      <c r="F71" s="481">
        <f t="shared" si="5"/>
        <v>565.20000000000005</v>
      </c>
      <c r="G71" s="477"/>
      <c r="H71" s="465"/>
      <c r="I71" s="477"/>
      <c r="K71" s="539"/>
    </row>
    <row r="72" spans="2:11" x14ac:dyDescent="0.25">
      <c r="B72" s="577">
        <f t="shared" si="6"/>
        <v>4.0499999999999989</v>
      </c>
      <c r="C72" s="480">
        <v>2</v>
      </c>
      <c r="D72" s="578" t="s">
        <v>721</v>
      </c>
      <c r="E72" s="481">
        <f>+E1198</f>
        <v>565.20000000000005</v>
      </c>
      <c r="F72" s="481">
        <f t="shared" si="5"/>
        <v>1130.4000000000001</v>
      </c>
      <c r="G72" s="477"/>
      <c r="H72" s="465"/>
      <c r="I72" s="477"/>
      <c r="K72" s="539"/>
    </row>
    <row r="73" spans="2:11" x14ac:dyDescent="0.25">
      <c r="B73" s="577">
        <f t="shared" si="6"/>
        <v>4.0599999999999987</v>
      </c>
      <c r="C73" s="480">
        <v>3</v>
      </c>
      <c r="D73" s="578" t="s">
        <v>722</v>
      </c>
      <c r="E73" s="481">
        <f>+E1218</f>
        <v>1478.4</v>
      </c>
      <c r="F73" s="481">
        <f t="shared" si="5"/>
        <v>4435.2</v>
      </c>
      <c r="G73" s="477"/>
      <c r="H73" s="465"/>
      <c r="I73" s="477"/>
      <c r="K73" s="539"/>
    </row>
    <row r="74" spans="2:11" x14ac:dyDescent="0.25">
      <c r="B74" s="577">
        <f t="shared" si="6"/>
        <v>4.0699999999999985</v>
      </c>
      <c r="C74" s="480">
        <v>3</v>
      </c>
      <c r="D74" s="578" t="s">
        <v>723</v>
      </c>
      <c r="E74" s="481">
        <f>+E1239</f>
        <v>1784.4</v>
      </c>
      <c r="F74" s="481">
        <f t="shared" si="5"/>
        <v>5353.2</v>
      </c>
      <c r="G74" s="477"/>
      <c r="H74" s="465"/>
      <c r="I74" s="477"/>
      <c r="K74" s="539"/>
    </row>
    <row r="75" spans="2:11" x14ac:dyDescent="0.25">
      <c r="B75" s="577">
        <f t="shared" si="6"/>
        <v>4.0799999999999983</v>
      </c>
      <c r="C75" s="480">
        <v>1</v>
      </c>
      <c r="D75" s="578" t="s">
        <v>724</v>
      </c>
      <c r="E75" s="481">
        <f>+E1260</f>
        <v>626.4</v>
      </c>
      <c r="F75" s="481">
        <f t="shared" si="5"/>
        <v>626.4</v>
      </c>
      <c r="G75" s="477"/>
      <c r="H75" s="465"/>
      <c r="I75" s="477"/>
      <c r="K75" s="539"/>
    </row>
    <row r="76" spans="2:11" x14ac:dyDescent="0.25">
      <c r="B76" s="577">
        <f t="shared" si="6"/>
        <v>4.0899999999999981</v>
      </c>
      <c r="C76" s="480">
        <v>3</v>
      </c>
      <c r="D76" s="578" t="s">
        <v>725</v>
      </c>
      <c r="E76" s="481">
        <f>+E1280</f>
        <v>1089.5999999999999</v>
      </c>
      <c r="F76" s="481">
        <f t="shared" si="5"/>
        <v>3268.8</v>
      </c>
      <c r="G76" s="477"/>
      <c r="H76" s="465"/>
      <c r="I76" s="477"/>
      <c r="K76" s="539"/>
    </row>
    <row r="77" spans="2:11" x14ac:dyDescent="0.25">
      <c r="B77" s="577">
        <f t="shared" si="6"/>
        <v>4.0999999999999979</v>
      </c>
      <c r="C77" s="480">
        <v>1</v>
      </c>
      <c r="D77" s="578" t="s">
        <v>726</v>
      </c>
      <c r="E77" s="481">
        <f>+E1300</f>
        <v>1089.5999999999999</v>
      </c>
      <c r="F77" s="481">
        <f t="shared" si="5"/>
        <v>1089.5999999999999</v>
      </c>
      <c r="G77" s="477"/>
      <c r="H77" s="465"/>
      <c r="I77" s="477"/>
      <c r="K77" s="539"/>
    </row>
    <row r="78" spans="2:11" x14ac:dyDescent="0.25">
      <c r="B78" s="577">
        <f t="shared" si="6"/>
        <v>4.1099999999999977</v>
      </c>
      <c r="C78" s="480">
        <v>2</v>
      </c>
      <c r="D78" s="578" t="s">
        <v>727</v>
      </c>
      <c r="E78" s="481">
        <f>+E1320</f>
        <v>1914</v>
      </c>
      <c r="F78" s="481">
        <f t="shared" si="5"/>
        <v>3828</v>
      </c>
      <c r="G78" s="477"/>
      <c r="H78" s="465"/>
      <c r="I78" s="477"/>
      <c r="K78" s="539"/>
    </row>
    <row r="79" spans="2:11" x14ac:dyDescent="0.25">
      <c r="B79" s="577">
        <f t="shared" si="6"/>
        <v>4.1199999999999974</v>
      </c>
      <c r="C79" s="480">
        <v>2</v>
      </c>
      <c r="D79" s="578" t="s">
        <v>728</v>
      </c>
      <c r="E79" s="481">
        <f>+E1340</f>
        <v>1564.8</v>
      </c>
      <c r="F79" s="481">
        <f t="shared" si="5"/>
        <v>3129.6</v>
      </c>
      <c r="G79" s="477"/>
      <c r="H79" s="465"/>
      <c r="I79" s="477"/>
      <c r="K79" s="539"/>
    </row>
    <row r="80" spans="2:11" x14ac:dyDescent="0.25">
      <c r="B80" s="577">
        <f t="shared" si="6"/>
        <v>4.1299999999999972</v>
      </c>
      <c r="C80" s="480">
        <v>3</v>
      </c>
      <c r="D80" s="578" t="s">
        <v>729</v>
      </c>
      <c r="E80" s="481">
        <f>+E1360</f>
        <v>2028</v>
      </c>
      <c r="F80" s="481">
        <f t="shared" si="5"/>
        <v>6084</v>
      </c>
      <c r="G80" s="477"/>
      <c r="H80" s="465"/>
      <c r="I80" s="477"/>
      <c r="K80" s="539"/>
    </row>
    <row r="81" spans="2:11" x14ac:dyDescent="0.25">
      <c r="B81" s="577">
        <f t="shared" si="6"/>
        <v>4.139999999999997</v>
      </c>
      <c r="C81" s="480">
        <v>1</v>
      </c>
      <c r="D81" s="578" t="s">
        <v>730</v>
      </c>
      <c r="E81" s="481">
        <f>+E1380</f>
        <v>2028</v>
      </c>
      <c r="F81" s="481">
        <f t="shared" si="5"/>
        <v>2028</v>
      </c>
      <c r="G81" s="477"/>
      <c r="H81" s="465"/>
      <c r="I81" s="477"/>
      <c r="K81" s="539"/>
    </row>
    <row r="82" spans="2:11" x14ac:dyDescent="0.25">
      <c r="B82" s="577">
        <f t="shared" si="6"/>
        <v>4.1499999999999968</v>
      </c>
      <c r="C82" s="480">
        <v>4</v>
      </c>
      <c r="D82" s="578" t="s">
        <v>731</v>
      </c>
      <c r="E82" s="481">
        <f>+E1400</f>
        <v>2028</v>
      </c>
      <c r="F82" s="481">
        <f t="shared" si="5"/>
        <v>8112</v>
      </c>
      <c r="G82" s="477"/>
      <c r="H82" s="465"/>
      <c r="I82" s="477"/>
      <c r="K82" s="539"/>
    </row>
    <row r="83" spans="2:11" x14ac:dyDescent="0.25">
      <c r="B83" s="577">
        <f t="shared" si="6"/>
        <v>4.1599999999999966</v>
      </c>
      <c r="C83" s="480">
        <v>5</v>
      </c>
      <c r="D83" s="578" t="s">
        <v>732</v>
      </c>
      <c r="E83" s="481">
        <f>+E1420</f>
        <v>1812</v>
      </c>
      <c r="F83" s="481">
        <f t="shared" si="5"/>
        <v>9060</v>
      </c>
      <c r="G83" s="477"/>
      <c r="H83" s="465"/>
      <c r="I83" s="477"/>
      <c r="K83" s="539"/>
    </row>
    <row r="84" spans="2:11" x14ac:dyDescent="0.25">
      <c r="B84" s="577">
        <f t="shared" si="6"/>
        <v>4.1699999999999964</v>
      </c>
      <c r="C84" s="480">
        <v>1</v>
      </c>
      <c r="D84" s="578" t="s">
        <v>733</v>
      </c>
      <c r="E84" s="481">
        <f>+E1440</f>
        <v>2286</v>
      </c>
      <c r="F84" s="481">
        <f t="shared" si="5"/>
        <v>2286</v>
      </c>
      <c r="G84" s="477"/>
      <c r="H84" s="465"/>
      <c r="I84" s="477"/>
      <c r="K84" s="539"/>
    </row>
    <row r="85" spans="2:11" x14ac:dyDescent="0.25">
      <c r="B85" s="577">
        <f t="shared" si="6"/>
        <v>4.1799999999999962</v>
      </c>
      <c r="C85" s="480">
        <v>2</v>
      </c>
      <c r="D85" s="578" t="s">
        <v>734</v>
      </c>
      <c r="E85" s="481">
        <f>+E1460</f>
        <v>2286</v>
      </c>
      <c r="F85" s="481">
        <f t="shared" si="5"/>
        <v>4572</v>
      </c>
      <c r="G85" s="477"/>
      <c r="H85" s="465"/>
      <c r="I85" s="477"/>
      <c r="K85" s="539"/>
    </row>
    <row r="86" spans="2:11" x14ac:dyDescent="0.25">
      <c r="B86" s="577">
        <f t="shared" si="6"/>
        <v>4.1899999999999959</v>
      </c>
      <c r="C86" s="480">
        <v>1</v>
      </c>
      <c r="D86" s="578" t="s">
        <v>735</v>
      </c>
      <c r="E86" s="481">
        <f>+E1480</f>
        <v>2098.8000000000002</v>
      </c>
      <c r="F86" s="481">
        <f t="shared" si="5"/>
        <v>2098.8000000000002</v>
      </c>
      <c r="G86" s="477"/>
      <c r="H86" s="465"/>
      <c r="I86" s="477"/>
      <c r="K86" s="539"/>
    </row>
    <row r="87" spans="2:11" x14ac:dyDescent="0.25">
      <c r="B87" s="577">
        <f t="shared" si="6"/>
        <v>4.1999999999999957</v>
      </c>
      <c r="C87" s="480">
        <v>1</v>
      </c>
      <c r="D87" s="578" t="s">
        <v>594</v>
      </c>
      <c r="E87" s="481">
        <f>+E1500</f>
        <v>2037.6</v>
      </c>
      <c r="F87" s="481">
        <f t="shared" si="5"/>
        <v>2037.6</v>
      </c>
      <c r="G87" s="477"/>
      <c r="H87" s="465"/>
      <c r="I87" s="477"/>
      <c r="K87" s="539"/>
    </row>
    <row r="88" spans="2:11" x14ac:dyDescent="0.25">
      <c r="B88" s="577">
        <f t="shared" si="6"/>
        <v>4.2099999999999955</v>
      </c>
      <c r="C88" s="480">
        <v>1</v>
      </c>
      <c r="D88" s="578" t="s">
        <v>595</v>
      </c>
      <c r="E88" s="481">
        <f>+E1519</f>
        <v>2610</v>
      </c>
      <c r="F88" s="481">
        <f t="shared" si="5"/>
        <v>2610</v>
      </c>
      <c r="G88" s="477"/>
      <c r="H88" s="465"/>
      <c r="I88" s="477"/>
      <c r="K88" s="539"/>
    </row>
    <row r="89" spans="2:11" x14ac:dyDescent="0.25">
      <c r="B89" s="577">
        <f t="shared" si="6"/>
        <v>4.2199999999999953</v>
      </c>
      <c r="C89" s="480">
        <v>1</v>
      </c>
      <c r="D89" s="578" t="s">
        <v>596</v>
      </c>
      <c r="E89" s="481">
        <f>+E1539</f>
        <v>2037.6</v>
      </c>
      <c r="F89" s="481">
        <f t="shared" si="5"/>
        <v>2037.6</v>
      </c>
      <c r="G89" s="477"/>
      <c r="H89" s="465"/>
      <c r="I89" s="477"/>
      <c r="K89" s="539"/>
    </row>
    <row r="90" spans="2:11" x14ac:dyDescent="0.25">
      <c r="B90" s="577">
        <f t="shared" si="6"/>
        <v>4.2299999999999951</v>
      </c>
      <c r="C90" s="480">
        <v>1</v>
      </c>
      <c r="D90" s="578" t="s">
        <v>597</v>
      </c>
      <c r="E90" s="481">
        <f>+E1558</f>
        <v>2610</v>
      </c>
      <c r="F90" s="481">
        <f t="shared" si="5"/>
        <v>2610</v>
      </c>
      <c r="G90" s="477"/>
      <c r="H90" s="465"/>
      <c r="I90" s="477"/>
      <c r="K90" s="539"/>
    </row>
    <row r="91" spans="2:11" x14ac:dyDescent="0.25">
      <c r="B91" s="577">
        <f t="shared" si="6"/>
        <v>4.2399999999999949</v>
      </c>
      <c r="C91" s="480">
        <v>1</v>
      </c>
      <c r="D91" s="578" t="s">
        <v>598</v>
      </c>
      <c r="E91" s="481">
        <f>+E1578</f>
        <v>2037.6</v>
      </c>
      <c r="F91" s="481">
        <f t="shared" si="5"/>
        <v>2037.6</v>
      </c>
      <c r="G91" s="477"/>
      <c r="H91" s="465"/>
      <c r="I91" s="477"/>
      <c r="K91" s="539"/>
    </row>
    <row r="92" spans="2:11" x14ac:dyDescent="0.25">
      <c r="B92" s="577">
        <f t="shared" si="6"/>
        <v>4.2499999999999947</v>
      </c>
      <c r="C92" s="480">
        <v>1</v>
      </c>
      <c r="D92" s="578" t="s">
        <v>599</v>
      </c>
      <c r="E92" s="481">
        <f>+E1597</f>
        <v>2610</v>
      </c>
      <c r="F92" s="481">
        <f t="shared" si="5"/>
        <v>2610</v>
      </c>
      <c r="G92" s="477"/>
      <c r="H92" s="465"/>
      <c r="I92" s="477"/>
      <c r="K92" s="539"/>
    </row>
    <row r="93" spans="2:11" x14ac:dyDescent="0.25">
      <c r="B93" s="577">
        <f>+B92+0.01</f>
        <v>4.2599999999999945</v>
      </c>
      <c r="C93" s="480">
        <v>1</v>
      </c>
      <c r="D93" s="578" t="s">
        <v>600</v>
      </c>
      <c r="E93" s="481">
        <f>+E1617</f>
        <v>2037.6</v>
      </c>
      <c r="F93" s="481">
        <f t="shared" si="5"/>
        <v>2037.6</v>
      </c>
      <c r="G93" s="477"/>
      <c r="H93" s="465"/>
      <c r="I93" s="477"/>
      <c r="K93" s="539"/>
    </row>
    <row r="94" spans="2:11" x14ac:dyDescent="0.25">
      <c r="B94" s="577">
        <f t="shared" si="6"/>
        <v>4.2699999999999942</v>
      </c>
      <c r="C94" s="480">
        <v>1</v>
      </c>
      <c r="D94" s="578" t="s">
        <v>601</v>
      </c>
      <c r="E94" s="481">
        <f>+E1636</f>
        <v>2610</v>
      </c>
      <c r="F94" s="481">
        <f t="shared" si="5"/>
        <v>2610</v>
      </c>
      <c r="G94" s="477"/>
      <c r="H94" s="465"/>
      <c r="I94" s="477"/>
      <c r="K94" s="539"/>
    </row>
    <row r="95" spans="2:11" x14ac:dyDescent="0.25">
      <c r="B95" s="577">
        <f t="shared" si="6"/>
        <v>4.279999999999994</v>
      </c>
      <c r="C95" s="480">
        <v>1</v>
      </c>
      <c r="D95" s="578" t="s">
        <v>602</v>
      </c>
      <c r="E95" s="481">
        <f>+E1656</f>
        <v>2058</v>
      </c>
      <c r="F95" s="481">
        <f t="shared" si="5"/>
        <v>2058</v>
      </c>
      <c r="G95" s="477"/>
      <c r="H95" s="465"/>
      <c r="I95" s="477"/>
      <c r="K95" s="539"/>
    </row>
    <row r="96" spans="2:11" x14ac:dyDescent="0.25">
      <c r="B96" s="577">
        <f t="shared" si="6"/>
        <v>4.2899999999999938</v>
      </c>
      <c r="C96" s="480">
        <v>1</v>
      </c>
      <c r="D96" s="578" t="s">
        <v>603</v>
      </c>
      <c r="E96" s="481">
        <f>+E1675</f>
        <v>2630.4</v>
      </c>
      <c r="F96" s="481">
        <f t="shared" si="5"/>
        <v>2630.4</v>
      </c>
      <c r="G96" s="477"/>
      <c r="H96" s="465"/>
      <c r="I96" s="477"/>
      <c r="K96" s="539"/>
    </row>
    <row r="97" spans="2:11" x14ac:dyDescent="0.25">
      <c r="B97" s="577">
        <f t="shared" si="6"/>
        <v>4.2999999999999936</v>
      </c>
      <c r="C97" s="480">
        <v>1</v>
      </c>
      <c r="D97" s="578" t="s">
        <v>604</v>
      </c>
      <c r="E97" s="481">
        <f>+E1695</f>
        <v>2058</v>
      </c>
      <c r="F97" s="481">
        <f t="shared" si="5"/>
        <v>2058</v>
      </c>
      <c r="G97" s="477"/>
      <c r="H97" s="465"/>
      <c r="I97" s="477"/>
      <c r="K97" s="539"/>
    </row>
    <row r="98" spans="2:11" x14ac:dyDescent="0.25">
      <c r="B98" s="577">
        <f t="shared" si="6"/>
        <v>4.3099999999999934</v>
      </c>
      <c r="C98" s="480">
        <v>1</v>
      </c>
      <c r="D98" s="578" t="s">
        <v>605</v>
      </c>
      <c r="E98" s="481">
        <f>+E1714</f>
        <v>2630.4</v>
      </c>
      <c r="F98" s="481">
        <f t="shared" si="5"/>
        <v>2630.4</v>
      </c>
      <c r="G98" s="477"/>
      <c r="H98" s="465"/>
      <c r="I98" s="477"/>
      <c r="K98" s="539"/>
    </row>
    <row r="99" spans="2:11" x14ac:dyDescent="0.25">
      <c r="B99" s="564">
        <v>5</v>
      </c>
      <c r="C99" s="480"/>
      <c r="D99" s="535" t="s">
        <v>958</v>
      </c>
      <c r="E99" s="481"/>
      <c r="F99" s="481"/>
      <c r="G99" s="477"/>
      <c r="H99" s="465"/>
      <c r="I99" s="477"/>
      <c r="K99" s="539"/>
    </row>
    <row r="100" spans="2:11" ht="47.25" x14ac:dyDescent="0.25">
      <c r="B100" s="479">
        <f>+B99+0.01</f>
        <v>5.01</v>
      </c>
      <c r="C100" s="480">
        <v>1</v>
      </c>
      <c r="D100" s="578" t="s">
        <v>957</v>
      </c>
      <c r="E100" s="481">
        <f>ROUND(E1734,2)</f>
        <v>340.8</v>
      </c>
      <c r="F100" s="481">
        <f>ROUND(E100*C100,2)</f>
        <v>340.8</v>
      </c>
      <c r="G100" s="477"/>
      <c r="H100" s="465"/>
      <c r="I100" s="477"/>
      <c r="K100" s="539"/>
    </row>
    <row r="101" spans="2:11" x14ac:dyDescent="0.25">
      <c r="B101" s="564">
        <v>6</v>
      </c>
      <c r="C101" s="480"/>
      <c r="D101" s="535" t="s">
        <v>713</v>
      </c>
      <c r="E101" s="481"/>
      <c r="F101" s="481"/>
      <c r="G101" s="477"/>
      <c r="H101" s="465"/>
      <c r="I101" s="477"/>
      <c r="J101" s="973"/>
      <c r="K101" s="539"/>
    </row>
    <row r="102" spans="2:11" x14ac:dyDescent="0.25">
      <c r="B102" s="479">
        <f>+B101+0.01</f>
        <v>6.01</v>
      </c>
      <c r="C102" s="480">
        <v>4</v>
      </c>
      <c r="D102" s="578" t="s">
        <v>752</v>
      </c>
      <c r="E102" s="481">
        <f>+E1756</f>
        <v>1314</v>
      </c>
      <c r="F102" s="481">
        <f>ROUND(E102*C102,2)</f>
        <v>5256</v>
      </c>
      <c r="G102" s="477"/>
      <c r="H102" s="465"/>
      <c r="I102" s="477"/>
      <c r="J102" s="974"/>
      <c r="K102" s="539"/>
    </row>
    <row r="103" spans="2:11" x14ac:dyDescent="0.25">
      <c r="B103" s="577">
        <f>+B102+0.01</f>
        <v>6.02</v>
      </c>
      <c r="C103" s="480">
        <v>2</v>
      </c>
      <c r="D103" s="578" t="s">
        <v>753</v>
      </c>
      <c r="E103" s="481">
        <f>+E1781</f>
        <v>1314</v>
      </c>
      <c r="F103" s="481">
        <f>ROUND(E103*C103,2)</f>
        <v>2628</v>
      </c>
      <c r="G103" s="477"/>
      <c r="H103" s="465"/>
      <c r="I103" s="477"/>
      <c r="J103" s="974"/>
      <c r="K103" s="539"/>
    </row>
    <row r="104" spans="2:11" x14ac:dyDescent="0.25">
      <c r="B104" s="577">
        <f t="shared" ref="B104:B132" si="7">+B103+0.01</f>
        <v>6.0299999999999994</v>
      </c>
      <c r="C104" s="480">
        <v>1</v>
      </c>
      <c r="D104" s="578" t="s">
        <v>754</v>
      </c>
      <c r="E104" s="481">
        <f>+E1806</f>
        <v>1314</v>
      </c>
      <c r="F104" s="481">
        <f t="shared" ref="F104:F132" si="8">ROUND(E104*C104,2)</f>
        <v>1314</v>
      </c>
      <c r="G104" s="477"/>
      <c r="H104" s="465"/>
      <c r="I104" s="477"/>
      <c r="J104" s="974"/>
      <c r="K104" s="539"/>
    </row>
    <row r="105" spans="2:11" x14ac:dyDescent="0.25">
      <c r="B105" s="577">
        <f t="shared" si="7"/>
        <v>6.0399999999999991</v>
      </c>
      <c r="C105" s="480">
        <v>1</v>
      </c>
      <c r="D105" s="578" t="s">
        <v>755</v>
      </c>
      <c r="E105" s="481">
        <f>+E1831</f>
        <v>1314</v>
      </c>
      <c r="F105" s="481">
        <f t="shared" si="8"/>
        <v>1314</v>
      </c>
      <c r="G105" s="477"/>
      <c r="H105" s="465"/>
      <c r="I105" s="477"/>
      <c r="J105" s="974"/>
      <c r="K105" s="539"/>
    </row>
    <row r="106" spans="2:11" x14ac:dyDescent="0.25">
      <c r="B106" s="577">
        <f t="shared" si="7"/>
        <v>6.0499999999999989</v>
      </c>
      <c r="C106" s="480">
        <v>2</v>
      </c>
      <c r="D106" s="578" t="s">
        <v>756</v>
      </c>
      <c r="E106" s="481">
        <f>+E1856</f>
        <v>1314</v>
      </c>
      <c r="F106" s="481">
        <f t="shared" si="8"/>
        <v>2628</v>
      </c>
      <c r="G106" s="477"/>
      <c r="H106" s="465"/>
      <c r="I106" s="477"/>
      <c r="J106" s="974"/>
      <c r="K106" s="539"/>
    </row>
    <row r="107" spans="2:11" x14ac:dyDescent="0.25">
      <c r="B107" s="577">
        <f t="shared" si="7"/>
        <v>6.0599999999999987</v>
      </c>
      <c r="C107" s="480">
        <v>3</v>
      </c>
      <c r="D107" s="578" t="s">
        <v>757</v>
      </c>
      <c r="E107" s="481">
        <f>+E1881</f>
        <v>1435.2</v>
      </c>
      <c r="F107" s="481">
        <f t="shared" si="8"/>
        <v>4305.6000000000004</v>
      </c>
      <c r="G107" s="477"/>
      <c r="H107" s="465"/>
      <c r="I107" s="477"/>
      <c r="J107" s="974"/>
      <c r="K107" s="539"/>
    </row>
    <row r="108" spans="2:11" x14ac:dyDescent="0.25">
      <c r="B108" s="577">
        <f t="shared" si="7"/>
        <v>6.0699999999999985</v>
      </c>
      <c r="C108" s="480">
        <v>3</v>
      </c>
      <c r="D108" s="578" t="s">
        <v>758</v>
      </c>
      <c r="E108" s="481">
        <f>+E1906</f>
        <v>1400.4</v>
      </c>
      <c r="F108" s="481">
        <f t="shared" si="8"/>
        <v>4201.2</v>
      </c>
      <c r="G108" s="477"/>
      <c r="H108" s="465"/>
      <c r="I108" s="477"/>
      <c r="J108" s="974"/>
      <c r="K108" s="539"/>
    </row>
    <row r="109" spans="2:11" x14ac:dyDescent="0.25">
      <c r="B109" s="577">
        <f t="shared" si="7"/>
        <v>6.0799999999999983</v>
      </c>
      <c r="C109" s="480">
        <v>1</v>
      </c>
      <c r="D109" s="578" t="s">
        <v>759</v>
      </c>
      <c r="E109" s="481">
        <f>+E1931</f>
        <v>1546.8</v>
      </c>
      <c r="F109" s="481">
        <f t="shared" si="8"/>
        <v>1546.8</v>
      </c>
      <c r="G109" s="477"/>
      <c r="H109" s="465"/>
      <c r="I109" s="477"/>
      <c r="J109" s="974"/>
      <c r="K109" s="539"/>
    </row>
    <row r="110" spans="2:11" x14ac:dyDescent="0.25">
      <c r="B110" s="577">
        <f t="shared" si="7"/>
        <v>6.0899999999999981</v>
      </c>
      <c r="C110" s="480">
        <v>3</v>
      </c>
      <c r="D110" s="578" t="s">
        <v>760</v>
      </c>
      <c r="E110" s="481">
        <f>+E1956</f>
        <v>1546.8</v>
      </c>
      <c r="F110" s="481">
        <f t="shared" si="8"/>
        <v>4640.3999999999996</v>
      </c>
      <c r="G110" s="477"/>
      <c r="H110" s="465"/>
      <c r="I110" s="477"/>
      <c r="J110" s="974"/>
      <c r="K110" s="539"/>
    </row>
    <row r="111" spans="2:11" x14ac:dyDescent="0.25">
      <c r="B111" s="577">
        <f t="shared" si="7"/>
        <v>6.0999999999999979</v>
      </c>
      <c r="C111" s="480">
        <v>1</v>
      </c>
      <c r="D111" s="578" t="s">
        <v>761</v>
      </c>
      <c r="E111" s="481">
        <f>+E1981</f>
        <v>2348.4</v>
      </c>
      <c r="F111" s="481">
        <f t="shared" si="8"/>
        <v>2348.4</v>
      </c>
      <c r="G111" s="477"/>
      <c r="H111" s="465"/>
      <c r="I111" s="477"/>
      <c r="J111" s="974"/>
      <c r="K111" s="539"/>
    </row>
    <row r="112" spans="2:11" x14ac:dyDescent="0.25">
      <c r="B112" s="577">
        <f t="shared" si="7"/>
        <v>6.1099999999999977</v>
      </c>
      <c r="C112" s="480">
        <v>2</v>
      </c>
      <c r="D112" s="578" t="s">
        <v>762</v>
      </c>
      <c r="E112" s="481">
        <f>+E2006</f>
        <v>1477.2</v>
      </c>
      <c r="F112" s="481">
        <f>ROUND(E112*C112,2)</f>
        <v>2954.4</v>
      </c>
      <c r="G112" s="477"/>
      <c r="H112" s="465"/>
      <c r="I112" s="477"/>
      <c r="J112" s="974"/>
      <c r="K112" s="539"/>
    </row>
    <row r="113" spans="2:11" x14ac:dyDescent="0.25">
      <c r="B113" s="577">
        <f t="shared" si="7"/>
        <v>6.1199999999999974</v>
      </c>
      <c r="C113" s="480">
        <v>2</v>
      </c>
      <c r="D113" s="578" t="s">
        <v>763</v>
      </c>
      <c r="E113" s="481">
        <f>+E2031</f>
        <v>2278.8000000000002</v>
      </c>
      <c r="F113" s="481">
        <f t="shared" si="8"/>
        <v>4557.6000000000004</v>
      </c>
      <c r="G113" s="477"/>
      <c r="H113" s="465"/>
      <c r="I113" s="477"/>
      <c r="J113" s="974"/>
      <c r="K113" s="539"/>
    </row>
    <row r="114" spans="2:11" x14ac:dyDescent="0.25">
      <c r="B114" s="577">
        <f t="shared" si="7"/>
        <v>6.1299999999999972</v>
      </c>
      <c r="C114" s="480">
        <v>3</v>
      </c>
      <c r="D114" s="578" t="s">
        <v>764</v>
      </c>
      <c r="E114" s="481">
        <f>+E2058</f>
        <v>1477.2</v>
      </c>
      <c r="F114" s="481">
        <f t="shared" si="8"/>
        <v>4431.6000000000004</v>
      </c>
      <c r="G114" s="477"/>
      <c r="H114" s="465"/>
      <c r="I114" s="477"/>
      <c r="J114" s="974"/>
      <c r="K114" s="539"/>
    </row>
    <row r="115" spans="2:11" x14ac:dyDescent="0.25">
      <c r="B115" s="577">
        <f t="shared" si="7"/>
        <v>6.139999999999997</v>
      </c>
      <c r="C115" s="480">
        <v>1</v>
      </c>
      <c r="D115" s="578" t="s">
        <v>765</v>
      </c>
      <c r="E115" s="481">
        <f>+E2083</f>
        <v>2474.4</v>
      </c>
      <c r="F115" s="481">
        <f t="shared" si="8"/>
        <v>2474.4</v>
      </c>
      <c r="G115" s="477"/>
      <c r="H115" s="465"/>
      <c r="I115" s="477"/>
      <c r="J115" s="974"/>
      <c r="K115" s="539"/>
    </row>
    <row r="116" spans="2:11" x14ac:dyDescent="0.25">
      <c r="B116" s="577">
        <f t="shared" si="7"/>
        <v>6.1499999999999968</v>
      </c>
      <c r="C116" s="480">
        <v>4</v>
      </c>
      <c r="D116" s="578" t="s">
        <v>766</v>
      </c>
      <c r="E116" s="481">
        <f>+E2109</f>
        <v>2443.1999999999998</v>
      </c>
      <c r="F116" s="481">
        <f t="shared" si="8"/>
        <v>9772.7999999999993</v>
      </c>
      <c r="G116" s="477"/>
      <c r="H116" s="465"/>
      <c r="I116" s="477"/>
      <c r="J116" s="974"/>
      <c r="K116" s="539"/>
    </row>
    <row r="117" spans="2:11" x14ac:dyDescent="0.25">
      <c r="B117" s="577">
        <f t="shared" si="7"/>
        <v>6.1599999999999966</v>
      </c>
      <c r="C117" s="480">
        <v>5</v>
      </c>
      <c r="D117" s="578" t="s">
        <v>767</v>
      </c>
      <c r="E117" s="481">
        <f>+E2134</f>
        <v>2360.4</v>
      </c>
      <c r="F117" s="481">
        <f t="shared" si="8"/>
        <v>11802</v>
      </c>
      <c r="G117" s="477"/>
      <c r="H117" s="465"/>
      <c r="I117" s="477"/>
      <c r="J117" s="974"/>
      <c r="K117" s="539"/>
    </row>
    <row r="118" spans="2:11" x14ac:dyDescent="0.25">
      <c r="B118" s="577">
        <f t="shared" si="7"/>
        <v>6.1699999999999964</v>
      </c>
      <c r="C118" s="480">
        <v>1</v>
      </c>
      <c r="D118" s="578" t="s">
        <v>768</v>
      </c>
      <c r="E118" s="481">
        <f>+E2160</f>
        <v>1317.6</v>
      </c>
      <c r="F118" s="481">
        <f t="shared" si="8"/>
        <v>1317.6</v>
      </c>
      <c r="G118" s="477"/>
      <c r="H118" s="465"/>
      <c r="I118" s="477"/>
      <c r="J118" s="974"/>
      <c r="K118" s="539"/>
    </row>
    <row r="119" spans="2:11" x14ac:dyDescent="0.25">
      <c r="B119" s="577">
        <f t="shared" si="7"/>
        <v>6.1799999999999962</v>
      </c>
      <c r="C119" s="480">
        <v>2</v>
      </c>
      <c r="D119" s="578" t="s">
        <v>769</v>
      </c>
      <c r="E119" s="481">
        <f>+E2185</f>
        <v>1626</v>
      </c>
      <c r="F119" s="481">
        <f t="shared" si="8"/>
        <v>3252</v>
      </c>
      <c r="G119" s="477"/>
      <c r="H119" s="465"/>
      <c r="I119" s="477"/>
      <c r="J119" s="974"/>
      <c r="K119" s="539"/>
    </row>
    <row r="120" spans="2:11" x14ac:dyDescent="0.25">
      <c r="B120" s="577">
        <f t="shared" si="7"/>
        <v>6.1899999999999959</v>
      </c>
      <c r="C120" s="480">
        <v>1</v>
      </c>
      <c r="D120" s="578" t="s">
        <v>770</v>
      </c>
      <c r="E120" s="481">
        <f>+E2210</f>
        <v>1615.2</v>
      </c>
      <c r="F120" s="481">
        <f t="shared" si="8"/>
        <v>1615.2</v>
      </c>
      <c r="G120" s="477"/>
      <c r="H120" s="465"/>
      <c r="I120" s="477"/>
      <c r="J120" s="974"/>
      <c r="K120" s="539"/>
    </row>
    <row r="121" spans="2:11" x14ac:dyDescent="0.25">
      <c r="B121" s="577">
        <f t="shared" si="7"/>
        <v>6.1999999999999957</v>
      </c>
      <c r="C121" s="480">
        <v>1</v>
      </c>
      <c r="D121" s="578" t="s">
        <v>771</v>
      </c>
      <c r="E121" s="481">
        <f>+E2236</f>
        <v>2437.1999999999998</v>
      </c>
      <c r="F121" s="481">
        <f t="shared" si="8"/>
        <v>2437.1999999999998</v>
      </c>
      <c r="G121" s="477"/>
      <c r="H121" s="465"/>
      <c r="I121" s="477"/>
      <c r="J121" s="974"/>
      <c r="K121" s="539"/>
    </row>
    <row r="122" spans="2:11" x14ac:dyDescent="0.25">
      <c r="B122" s="577">
        <f t="shared" si="7"/>
        <v>6.2099999999999955</v>
      </c>
      <c r="C122" s="480">
        <v>1</v>
      </c>
      <c r="D122" s="578" t="s">
        <v>772</v>
      </c>
      <c r="E122" s="481">
        <f>+E2261</f>
        <v>2436</v>
      </c>
      <c r="F122" s="481">
        <f t="shared" si="8"/>
        <v>2436</v>
      </c>
      <c r="G122" s="477"/>
      <c r="H122" s="465"/>
      <c r="I122" s="477"/>
      <c r="J122" s="974"/>
      <c r="K122" s="539"/>
    </row>
    <row r="123" spans="2:11" x14ac:dyDescent="0.25">
      <c r="B123" s="577">
        <f t="shared" si="7"/>
        <v>6.2199999999999953</v>
      </c>
      <c r="C123" s="480">
        <v>1</v>
      </c>
      <c r="D123" s="578" t="s">
        <v>773</v>
      </c>
      <c r="E123" s="481">
        <f>+E2286</f>
        <v>2436</v>
      </c>
      <c r="F123" s="481">
        <f t="shared" si="8"/>
        <v>2436</v>
      </c>
      <c r="G123" s="477"/>
      <c r="H123" s="465"/>
      <c r="I123" s="477"/>
      <c r="J123" s="974"/>
      <c r="K123" s="539"/>
    </row>
    <row r="124" spans="2:11" x14ac:dyDescent="0.25">
      <c r="B124" s="577">
        <f t="shared" si="7"/>
        <v>6.2299999999999951</v>
      </c>
      <c r="C124" s="480">
        <v>1</v>
      </c>
      <c r="D124" s="578" t="s">
        <v>774</v>
      </c>
      <c r="E124" s="481">
        <f>+E2311</f>
        <v>2436</v>
      </c>
      <c r="F124" s="481">
        <f t="shared" si="8"/>
        <v>2436</v>
      </c>
      <c r="G124" s="477"/>
      <c r="H124" s="465"/>
      <c r="I124" s="477"/>
      <c r="J124" s="974"/>
      <c r="K124" s="539"/>
    </row>
    <row r="125" spans="2:11" x14ac:dyDescent="0.25">
      <c r="B125" s="577">
        <f t="shared" si="7"/>
        <v>6.2399999999999949</v>
      </c>
      <c r="C125" s="480">
        <v>1</v>
      </c>
      <c r="D125" s="578" t="s">
        <v>775</v>
      </c>
      <c r="E125" s="481">
        <f>+E2336</f>
        <v>2436</v>
      </c>
      <c r="F125" s="481">
        <f t="shared" si="8"/>
        <v>2436</v>
      </c>
      <c r="G125" s="477"/>
      <c r="H125" s="465"/>
      <c r="I125" s="477"/>
      <c r="J125" s="974"/>
      <c r="K125" s="539"/>
    </row>
    <row r="126" spans="2:11" x14ac:dyDescent="0.25">
      <c r="B126" s="577">
        <f t="shared" si="7"/>
        <v>6.2499999999999947</v>
      </c>
      <c r="C126" s="480">
        <v>1</v>
      </c>
      <c r="D126" s="578" t="s">
        <v>776</v>
      </c>
      <c r="E126" s="481">
        <f>+E2361</f>
        <v>2751.6</v>
      </c>
      <c r="F126" s="481">
        <f t="shared" si="8"/>
        <v>2751.6</v>
      </c>
      <c r="G126" s="477"/>
      <c r="H126" s="465"/>
      <c r="I126" s="477"/>
      <c r="J126" s="974"/>
      <c r="K126" s="539"/>
    </row>
    <row r="127" spans="2:11" x14ac:dyDescent="0.25">
      <c r="B127" s="577">
        <f t="shared" si="7"/>
        <v>6.2599999999999945</v>
      </c>
      <c r="C127" s="480">
        <v>1</v>
      </c>
      <c r="D127" s="578" t="s">
        <v>777</v>
      </c>
      <c r="E127" s="481">
        <f>+E2387</f>
        <v>2436</v>
      </c>
      <c r="F127" s="481">
        <f t="shared" si="8"/>
        <v>2436</v>
      </c>
      <c r="G127" s="477"/>
      <c r="H127" s="465"/>
      <c r="I127" s="477"/>
      <c r="J127" s="974"/>
      <c r="K127" s="539"/>
    </row>
    <row r="128" spans="2:11" x14ac:dyDescent="0.25">
      <c r="B128" s="577">
        <f t="shared" si="7"/>
        <v>6.2699999999999942</v>
      </c>
      <c r="C128" s="480">
        <v>1</v>
      </c>
      <c r="D128" s="578" t="s">
        <v>778</v>
      </c>
      <c r="E128" s="481">
        <f>+E2412</f>
        <v>2436</v>
      </c>
      <c r="F128" s="481">
        <f t="shared" si="8"/>
        <v>2436</v>
      </c>
      <c r="G128" s="477"/>
      <c r="H128" s="465"/>
      <c r="I128" s="477"/>
      <c r="J128" s="974"/>
      <c r="K128" s="539"/>
    </row>
    <row r="129" spans="2:11" x14ac:dyDescent="0.25">
      <c r="B129" s="577">
        <f t="shared" si="7"/>
        <v>6.279999999999994</v>
      </c>
      <c r="C129" s="480">
        <v>1</v>
      </c>
      <c r="D129" s="578" t="s">
        <v>779</v>
      </c>
      <c r="E129" s="481">
        <f>+E2437</f>
        <v>2436</v>
      </c>
      <c r="F129" s="481">
        <f t="shared" si="8"/>
        <v>2436</v>
      </c>
      <c r="G129" s="477"/>
      <c r="H129" s="465"/>
      <c r="I129" s="477"/>
      <c r="J129" s="974"/>
      <c r="K129" s="539"/>
    </row>
    <row r="130" spans="2:11" x14ac:dyDescent="0.25">
      <c r="B130" s="577">
        <f t="shared" si="7"/>
        <v>6.2899999999999938</v>
      </c>
      <c r="C130" s="480">
        <v>1</v>
      </c>
      <c r="D130" s="578" t="s">
        <v>780</v>
      </c>
      <c r="E130" s="481">
        <f>+E2462</f>
        <v>2751.6</v>
      </c>
      <c r="F130" s="481">
        <f t="shared" si="8"/>
        <v>2751.6</v>
      </c>
      <c r="G130" s="477"/>
      <c r="H130" s="465"/>
      <c r="I130" s="477"/>
      <c r="J130" s="974"/>
      <c r="K130" s="539"/>
    </row>
    <row r="131" spans="2:11" x14ac:dyDescent="0.25">
      <c r="B131" s="577">
        <f t="shared" si="7"/>
        <v>6.2999999999999936</v>
      </c>
      <c r="C131" s="480">
        <v>1</v>
      </c>
      <c r="D131" s="578" t="s">
        <v>781</v>
      </c>
      <c r="E131" s="481">
        <f>+E2488</f>
        <v>2436</v>
      </c>
      <c r="F131" s="481">
        <f t="shared" si="8"/>
        <v>2436</v>
      </c>
      <c r="G131" s="477"/>
      <c r="H131" s="465"/>
      <c r="I131" s="477"/>
      <c r="J131" s="974"/>
      <c r="K131" s="539"/>
    </row>
    <row r="132" spans="2:11" x14ac:dyDescent="0.25">
      <c r="B132" s="577">
        <f t="shared" si="7"/>
        <v>6.3099999999999934</v>
      </c>
      <c r="C132" s="480">
        <v>1</v>
      </c>
      <c r="D132" s="578" t="s">
        <v>782</v>
      </c>
      <c r="E132" s="481">
        <f>+E2513</f>
        <v>2436</v>
      </c>
      <c r="F132" s="481">
        <f t="shared" si="8"/>
        <v>2436</v>
      </c>
      <c r="G132" s="477"/>
      <c r="H132" s="465"/>
      <c r="I132" s="477"/>
      <c r="J132" s="974"/>
      <c r="K132" s="539"/>
    </row>
    <row r="133" spans="2:11" x14ac:dyDescent="0.25">
      <c r="B133" s="564">
        <v>7</v>
      </c>
      <c r="C133" s="480"/>
      <c r="D133" s="535" t="s">
        <v>660</v>
      </c>
      <c r="E133" s="481"/>
      <c r="F133" s="481"/>
      <c r="G133" s="477"/>
      <c r="H133" s="465"/>
      <c r="I133" s="477"/>
      <c r="J133" s="974"/>
      <c r="K133" s="539"/>
    </row>
    <row r="134" spans="2:11" ht="31.5" x14ac:dyDescent="0.25">
      <c r="B134" s="479">
        <f>+B133+0.01</f>
        <v>7.01</v>
      </c>
      <c r="C134" s="480">
        <v>54</v>
      </c>
      <c r="D134" s="578" t="s">
        <v>956</v>
      </c>
      <c r="E134" s="481">
        <f>ROUND(E2538,2)</f>
        <v>2082</v>
      </c>
      <c r="F134" s="481">
        <f>ROUND(E134*C134,2)</f>
        <v>112428</v>
      </c>
      <c r="G134" s="477"/>
      <c r="H134" s="465"/>
      <c r="I134" s="477"/>
      <c r="J134" s="974"/>
      <c r="K134" s="539"/>
    </row>
    <row r="135" spans="2:11" x14ac:dyDescent="0.25">
      <c r="B135" s="564">
        <v>8</v>
      </c>
      <c r="C135" s="480"/>
      <c r="D135" s="535" t="s">
        <v>783</v>
      </c>
      <c r="E135" s="481"/>
      <c r="F135" s="481"/>
      <c r="G135" s="477"/>
      <c r="H135" s="465"/>
      <c r="I135" s="477"/>
      <c r="J135" s="974"/>
      <c r="K135" s="539"/>
    </row>
    <row r="136" spans="2:11" ht="31.5" x14ac:dyDescent="0.25">
      <c r="B136" s="479">
        <f>+B135+0.01</f>
        <v>8.01</v>
      </c>
      <c r="C136" s="480">
        <v>17</v>
      </c>
      <c r="D136" s="578" t="s">
        <v>1039</v>
      </c>
      <c r="E136" s="481">
        <f>++E2559</f>
        <v>1062.5</v>
      </c>
      <c r="F136" s="481">
        <f>ROUND(E136*C136,2)</f>
        <v>18062.5</v>
      </c>
      <c r="G136" s="1051"/>
      <c r="H136" s="465" t="s">
        <v>1041</v>
      </c>
      <c r="I136" s="477"/>
      <c r="J136" s="974"/>
      <c r="K136" s="539"/>
    </row>
    <row r="137" spans="2:11" ht="31.5" x14ac:dyDescent="0.25">
      <c r="B137" s="479">
        <f>+B136+0.01</f>
        <v>8.02</v>
      </c>
      <c r="C137" s="480">
        <v>17</v>
      </c>
      <c r="D137" s="656" t="s">
        <v>564</v>
      </c>
      <c r="E137" s="481">
        <f>+E2584</f>
        <v>2017.2</v>
      </c>
      <c r="F137" s="481">
        <f>ROUND(E137*C137,2)</f>
        <v>34292.400000000001</v>
      </c>
      <c r="G137" s="1051" t="s">
        <v>1042</v>
      </c>
      <c r="H137" s="465"/>
      <c r="I137" s="477"/>
      <c r="J137" s="974"/>
      <c r="K137" s="539"/>
    </row>
    <row r="138" spans="2:11" x14ac:dyDescent="0.25">
      <c r="B138" s="564">
        <v>9</v>
      </c>
      <c r="C138" s="480"/>
      <c r="D138" s="535" t="s">
        <v>664</v>
      </c>
      <c r="E138" s="481"/>
      <c r="F138" s="481"/>
      <c r="G138" s="477"/>
      <c r="H138" s="465"/>
      <c r="I138" s="477"/>
      <c r="J138" s="974"/>
      <c r="K138" s="539"/>
    </row>
    <row r="139" spans="2:11" ht="31.5" x14ac:dyDescent="0.25">
      <c r="B139" s="479">
        <f>+B138+0.01</f>
        <v>9.01</v>
      </c>
      <c r="C139" s="480">
        <v>10</v>
      </c>
      <c r="D139" s="659" t="s">
        <v>665</v>
      </c>
      <c r="E139" s="481">
        <f>+E2606</f>
        <v>2016.9</v>
      </c>
      <c r="F139" s="575">
        <f>+E139*C139</f>
        <v>20169</v>
      </c>
      <c r="G139" s="477"/>
      <c r="H139" s="465"/>
      <c r="I139" s="477"/>
      <c r="J139" s="974"/>
      <c r="K139" s="539"/>
    </row>
    <row r="140" spans="2:11" ht="31.5" x14ac:dyDescent="0.25">
      <c r="B140" s="479">
        <f>+B139+0.01</f>
        <v>9.02</v>
      </c>
      <c r="C140" s="480">
        <v>11</v>
      </c>
      <c r="D140" s="659" t="s">
        <v>666</v>
      </c>
      <c r="E140" s="481">
        <f>+E2643</f>
        <v>1984.5</v>
      </c>
      <c r="F140" s="575">
        <f t="shared" ref="F140:F143" si="9">+E140*C140</f>
        <v>21829.5</v>
      </c>
      <c r="G140" s="477"/>
      <c r="H140" s="465"/>
      <c r="I140" s="477"/>
      <c r="J140" s="974"/>
      <c r="K140" s="539"/>
    </row>
    <row r="141" spans="2:11" ht="31.5" x14ac:dyDescent="0.25">
      <c r="B141" s="479">
        <f t="shared" ref="B141:B143" si="10">+B140+0.01</f>
        <v>9.0299999999999994</v>
      </c>
      <c r="C141" s="480">
        <v>12</v>
      </c>
      <c r="D141" s="659" t="s">
        <v>705</v>
      </c>
      <c r="E141" s="481">
        <f>+E2680</f>
        <v>1767.15</v>
      </c>
      <c r="F141" s="575">
        <f t="shared" si="9"/>
        <v>21205.800000000003</v>
      </c>
      <c r="G141" s="477"/>
      <c r="H141" s="465"/>
      <c r="I141" s="477"/>
      <c r="J141" s="974"/>
      <c r="K141" s="539"/>
    </row>
    <row r="142" spans="2:11" ht="31.5" x14ac:dyDescent="0.25">
      <c r="B142" s="479">
        <f t="shared" si="10"/>
        <v>9.0399999999999991</v>
      </c>
      <c r="C142" s="480">
        <v>8</v>
      </c>
      <c r="D142" s="659" t="s">
        <v>706</v>
      </c>
      <c r="E142" s="481">
        <f>+E2717</f>
        <v>1564.65</v>
      </c>
      <c r="F142" s="575">
        <f t="shared" si="9"/>
        <v>12517.2</v>
      </c>
      <c r="G142" s="477"/>
      <c r="H142" s="465"/>
      <c r="I142" s="477"/>
      <c r="J142" s="974"/>
      <c r="K142" s="539"/>
    </row>
    <row r="143" spans="2:11" ht="31.5" x14ac:dyDescent="0.25">
      <c r="B143" s="479">
        <f t="shared" si="10"/>
        <v>9.0499999999999989</v>
      </c>
      <c r="C143" s="480">
        <v>1</v>
      </c>
      <c r="D143" s="659" t="s">
        <v>707</v>
      </c>
      <c r="E143" s="481">
        <f>+E2754</f>
        <v>1155.5999999999999</v>
      </c>
      <c r="F143" s="575">
        <f t="shared" si="9"/>
        <v>1155.5999999999999</v>
      </c>
      <c r="G143" s="477"/>
      <c r="H143" s="477"/>
      <c r="I143" s="477"/>
      <c r="J143" s="974"/>
      <c r="K143" s="539"/>
    </row>
    <row r="144" spans="2:11" x14ac:dyDescent="0.25">
      <c r="B144" s="564">
        <v>10</v>
      </c>
      <c r="C144" s="750"/>
      <c r="D144" s="535" t="s">
        <v>812</v>
      </c>
      <c r="E144" s="751"/>
      <c r="F144" s="751"/>
      <c r="G144" s="477"/>
      <c r="H144" s="477"/>
      <c r="I144" s="477"/>
      <c r="J144" s="974"/>
      <c r="K144" s="539"/>
    </row>
    <row r="145" spans="2:13" ht="31.5" x14ac:dyDescent="0.25">
      <c r="B145" s="479">
        <f>+B144+0.01</f>
        <v>10.01</v>
      </c>
      <c r="C145" s="750">
        <v>131</v>
      </c>
      <c r="D145" s="659" t="s">
        <v>1044</v>
      </c>
      <c r="E145" s="751">
        <f>3521.54+'Precios Equipos'!F90</f>
        <v>5510.54</v>
      </c>
      <c r="F145" s="753">
        <f>+E145*C145</f>
        <v>721880.74</v>
      </c>
      <c r="G145" s="477"/>
      <c r="H145" s="477"/>
      <c r="I145" s="477"/>
      <c r="J145" s="974"/>
      <c r="K145" s="539"/>
    </row>
    <row r="146" spans="2:13" x14ac:dyDescent="0.25">
      <c r="B146" s="465"/>
      <c r="D146" s="573" t="s">
        <v>2</v>
      </c>
      <c r="E146" s="574"/>
      <c r="F146" s="575">
        <f>SUM(F24:F145)</f>
        <v>3150536.040000001</v>
      </c>
    </row>
    <row r="147" spans="2:13" x14ac:dyDescent="0.25">
      <c r="B147" s="465"/>
      <c r="D147" s="573" t="s">
        <v>1046</v>
      </c>
      <c r="E147" s="574"/>
      <c r="F147" s="575">
        <f>+F146*0.05</f>
        <v>157526.80200000005</v>
      </c>
    </row>
    <row r="148" spans="2:13" ht="16.5" thickBot="1" x14ac:dyDescent="0.3">
      <c r="B148" s="465"/>
      <c r="D148" s="573" t="s">
        <v>47</v>
      </c>
      <c r="E148" s="574"/>
      <c r="F148" s="575">
        <f>F146-F147</f>
        <v>2993009.2380000008</v>
      </c>
    </row>
    <row r="149" spans="2:13" ht="16.5" thickBot="1" x14ac:dyDescent="0.3">
      <c r="B149" s="465"/>
      <c r="D149" s="484" t="s">
        <v>7</v>
      </c>
      <c r="E149" s="482"/>
      <c r="F149" s="481">
        <f>ROUND(F148*0.18,2)</f>
        <v>538741.66</v>
      </c>
      <c r="L149" s="648" t="s">
        <v>657</v>
      </c>
      <c r="M149" s="649" t="s">
        <v>663</v>
      </c>
    </row>
    <row r="150" spans="2:13" x14ac:dyDescent="0.25">
      <c r="B150" s="465"/>
      <c r="D150" s="483" t="s">
        <v>1045</v>
      </c>
      <c r="E150" s="482"/>
      <c r="F150" s="481">
        <f>SUM(F148:F149)</f>
        <v>3531750.898000001</v>
      </c>
      <c r="G150" s="481">
        <v>2800000</v>
      </c>
      <c r="L150" s="653" t="s">
        <v>658</v>
      </c>
      <c r="M150" s="650">
        <v>0.3</v>
      </c>
    </row>
    <row r="151" spans="2:13" x14ac:dyDescent="0.25">
      <c r="B151" s="465"/>
      <c r="D151" s="486"/>
      <c r="E151" s="463"/>
      <c r="F151" s="487"/>
      <c r="G151" s="481">
        <f>+F150-G150</f>
        <v>731750.89800000098</v>
      </c>
      <c r="J151" s="979"/>
      <c r="K151" s="485"/>
      <c r="L151" s="654" t="s">
        <v>659</v>
      </c>
      <c r="M151" s="651">
        <v>0.3</v>
      </c>
    </row>
    <row r="152" spans="2:13" x14ac:dyDescent="0.25">
      <c r="B152" s="465"/>
      <c r="D152" s="486"/>
      <c r="E152" s="463"/>
      <c r="F152" s="487"/>
      <c r="G152" s="491"/>
      <c r="J152" s="979"/>
      <c r="L152" s="654" t="s">
        <v>607</v>
      </c>
      <c r="M152" s="651">
        <v>0.2</v>
      </c>
    </row>
    <row r="153" spans="2:13" x14ac:dyDescent="0.25">
      <c r="G153" s="491">
        <v>118</v>
      </c>
      <c r="H153" s="491"/>
      <c r="I153" s="491"/>
      <c r="J153" s="979"/>
      <c r="K153" s="485"/>
      <c r="L153" s="654" t="s">
        <v>593</v>
      </c>
      <c r="M153" s="651">
        <v>0.2</v>
      </c>
    </row>
    <row r="154" spans="2:13" x14ac:dyDescent="0.25">
      <c r="B154" s="1107" t="s">
        <v>5</v>
      </c>
      <c r="C154" s="1108"/>
      <c r="D154" s="1108"/>
      <c r="E154" s="1108"/>
      <c r="F154" s="1109"/>
      <c r="G154" s="491">
        <f>+G151/G153</f>
        <v>6201.2787966101778</v>
      </c>
      <c r="J154" s="979"/>
      <c r="L154" s="654" t="s">
        <v>662</v>
      </c>
      <c r="M154" s="651">
        <v>0.2</v>
      </c>
    </row>
    <row r="155" spans="2:13" x14ac:dyDescent="0.25">
      <c r="B155" s="596" t="s">
        <v>476</v>
      </c>
      <c r="D155" s="467" t="s">
        <v>481</v>
      </c>
      <c r="F155" s="495"/>
      <c r="G155" s="491"/>
      <c r="J155" s="979"/>
      <c r="K155" s="485"/>
      <c r="L155" s="654" t="s">
        <v>608</v>
      </c>
      <c r="M155" s="651">
        <v>0.2</v>
      </c>
    </row>
    <row r="156" spans="2:13" x14ac:dyDescent="0.25">
      <c r="B156" s="596" t="s">
        <v>477</v>
      </c>
      <c r="D156" s="467" t="s">
        <v>482</v>
      </c>
      <c r="F156" s="495"/>
      <c r="G156" s="491"/>
      <c r="J156" s="979"/>
      <c r="L156" s="654" t="s">
        <v>660</v>
      </c>
      <c r="M156" s="651">
        <v>0.2</v>
      </c>
    </row>
    <row r="157" spans="2:13" x14ac:dyDescent="0.25">
      <c r="B157" s="596" t="s">
        <v>478</v>
      </c>
      <c r="D157" s="467" t="s">
        <v>483</v>
      </c>
      <c r="F157" s="495"/>
      <c r="G157" s="491"/>
      <c r="J157" s="979"/>
      <c r="K157" s="485"/>
      <c r="L157" s="654" t="s">
        <v>811</v>
      </c>
      <c r="M157" s="651">
        <v>0.35</v>
      </c>
    </row>
    <row r="158" spans="2:13" x14ac:dyDescent="0.25">
      <c r="B158" s="596" t="s">
        <v>487</v>
      </c>
      <c r="D158" s="467" t="s">
        <v>484</v>
      </c>
      <c r="F158" s="495"/>
      <c r="G158" s="491"/>
      <c r="J158" s="979"/>
      <c r="L158" s="654" t="s">
        <v>715</v>
      </c>
      <c r="M158" s="651">
        <v>0.25</v>
      </c>
    </row>
    <row r="159" spans="2:13" ht="16.5" thickBot="1" x14ac:dyDescent="0.3">
      <c r="B159" s="596" t="s">
        <v>488</v>
      </c>
      <c r="D159" s="467" t="s">
        <v>485</v>
      </c>
      <c r="F159" s="495"/>
      <c r="G159" s="491"/>
      <c r="J159" s="979"/>
      <c r="K159" s="485"/>
      <c r="L159" s="655" t="s">
        <v>661</v>
      </c>
      <c r="M159" s="652">
        <v>0.25</v>
      </c>
    </row>
    <row r="160" spans="2:13" x14ac:dyDescent="0.25">
      <c r="B160" s="562" t="s">
        <v>489</v>
      </c>
      <c r="C160" s="574"/>
      <c r="D160" s="522" t="s">
        <v>486</v>
      </c>
      <c r="E160" s="523"/>
      <c r="F160" s="524"/>
      <c r="G160" s="491"/>
      <c r="J160" s="979"/>
    </row>
    <row r="161" spans="1:18" x14ac:dyDescent="0.25">
      <c r="G161" s="491"/>
      <c r="J161" s="979"/>
      <c r="K161" s="485"/>
    </row>
    <row r="162" spans="1:18" x14ac:dyDescent="0.25">
      <c r="B162" s="488"/>
      <c r="D162" s="475"/>
      <c r="E162" s="488"/>
      <c r="F162" s="488"/>
    </row>
    <row r="163" spans="1:18" x14ac:dyDescent="0.25">
      <c r="B163" s="488"/>
      <c r="D163" s="475"/>
      <c r="E163" s="488"/>
      <c r="F163" s="488"/>
    </row>
    <row r="164" spans="1:18" x14ac:dyDescent="0.25">
      <c r="B164" s="488"/>
      <c r="D164" s="475"/>
      <c r="E164" s="488"/>
      <c r="F164" s="488"/>
      <c r="K164" s="475"/>
    </row>
    <row r="165" spans="1:18" x14ac:dyDescent="0.25">
      <c r="B165" s="1110" t="s">
        <v>454</v>
      </c>
      <c r="C165" s="1110"/>
      <c r="D165" s="1110"/>
      <c r="E165" s="1110"/>
      <c r="F165" s="1110"/>
      <c r="G165" s="477"/>
      <c r="H165" s="477"/>
      <c r="I165" s="477"/>
      <c r="K165" s="539"/>
      <c r="R165" s="489"/>
    </row>
    <row r="166" spans="1:18" x14ac:dyDescent="0.25">
      <c r="B166" s="1111" t="s">
        <v>53</v>
      </c>
      <c r="C166" s="1111"/>
      <c r="D166" s="1111"/>
      <c r="E166" s="1111"/>
      <c r="F166" s="1111"/>
      <c r="G166" s="477"/>
      <c r="H166" s="477"/>
      <c r="I166" s="477"/>
      <c r="K166" s="539"/>
      <c r="R166" s="489"/>
    </row>
    <row r="167" spans="1:18" x14ac:dyDescent="0.25">
      <c r="B167" s="486"/>
      <c r="C167" s="486"/>
      <c r="D167" s="486"/>
      <c r="E167" s="486"/>
      <c r="F167" s="486"/>
      <c r="G167" s="477"/>
      <c r="H167" s="477"/>
      <c r="I167" s="477"/>
      <c r="K167" s="539"/>
      <c r="R167" s="489"/>
    </row>
    <row r="168" spans="1:18" s="467" customFormat="1" ht="16.5" thickBot="1" x14ac:dyDescent="0.3">
      <c r="A168" s="463"/>
      <c r="B168" s="555" t="s">
        <v>6</v>
      </c>
      <c r="C168" s="515" t="s">
        <v>0</v>
      </c>
      <c r="D168" s="606" t="s">
        <v>8</v>
      </c>
      <c r="E168" s="556" t="s">
        <v>4</v>
      </c>
      <c r="F168" s="556" t="s">
        <v>3</v>
      </c>
      <c r="G168" s="477"/>
      <c r="H168" s="477"/>
      <c r="I168" s="477"/>
      <c r="J168" s="925"/>
      <c r="K168" s="539"/>
      <c r="P168" s="468"/>
      <c r="Q168" s="465"/>
    </row>
    <row r="169" spans="1:18" ht="16.5" thickBot="1" x14ac:dyDescent="0.3">
      <c r="A169" s="463">
        <v>150</v>
      </c>
      <c r="B169" s="1077">
        <f>+B25</f>
        <v>1.01</v>
      </c>
      <c r="C169" s="1077">
        <f>+C25</f>
        <v>8</v>
      </c>
      <c r="D169" s="1077" t="str">
        <f>+D25</f>
        <v>CAJA CON SOPORTE 01 STRING 1KV</v>
      </c>
      <c r="E169" s="518">
        <f>H183</f>
        <v>8840.0855833333335</v>
      </c>
      <c r="F169" s="518">
        <f>+E169*C169</f>
        <v>70720.684666666668</v>
      </c>
      <c r="G169" s="618" t="s">
        <v>450</v>
      </c>
      <c r="H169" s="553" t="s">
        <v>1</v>
      </c>
      <c r="I169" s="587"/>
      <c r="K169" s="539"/>
      <c r="L169" s="746" t="s">
        <v>88</v>
      </c>
      <c r="M169" s="747" t="s">
        <v>85</v>
      </c>
      <c r="N169" s="747" t="s">
        <v>297</v>
      </c>
      <c r="O169" s="748" t="s">
        <v>589</v>
      </c>
    </row>
    <row r="170" spans="1:18" x14ac:dyDescent="0.25">
      <c r="B170" s="1078"/>
      <c r="C170" s="1078"/>
      <c r="D170" s="1078"/>
      <c r="E170" s="520" t="s">
        <v>50</v>
      </c>
      <c r="F170" s="520" t="s">
        <v>50</v>
      </c>
      <c r="G170" s="618" t="s">
        <v>50</v>
      </c>
      <c r="H170" s="553" t="s">
        <v>50</v>
      </c>
      <c r="I170" s="477"/>
      <c r="K170" s="539"/>
      <c r="L170" s="742" t="s">
        <v>667</v>
      </c>
      <c r="M170" s="743">
        <f>8.05/2</f>
        <v>4.0250000000000004</v>
      </c>
      <c r="N170" s="744">
        <v>0.3</v>
      </c>
      <c r="O170" s="745">
        <f t="shared" ref="O170:O176" si="11">+M170*N170</f>
        <v>1.2075</v>
      </c>
    </row>
    <row r="171" spans="1:18" x14ac:dyDescent="0.25">
      <c r="B171" s="619"/>
      <c r="C171" s="526"/>
      <c r="D171" s="463"/>
      <c r="E171" s="491"/>
      <c r="F171" s="492"/>
      <c r="G171" s="567"/>
      <c r="H171" s="561"/>
      <c r="I171" s="477"/>
      <c r="K171" s="539"/>
      <c r="L171" s="735" t="s">
        <v>668</v>
      </c>
      <c r="M171" s="662">
        <v>8</v>
      </c>
      <c r="N171" s="663">
        <v>0.3</v>
      </c>
      <c r="O171" s="736">
        <f t="shared" si="11"/>
        <v>2.4</v>
      </c>
    </row>
    <row r="172" spans="1:18" x14ac:dyDescent="0.25">
      <c r="B172" s="493"/>
      <c r="C172" s="526">
        <v>1</v>
      </c>
      <c r="D172" s="558" t="str">
        <f>+'Precios Equipos'!$C$187</f>
        <v>Gabinete Metalico 400x500x250mm. (Alto x Ancho x Profundidad)</v>
      </c>
      <c r="F172" s="495"/>
      <c r="G172" s="567">
        <f>VLOOKUP(D172,'Precios Equipos'!$C$25:$F$208,3,0)</f>
        <v>57</v>
      </c>
      <c r="H172" s="561">
        <f>G172*C172</f>
        <v>57</v>
      </c>
      <c r="I172" s="561">
        <f>SUM(H172)</f>
        <v>57</v>
      </c>
      <c r="J172" s="924">
        <f>+I172/H181</f>
        <v>8.382271789280471E-3</v>
      </c>
      <c r="K172" s="539"/>
      <c r="L172" s="737" t="s">
        <v>669</v>
      </c>
      <c r="M172" s="662">
        <f>190/6</f>
        <v>31.666666666666668</v>
      </c>
      <c r="N172" s="663">
        <v>0.2</v>
      </c>
      <c r="O172" s="736">
        <f t="shared" si="11"/>
        <v>6.3333333333333339</v>
      </c>
      <c r="Q172" s="465">
        <f>+C172*$C$169</f>
        <v>8</v>
      </c>
    </row>
    <row r="173" spans="1:18" x14ac:dyDescent="0.25">
      <c r="B173" s="493"/>
      <c r="C173" s="526"/>
      <c r="D173" s="494"/>
      <c r="F173" s="495"/>
      <c r="G173" s="567"/>
      <c r="H173" s="561"/>
      <c r="I173" s="477"/>
      <c r="K173" s="539"/>
      <c r="L173" s="737" t="s">
        <v>670</v>
      </c>
      <c r="M173" s="662">
        <v>3.75</v>
      </c>
      <c r="N173" s="663">
        <f>3.5*C175</f>
        <v>3.5</v>
      </c>
      <c r="O173" s="736">
        <f t="shared" si="11"/>
        <v>13.125</v>
      </c>
    </row>
    <row r="174" spans="1:18" x14ac:dyDescent="0.25">
      <c r="B174" s="493"/>
      <c r="C174" s="526"/>
      <c r="D174" s="620" t="s">
        <v>568</v>
      </c>
      <c r="F174" s="495"/>
      <c r="G174" s="729"/>
      <c r="H174" s="479"/>
      <c r="I174" s="477"/>
      <c r="K174" s="539"/>
      <c r="L174" s="737" t="s">
        <v>671</v>
      </c>
      <c r="M174" s="662">
        <v>15</v>
      </c>
      <c r="N174" s="664">
        <v>2</v>
      </c>
      <c r="O174" s="736">
        <f t="shared" si="11"/>
        <v>30</v>
      </c>
    </row>
    <row r="175" spans="1:18" x14ac:dyDescent="0.25">
      <c r="B175" s="493"/>
      <c r="C175" s="526">
        <v>1</v>
      </c>
      <c r="D175" s="468" t="str">
        <f>+'Precios Equipos'!$C$55</f>
        <v>Interruptor Riel Din 2x25A. S202M 20kA en 250VDC, ABB</v>
      </c>
      <c r="F175" s="497"/>
      <c r="G175" s="567">
        <f>VLOOKUP(D175,'Precios Equipos'!$C$25:$F$208,3,0)</f>
        <v>382</v>
      </c>
      <c r="H175" s="561">
        <f>G175*C175</f>
        <v>382</v>
      </c>
      <c r="I175" s="1087">
        <f>SUM(H175:H179)</f>
        <v>6678</v>
      </c>
      <c r="J175" s="1088">
        <f>+I175/H181</f>
        <v>0.98204931594412259</v>
      </c>
      <c r="K175" s="539"/>
      <c r="L175" s="737" t="s">
        <v>569</v>
      </c>
      <c r="M175" s="662">
        <v>5</v>
      </c>
      <c r="N175" s="665">
        <v>1</v>
      </c>
      <c r="O175" s="736">
        <f t="shared" si="11"/>
        <v>5</v>
      </c>
      <c r="Q175" s="465">
        <f t="shared" ref="Q175:Q179" si="12">+C175*$C$169</f>
        <v>8</v>
      </c>
    </row>
    <row r="176" spans="1:18" ht="16.5" thickBot="1" x14ac:dyDescent="0.3">
      <c r="B176" s="493"/>
      <c r="C176" s="526">
        <v>1</v>
      </c>
      <c r="D176" s="468" t="str">
        <f>+'Precios Equipos'!$C$60</f>
        <v>Protector de sobretension SPD DC 2P, 1000V DC, CLAMPER/DC SURGE PROTECCION</v>
      </c>
      <c r="F176" s="497"/>
      <c r="G176" s="567">
        <f>VLOOKUP(D176,'Precios Equipos'!$C$25:$F$208,3,0)</f>
        <v>405</v>
      </c>
      <c r="H176" s="561">
        <f>G176*C176</f>
        <v>405</v>
      </c>
      <c r="I176" s="1087"/>
      <c r="J176" s="1088"/>
      <c r="K176" s="539"/>
      <c r="L176" s="738" t="s">
        <v>672</v>
      </c>
      <c r="M176" s="739">
        <v>7</v>
      </c>
      <c r="N176" s="740">
        <v>1</v>
      </c>
      <c r="O176" s="741">
        <f t="shared" si="11"/>
        <v>7</v>
      </c>
      <c r="Q176" s="465">
        <f t="shared" si="12"/>
        <v>8</v>
      </c>
    </row>
    <row r="177" spans="1:17" ht="16.5" thickBot="1" x14ac:dyDescent="0.3">
      <c r="B177" s="493"/>
      <c r="C177" s="526">
        <v>4</v>
      </c>
      <c r="D177" s="494" t="str">
        <f>+'Precios Equipos'!$C$67</f>
        <v>Bornera 4mm2, Riel Din, tipo tornillo, ONKA</v>
      </c>
      <c r="F177" s="497"/>
      <c r="G177" s="567">
        <f>VLOOKUP(D177,'Precios Equipos'!$C$25:$F$208,3,0)</f>
        <v>880</v>
      </c>
      <c r="H177" s="561">
        <f>G177*C177</f>
        <v>3520</v>
      </c>
      <c r="I177" s="1087"/>
      <c r="J177" s="1088"/>
      <c r="K177" s="539"/>
      <c r="L177" s="666"/>
      <c r="M177" s="666"/>
      <c r="N177" s="666"/>
      <c r="O177" s="749">
        <f>SUM(O170:O176)</f>
        <v>65.06583333333333</v>
      </c>
      <c r="Q177" s="465">
        <f t="shared" si="12"/>
        <v>32</v>
      </c>
    </row>
    <row r="178" spans="1:17" x14ac:dyDescent="0.25">
      <c r="B178" s="493"/>
      <c r="C178" s="526">
        <v>2</v>
      </c>
      <c r="D178" s="494" t="str">
        <f>+'Precios Equipos'!$C$68</f>
        <v>Conector MC4</v>
      </c>
      <c r="F178" s="497"/>
      <c r="G178" s="567">
        <f>VLOOKUP(D178,'Precios Equipos'!$C$25:$F$208,3,0)</f>
        <v>440</v>
      </c>
      <c r="H178" s="561">
        <f>G178*C178</f>
        <v>880</v>
      </c>
      <c r="I178" s="1087"/>
      <c r="J178" s="1088"/>
      <c r="K178" s="539"/>
      <c r="O178" s="468"/>
      <c r="Q178" s="465">
        <f t="shared" si="12"/>
        <v>16</v>
      </c>
    </row>
    <row r="179" spans="1:17" x14ac:dyDescent="0.25">
      <c r="B179" s="493"/>
      <c r="C179" s="526">
        <v>3</v>
      </c>
      <c r="D179" s="494" t="str">
        <f>+'Precios Equipos'!$C$75</f>
        <v>Prensaestopa PG09</v>
      </c>
      <c r="F179" s="497"/>
      <c r="G179" s="567">
        <f>VLOOKUP(D179,'Precios Equipos'!$C$25:$F$208,3,0)</f>
        <v>497</v>
      </c>
      <c r="H179" s="561">
        <f>G179*C179</f>
        <v>1491</v>
      </c>
      <c r="I179" s="561"/>
      <c r="J179" s="924"/>
      <c r="K179" s="539"/>
      <c r="O179" s="468"/>
      <c r="Q179" s="465">
        <f t="shared" si="12"/>
        <v>24</v>
      </c>
    </row>
    <row r="180" spans="1:17" x14ac:dyDescent="0.25">
      <c r="B180" s="521"/>
      <c r="C180" s="527" t="s">
        <v>17</v>
      </c>
      <c r="D180" s="522" t="s">
        <v>48</v>
      </c>
      <c r="E180" s="523"/>
      <c r="F180" s="524"/>
      <c r="G180" s="567"/>
      <c r="H180" s="561">
        <f>O177</f>
        <v>65.06583333333333</v>
      </c>
      <c r="I180" s="561">
        <f>SUM(H180)</f>
        <v>65.06583333333333</v>
      </c>
      <c r="J180" s="924">
        <f>+I180/H181</f>
        <v>9.5684122665969287E-3</v>
      </c>
      <c r="K180" s="539"/>
      <c r="O180" s="468"/>
    </row>
    <row r="181" spans="1:17" x14ac:dyDescent="0.25">
      <c r="B181" s="466"/>
      <c r="G181" s="618" t="s">
        <v>97</v>
      </c>
      <c r="H181" s="561">
        <f>SUM(H172:H180)</f>
        <v>6800.0658333333331</v>
      </c>
      <c r="I181" s="539"/>
      <c r="J181" s="974"/>
      <c r="K181" s="539"/>
      <c r="O181" s="468"/>
    </row>
    <row r="182" spans="1:17" x14ac:dyDescent="0.25">
      <c r="B182" s="466"/>
      <c r="D182" s="494"/>
      <c r="G182" s="618" t="s">
        <v>105</v>
      </c>
      <c r="H182" s="561">
        <f>H181*$M$150</f>
        <v>2040.0197499999999</v>
      </c>
      <c r="I182" s="539"/>
      <c r="J182" s="974"/>
      <c r="K182" s="539"/>
      <c r="O182" s="468"/>
    </row>
    <row r="183" spans="1:17" x14ac:dyDescent="0.25">
      <c r="B183" s="466"/>
      <c r="G183" s="618" t="s">
        <v>452</v>
      </c>
      <c r="H183" s="561">
        <f>H181+H182</f>
        <v>8840.0855833333335</v>
      </c>
      <c r="I183" s="477"/>
      <c r="J183" s="924">
        <f>SUM(J171:J181)</f>
        <v>1</v>
      </c>
      <c r="K183" s="539"/>
      <c r="O183" s="468"/>
    </row>
    <row r="184" spans="1:17" x14ac:dyDescent="0.25">
      <c r="B184" s="514" t="s">
        <v>6</v>
      </c>
      <c r="C184" s="515" t="s">
        <v>0</v>
      </c>
      <c r="D184" s="606" t="s">
        <v>8</v>
      </c>
      <c r="E184" s="516" t="s">
        <v>4</v>
      </c>
      <c r="F184" s="516" t="s">
        <v>3</v>
      </c>
      <c r="G184" s="477"/>
      <c r="H184" s="477"/>
      <c r="I184" s="587"/>
      <c r="K184" s="539"/>
      <c r="O184" s="468"/>
    </row>
    <row r="185" spans="1:17" ht="16.5" thickBot="1" x14ac:dyDescent="0.3">
      <c r="A185" s="463">
        <v>151</v>
      </c>
      <c r="B185" s="1077">
        <f>B26</f>
        <v>1.02</v>
      </c>
      <c r="C185" s="1077">
        <f>C26</f>
        <v>3</v>
      </c>
      <c r="D185" s="1077" t="str">
        <f>D26</f>
        <v>CAJA CON SOPORTE 02 STRING 1KV</v>
      </c>
      <c r="E185" s="518">
        <f>H199</f>
        <v>16892.448083333333</v>
      </c>
      <c r="F185" s="518">
        <f>+E185*C185</f>
        <v>50677.344249999995</v>
      </c>
      <c r="G185" s="618" t="s">
        <v>450</v>
      </c>
      <c r="H185" s="553" t="s">
        <v>1</v>
      </c>
      <c r="I185" s="477"/>
      <c r="K185" s="539"/>
      <c r="O185" s="468"/>
    </row>
    <row r="186" spans="1:17" ht="16.5" thickBot="1" x14ac:dyDescent="0.3">
      <c r="B186" s="1101"/>
      <c r="C186" s="1101"/>
      <c r="D186" s="1101"/>
      <c r="E186" s="520" t="s">
        <v>50</v>
      </c>
      <c r="F186" s="598" t="s">
        <v>50</v>
      </c>
      <c r="G186" s="618" t="s">
        <v>50</v>
      </c>
      <c r="H186" s="553" t="s">
        <v>50</v>
      </c>
      <c r="I186" s="477"/>
      <c r="K186" s="539"/>
      <c r="L186" s="746" t="s">
        <v>88</v>
      </c>
      <c r="M186" s="747" t="s">
        <v>85</v>
      </c>
      <c r="N186" s="747" t="s">
        <v>297</v>
      </c>
      <c r="O186" s="748" t="s">
        <v>589</v>
      </c>
    </row>
    <row r="187" spans="1:17" x14ac:dyDescent="0.25">
      <c r="B187" s="599"/>
      <c r="C187" s="603"/>
      <c r="D187" s="600"/>
      <c r="E187" s="601"/>
      <c r="F187" s="602"/>
      <c r="G187" s="567"/>
      <c r="H187" s="561"/>
      <c r="I187" s="477"/>
      <c r="K187" s="539"/>
      <c r="L187" s="742" t="s">
        <v>667</v>
      </c>
      <c r="M187" s="743">
        <f>8.05/2</f>
        <v>4.0250000000000004</v>
      </c>
      <c r="N187" s="744">
        <v>0.3</v>
      </c>
      <c r="O187" s="745">
        <f t="shared" ref="O187:O193" si="13">+M187*N187</f>
        <v>1.2075</v>
      </c>
    </row>
    <row r="188" spans="1:17" x14ac:dyDescent="0.25">
      <c r="B188" s="493"/>
      <c r="C188" s="526">
        <v>1</v>
      </c>
      <c r="D188" s="500" t="str">
        <f>+'Precios Equipos'!$C$187</f>
        <v>Gabinete Metalico 400x500x250mm. (Alto x Ancho x Profundidad)</v>
      </c>
      <c r="F188" s="495"/>
      <c r="G188" s="567">
        <f>VLOOKUP(D188,'Precios Equipos'!$C$25:$F$208,3,0)</f>
        <v>57</v>
      </c>
      <c r="H188" s="561">
        <f t="shared" ref="H188" si="14">G188*C188</f>
        <v>57</v>
      </c>
      <c r="I188" s="561">
        <f>SUM(H188)</f>
        <v>57</v>
      </c>
      <c r="J188" s="924">
        <f>+I188/H197</f>
        <v>4.3865755652734307E-3</v>
      </c>
      <c r="K188" s="539"/>
      <c r="L188" s="735" t="s">
        <v>668</v>
      </c>
      <c r="M188" s="662">
        <v>8</v>
      </c>
      <c r="N188" s="663">
        <v>0.3</v>
      </c>
      <c r="O188" s="736">
        <f t="shared" si="13"/>
        <v>2.4</v>
      </c>
      <c r="Q188" s="465">
        <f>+C188*$C$185</f>
        <v>3</v>
      </c>
    </row>
    <row r="189" spans="1:17" x14ac:dyDescent="0.25">
      <c r="B189" s="493"/>
      <c r="C189" s="526"/>
      <c r="D189" s="494"/>
      <c r="F189" s="495"/>
      <c r="G189" s="723"/>
      <c r="H189" s="729"/>
      <c r="I189" s="524"/>
      <c r="K189" s="539"/>
      <c r="L189" s="737" t="s">
        <v>669</v>
      </c>
      <c r="M189" s="662">
        <f>190/6</f>
        <v>31.666666666666668</v>
      </c>
      <c r="N189" s="663">
        <v>0.2</v>
      </c>
      <c r="O189" s="736">
        <f t="shared" si="13"/>
        <v>6.3333333333333339</v>
      </c>
    </row>
    <row r="190" spans="1:17" x14ac:dyDescent="0.25">
      <c r="B190" s="493"/>
      <c r="C190" s="526"/>
      <c r="D190" s="620" t="s">
        <v>568</v>
      </c>
      <c r="F190" s="495"/>
      <c r="G190" s="567"/>
      <c r="H190" s="561"/>
      <c r="I190" s="477"/>
      <c r="K190" s="539"/>
      <c r="L190" s="737" t="s">
        <v>670</v>
      </c>
      <c r="M190" s="662">
        <v>3.75</v>
      </c>
      <c r="N190" s="663">
        <f>3.5*C191</f>
        <v>7</v>
      </c>
      <c r="O190" s="736">
        <f t="shared" si="13"/>
        <v>26.25</v>
      </c>
    </row>
    <row r="191" spans="1:17" x14ac:dyDescent="0.25">
      <c r="B191" s="493"/>
      <c r="C191" s="526">
        <v>2</v>
      </c>
      <c r="D191" s="468" t="str">
        <f>+'Precios Equipos'!$C$55</f>
        <v>Interruptor Riel Din 2x25A. S202M 20kA en 250VDC, ABB</v>
      </c>
      <c r="F191" s="497"/>
      <c r="G191" s="567">
        <f>VLOOKUP(D191,'Precios Equipos'!$C$25:$F$208,3,0)</f>
        <v>382</v>
      </c>
      <c r="H191" s="561">
        <f t="shared" ref="H191:H195" si="15">G191*C191</f>
        <v>764</v>
      </c>
      <c r="I191" s="1081">
        <f>SUM(H191:H196)</f>
        <v>12937.190833333334</v>
      </c>
      <c r="J191" s="1084">
        <f>+I191/H197</f>
        <v>0.99561342443472656</v>
      </c>
      <c r="K191" s="539"/>
      <c r="L191" s="737" t="s">
        <v>671</v>
      </c>
      <c r="M191" s="662">
        <v>15</v>
      </c>
      <c r="N191" s="664">
        <v>2</v>
      </c>
      <c r="O191" s="736">
        <f t="shared" si="13"/>
        <v>30</v>
      </c>
      <c r="Q191" s="465">
        <f t="shared" ref="Q191:Q195" si="16">+C191*$C$185</f>
        <v>6</v>
      </c>
    </row>
    <row r="192" spans="1:17" x14ac:dyDescent="0.25">
      <c r="B192" s="493"/>
      <c r="C192" s="526">
        <v>2</v>
      </c>
      <c r="D192" s="468" t="str">
        <f>+'Precios Equipos'!$C$60</f>
        <v>Protector de sobretension SPD DC 2P, 1000V DC, CLAMPER/DC SURGE PROTECCION</v>
      </c>
      <c r="F192" s="497"/>
      <c r="G192" s="567">
        <f>VLOOKUP(D192,'Precios Equipos'!$C$25:$F$208,3,0)</f>
        <v>405</v>
      </c>
      <c r="H192" s="561">
        <f t="shared" si="15"/>
        <v>810</v>
      </c>
      <c r="I192" s="1082"/>
      <c r="J192" s="1085"/>
      <c r="K192" s="539"/>
      <c r="L192" s="737" t="s">
        <v>569</v>
      </c>
      <c r="M192" s="662">
        <v>5</v>
      </c>
      <c r="N192" s="665">
        <v>1</v>
      </c>
      <c r="O192" s="736">
        <f t="shared" si="13"/>
        <v>5</v>
      </c>
      <c r="Q192" s="465">
        <f t="shared" si="16"/>
        <v>6</v>
      </c>
    </row>
    <row r="193" spans="1:17" ht="16.5" thickBot="1" x14ac:dyDescent="0.3">
      <c r="B193" s="493"/>
      <c r="C193" s="526">
        <v>8</v>
      </c>
      <c r="D193" s="494" t="str">
        <f>+'Precios Equipos'!$C$67</f>
        <v>Bornera 4mm2, Riel Din, tipo tornillo, ONKA</v>
      </c>
      <c r="F193" s="497"/>
      <c r="G193" s="567">
        <f>VLOOKUP(D193,'Precios Equipos'!$C$25:$F$208,3,0)</f>
        <v>880</v>
      </c>
      <c r="H193" s="561">
        <f t="shared" si="15"/>
        <v>7040</v>
      </c>
      <c r="I193" s="1082"/>
      <c r="J193" s="1085"/>
      <c r="K193" s="539"/>
      <c r="L193" s="738" t="s">
        <v>672</v>
      </c>
      <c r="M193" s="739">
        <v>7</v>
      </c>
      <c r="N193" s="740">
        <v>1</v>
      </c>
      <c r="O193" s="741">
        <f t="shared" si="13"/>
        <v>7</v>
      </c>
      <c r="Q193" s="465">
        <f t="shared" si="16"/>
        <v>24</v>
      </c>
    </row>
    <row r="194" spans="1:17" x14ac:dyDescent="0.25">
      <c r="B194" s="493"/>
      <c r="C194" s="526">
        <v>4</v>
      </c>
      <c r="D194" s="494" t="str">
        <f>+'Precios Equipos'!$C$68</f>
        <v>Conector MC4</v>
      </c>
      <c r="F194" s="497"/>
      <c r="G194" s="567">
        <f>VLOOKUP(D194,'Precios Equipos'!$C$25:$F$208,3,0)</f>
        <v>440</v>
      </c>
      <c r="H194" s="561">
        <f t="shared" si="15"/>
        <v>1760</v>
      </c>
      <c r="I194" s="1083"/>
      <c r="J194" s="1086"/>
      <c r="K194" s="539"/>
      <c r="L194" s="666"/>
      <c r="M194" s="666"/>
      <c r="N194" s="666"/>
      <c r="O194" s="667">
        <f>SUM(O187:O193)</f>
        <v>78.19083333333333</v>
      </c>
      <c r="Q194" s="465">
        <f t="shared" si="16"/>
        <v>12</v>
      </c>
    </row>
    <row r="195" spans="1:17" x14ac:dyDescent="0.25">
      <c r="B195" s="493"/>
      <c r="C195" s="526">
        <v>5</v>
      </c>
      <c r="D195" s="494" t="str">
        <f>+'Precios Equipos'!$C$75</f>
        <v>Prensaestopa PG09</v>
      </c>
      <c r="F195" s="497"/>
      <c r="G195" s="567">
        <f>VLOOKUP(D195,'Precios Equipos'!$C$25:$F$208,3,0)</f>
        <v>497</v>
      </c>
      <c r="H195" s="561">
        <f t="shared" si="15"/>
        <v>2485</v>
      </c>
      <c r="I195" s="660"/>
      <c r="J195" s="971"/>
      <c r="K195" s="539"/>
      <c r="O195" s="468"/>
      <c r="Q195" s="465">
        <f t="shared" si="16"/>
        <v>15</v>
      </c>
    </row>
    <row r="196" spans="1:17" x14ac:dyDescent="0.25">
      <c r="B196" s="521"/>
      <c r="C196" s="527" t="s">
        <v>17</v>
      </c>
      <c r="D196" s="604" t="s">
        <v>48</v>
      </c>
      <c r="E196" s="523"/>
      <c r="F196" s="524"/>
      <c r="G196" s="567"/>
      <c r="H196" s="561">
        <f>O194</f>
        <v>78.19083333333333</v>
      </c>
      <c r="I196" s="561">
        <f>SUM(H196)</f>
        <v>78.19083333333333</v>
      </c>
      <c r="J196" s="924">
        <f>+I196/H197</f>
        <v>6.0173684022520567E-3</v>
      </c>
      <c r="K196" s="539"/>
      <c r="O196" s="468"/>
    </row>
    <row r="197" spans="1:17" x14ac:dyDescent="0.25">
      <c r="C197" s="468"/>
      <c r="D197" s="468"/>
      <c r="G197" s="618" t="s">
        <v>97</v>
      </c>
      <c r="H197" s="561">
        <f>SUM(H188:H196)</f>
        <v>12994.190833333334</v>
      </c>
      <c r="I197" s="539"/>
      <c r="J197" s="974"/>
      <c r="K197" s="539"/>
      <c r="O197" s="468"/>
    </row>
    <row r="198" spans="1:17" x14ac:dyDescent="0.25">
      <c r="C198" s="468"/>
      <c r="D198" s="468"/>
      <c r="G198" s="618" t="s">
        <v>105</v>
      </c>
      <c r="H198" s="561">
        <f>H197*$M$150</f>
        <v>3898.2572500000001</v>
      </c>
      <c r="I198" s="539"/>
      <c r="J198" s="974"/>
      <c r="K198" s="539"/>
      <c r="O198" s="468"/>
    </row>
    <row r="199" spans="1:17" x14ac:dyDescent="0.25">
      <c r="C199" s="468"/>
      <c r="D199" s="468"/>
      <c r="G199" s="618" t="s">
        <v>452</v>
      </c>
      <c r="H199" s="561">
        <f>H197+H198</f>
        <v>16892.448083333333</v>
      </c>
      <c r="I199" s="477"/>
      <c r="J199" s="924">
        <f>SUM(J187:J197)</f>
        <v>1.006017368402252</v>
      </c>
      <c r="K199" s="539"/>
      <c r="O199" s="468"/>
    </row>
    <row r="200" spans="1:17" x14ac:dyDescent="0.25">
      <c r="B200" s="514" t="s">
        <v>6</v>
      </c>
      <c r="C200" s="515" t="s">
        <v>0</v>
      </c>
      <c r="D200" s="606" t="s">
        <v>8</v>
      </c>
      <c r="E200" s="516" t="s">
        <v>4</v>
      </c>
      <c r="F200" s="516" t="s">
        <v>3</v>
      </c>
      <c r="G200" s="477"/>
      <c r="H200" s="477"/>
      <c r="I200" s="587"/>
      <c r="K200" s="539"/>
      <c r="O200" s="468"/>
    </row>
    <row r="201" spans="1:17" x14ac:dyDescent="0.25">
      <c r="A201" s="463">
        <v>152</v>
      </c>
      <c r="B201" s="1077">
        <f>B27</f>
        <v>1.03</v>
      </c>
      <c r="C201" s="1077">
        <f>C27</f>
        <v>5</v>
      </c>
      <c r="D201" s="1077" t="str">
        <f>D27</f>
        <v>CAJA CON SOPORTE 03 STRING 1KV</v>
      </c>
      <c r="E201" s="518">
        <f>H215</f>
        <v>24944.810583333332</v>
      </c>
      <c r="F201" s="518">
        <f>+E201*C201</f>
        <v>124724.05291666667</v>
      </c>
      <c r="G201" s="553" t="s">
        <v>450</v>
      </c>
      <c r="H201" s="553" t="s">
        <v>1</v>
      </c>
      <c r="I201" s="477"/>
      <c r="K201" s="539"/>
      <c r="O201" s="468"/>
    </row>
    <row r="202" spans="1:17" x14ac:dyDescent="0.25">
      <c r="B202" s="1101"/>
      <c r="C202" s="1101"/>
      <c r="D202" s="1101"/>
      <c r="E202" s="520" t="s">
        <v>50</v>
      </c>
      <c r="F202" s="598" t="s">
        <v>50</v>
      </c>
      <c r="G202" s="553" t="s">
        <v>50</v>
      </c>
      <c r="H202" s="553" t="s">
        <v>50</v>
      </c>
      <c r="I202" s="477"/>
      <c r="K202" s="539"/>
      <c r="O202" s="468"/>
    </row>
    <row r="203" spans="1:17" ht="16.5" thickBot="1" x14ac:dyDescent="0.3">
      <c r="B203" s="605"/>
      <c r="C203" s="603"/>
      <c r="D203" s="600"/>
      <c r="E203" s="601"/>
      <c r="F203" s="602"/>
      <c r="G203" s="567"/>
      <c r="H203" s="561"/>
      <c r="I203" s="477"/>
      <c r="K203" s="539"/>
      <c r="O203" s="468"/>
    </row>
    <row r="204" spans="1:17" ht="16.5" thickBot="1" x14ac:dyDescent="0.3">
      <c r="B204" s="493"/>
      <c r="C204" s="526">
        <v>1</v>
      </c>
      <c r="D204" s="500" t="str">
        <f>+'Precios Equipos'!$C$187</f>
        <v>Gabinete Metalico 400x500x250mm. (Alto x Ancho x Profundidad)</v>
      </c>
      <c r="F204" s="495"/>
      <c r="G204" s="567">
        <f>VLOOKUP(D204,'Precios Equipos'!$C$25:$F$208,3,0)</f>
        <v>57</v>
      </c>
      <c r="H204" s="561">
        <f t="shared" ref="H204" si="17">G204*C204</f>
        <v>57</v>
      </c>
      <c r="I204" s="561">
        <f>SUM(H204)</f>
        <v>57</v>
      </c>
      <c r="J204" s="924">
        <f>+I204/H213</f>
        <v>2.9705577339404331E-3</v>
      </c>
      <c r="K204" s="539"/>
      <c r="L204" s="746" t="s">
        <v>88</v>
      </c>
      <c r="M204" s="747" t="s">
        <v>85</v>
      </c>
      <c r="N204" s="747" t="s">
        <v>297</v>
      </c>
      <c r="O204" s="748" t="s">
        <v>589</v>
      </c>
      <c r="Q204" s="465">
        <f>+C204*$C$201</f>
        <v>5</v>
      </c>
    </row>
    <row r="205" spans="1:17" x14ac:dyDescent="0.25">
      <c r="B205" s="596"/>
      <c r="C205" s="526"/>
      <c r="D205" s="494"/>
      <c r="F205" s="495"/>
      <c r="G205" s="567"/>
      <c r="H205" s="561"/>
      <c r="I205" s="477"/>
      <c r="K205" s="539"/>
      <c r="L205" s="742" t="s">
        <v>667</v>
      </c>
      <c r="M205" s="743">
        <f>8.05/2</f>
        <v>4.0250000000000004</v>
      </c>
      <c r="N205" s="744">
        <v>0.3</v>
      </c>
      <c r="O205" s="745">
        <f t="shared" ref="O205:O211" si="18">+M205*N205</f>
        <v>1.2075</v>
      </c>
    </row>
    <row r="206" spans="1:17" x14ac:dyDescent="0.25">
      <c r="B206" s="493"/>
      <c r="C206" s="526"/>
      <c r="D206" s="620" t="s">
        <v>568</v>
      </c>
      <c r="F206" s="495"/>
      <c r="G206" s="567"/>
      <c r="H206" s="561"/>
      <c r="I206" s="477"/>
      <c r="K206" s="539"/>
      <c r="L206" s="735" t="s">
        <v>668</v>
      </c>
      <c r="M206" s="662">
        <v>8</v>
      </c>
      <c r="N206" s="663">
        <v>0.3</v>
      </c>
      <c r="O206" s="736">
        <f t="shared" si="18"/>
        <v>2.4</v>
      </c>
    </row>
    <row r="207" spans="1:17" x14ac:dyDescent="0.25">
      <c r="B207" s="493"/>
      <c r="C207" s="526">
        <v>3</v>
      </c>
      <c r="D207" s="468" t="str">
        <f>+'Precios Equipos'!$C$55</f>
        <v>Interruptor Riel Din 2x25A. S202M 20kA en 250VDC, ABB</v>
      </c>
      <c r="F207" s="497"/>
      <c r="G207" s="567">
        <f>VLOOKUP(D207,'Precios Equipos'!$C$25:$F$208,3,0)</f>
        <v>382</v>
      </c>
      <c r="H207" s="561">
        <f t="shared" ref="H207:H211" si="19">G207*C207</f>
        <v>1146</v>
      </c>
      <c r="I207" s="1081">
        <f>SUM(H207:H212)</f>
        <v>19131.315833333334</v>
      </c>
      <c r="J207" s="1114">
        <f>+I207/H213</f>
        <v>0.99702944226605961</v>
      </c>
      <c r="K207" s="539"/>
      <c r="L207" s="737" t="s">
        <v>669</v>
      </c>
      <c r="M207" s="662">
        <f>190/6</f>
        <v>31.666666666666668</v>
      </c>
      <c r="N207" s="663">
        <v>0.2</v>
      </c>
      <c r="O207" s="736">
        <f t="shared" si="18"/>
        <v>6.3333333333333339</v>
      </c>
      <c r="Q207" s="465">
        <f t="shared" ref="Q207:Q211" si="20">+C207*$C$201</f>
        <v>15</v>
      </c>
    </row>
    <row r="208" spans="1:17" x14ac:dyDescent="0.25">
      <c r="B208" s="493"/>
      <c r="C208" s="526">
        <v>3</v>
      </c>
      <c r="D208" s="468" t="str">
        <f>+'Precios Equipos'!$C$60</f>
        <v>Protector de sobretension SPD DC 2P, 1000V DC, CLAMPER/DC SURGE PROTECCION</v>
      </c>
      <c r="F208" s="497"/>
      <c r="G208" s="567">
        <f>VLOOKUP(D208,'Precios Equipos'!$C$25:$F$208,3,0)</f>
        <v>405</v>
      </c>
      <c r="H208" s="561">
        <f t="shared" si="19"/>
        <v>1215</v>
      </c>
      <c r="I208" s="1082"/>
      <c r="J208" s="1120"/>
      <c r="K208" s="539"/>
      <c r="L208" s="737" t="s">
        <v>670</v>
      </c>
      <c r="M208" s="662">
        <v>3.75</v>
      </c>
      <c r="N208" s="663">
        <f>3.5*C207</f>
        <v>10.5</v>
      </c>
      <c r="O208" s="736">
        <f t="shared" si="18"/>
        <v>39.375</v>
      </c>
      <c r="Q208" s="465">
        <f t="shared" si="20"/>
        <v>15</v>
      </c>
    </row>
    <row r="209" spans="1:17" x14ac:dyDescent="0.25">
      <c r="B209" s="493"/>
      <c r="C209" s="526">
        <v>12</v>
      </c>
      <c r="D209" s="494" t="str">
        <f>+'Precios Equipos'!$C$67</f>
        <v>Bornera 4mm2, Riel Din, tipo tornillo, ONKA</v>
      </c>
      <c r="F209" s="497"/>
      <c r="G209" s="567">
        <f>VLOOKUP(D209,'Precios Equipos'!$C$25:$F$208,3,0)</f>
        <v>880</v>
      </c>
      <c r="H209" s="561">
        <f t="shared" si="19"/>
        <v>10560</v>
      </c>
      <c r="I209" s="1082"/>
      <c r="J209" s="1120"/>
      <c r="K209" s="539"/>
      <c r="L209" s="737" t="s">
        <v>671</v>
      </c>
      <c r="M209" s="662">
        <v>15</v>
      </c>
      <c r="N209" s="664">
        <v>2</v>
      </c>
      <c r="O209" s="736">
        <f t="shared" si="18"/>
        <v>30</v>
      </c>
      <c r="Q209" s="465">
        <f t="shared" si="20"/>
        <v>60</v>
      </c>
    </row>
    <row r="210" spans="1:17" x14ac:dyDescent="0.25">
      <c r="B210" s="493"/>
      <c r="C210" s="526">
        <v>6</v>
      </c>
      <c r="D210" s="494" t="str">
        <f>+'Precios Equipos'!$C$68</f>
        <v>Conector MC4</v>
      </c>
      <c r="F210" s="497"/>
      <c r="G210" s="567">
        <f>VLOOKUP(D210,'Precios Equipos'!$C$25:$F$208,3,0)</f>
        <v>440</v>
      </c>
      <c r="H210" s="561">
        <f t="shared" si="19"/>
        <v>2640</v>
      </c>
      <c r="I210" s="1083"/>
      <c r="J210" s="1115"/>
      <c r="K210" s="539"/>
      <c r="L210" s="737" t="s">
        <v>569</v>
      </c>
      <c r="M210" s="662">
        <v>5</v>
      </c>
      <c r="N210" s="665">
        <v>1</v>
      </c>
      <c r="O210" s="736">
        <f t="shared" si="18"/>
        <v>5</v>
      </c>
      <c r="Q210" s="465">
        <f t="shared" si="20"/>
        <v>30</v>
      </c>
    </row>
    <row r="211" spans="1:17" ht="16.5" thickBot="1" x14ac:dyDescent="0.3">
      <c r="B211" s="493"/>
      <c r="C211" s="526">
        <v>7</v>
      </c>
      <c r="D211" s="494" t="str">
        <f>+'Precios Equipos'!$C$75</f>
        <v>Prensaestopa PG09</v>
      </c>
      <c r="F211" s="497"/>
      <c r="G211" s="567">
        <f>VLOOKUP(D211,'Precios Equipos'!$C$25:$F$208,3,0)</f>
        <v>497</v>
      </c>
      <c r="H211" s="561">
        <f t="shared" si="19"/>
        <v>3479</v>
      </c>
      <c r="I211" s="660"/>
      <c r="J211" s="972"/>
      <c r="K211" s="539"/>
      <c r="L211" s="738" t="s">
        <v>672</v>
      </c>
      <c r="M211" s="739">
        <v>7</v>
      </c>
      <c r="N211" s="740">
        <v>1</v>
      </c>
      <c r="O211" s="741">
        <f t="shared" si="18"/>
        <v>7</v>
      </c>
      <c r="Q211" s="465">
        <f t="shared" si="20"/>
        <v>35</v>
      </c>
    </row>
    <row r="212" spans="1:17" x14ac:dyDescent="0.25">
      <c r="B212" s="521"/>
      <c r="C212" s="527" t="s">
        <v>17</v>
      </c>
      <c r="D212" s="522" t="s">
        <v>48</v>
      </c>
      <c r="E212" s="523"/>
      <c r="F212" s="621"/>
      <c r="G212" s="567"/>
      <c r="H212" s="561">
        <f>O212</f>
        <v>91.31583333333333</v>
      </c>
      <c r="I212" s="561">
        <f>SUM(H212)</f>
        <v>91.31583333333333</v>
      </c>
      <c r="J212" s="924">
        <f>+I212/H213</f>
        <v>4.7589290340271737E-3</v>
      </c>
      <c r="K212" s="539"/>
      <c r="L212" s="666"/>
      <c r="M212" s="666"/>
      <c r="N212" s="666"/>
      <c r="O212" s="667">
        <f>SUM(O205:O211)</f>
        <v>91.31583333333333</v>
      </c>
    </row>
    <row r="213" spans="1:17" x14ac:dyDescent="0.25">
      <c r="B213" s="466"/>
      <c r="C213" s="468"/>
      <c r="D213" s="468"/>
      <c r="G213" s="618" t="s">
        <v>97</v>
      </c>
      <c r="H213" s="561">
        <f>SUM(H204:H212)</f>
        <v>19188.315833333334</v>
      </c>
      <c r="I213" s="539"/>
      <c r="J213" s="974"/>
      <c r="K213" s="539"/>
      <c r="O213" s="468"/>
    </row>
    <row r="214" spans="1:17" x14ac:dyDescent="0.25">
      <c r="B214" s="466"/>
      <c r="D214" s="496"/>
      <c r="G214" s="618" t="s">
        <v>105</v>
      </c>
      <c r="H214" s="561">
        <f>H213*$M$150</f>
        <v>5756.4947499999998</v>
      </c>
      <c r="I214" s="539"/>
      <c r="J214" s="974"/>
      <c r="K214" s="539"/>
      <c r="O214" s="468"/>
    </row>
    <row r="215" spans="1:17" x14ac:dyDescent="0.25">
      <c r="B215" s="466"/>
      <c r="D215" s="494"/>
      <c r="G215" s="618" t="s">
        <v>452</v>
      </c>
      <c r="H215" s="561">
        <f>H213+H214</f>
        <v>24944.810583333332</v>
      </c>
      <c r="I215" s="477"/>
      <c r="J215" s="924">
        <f>SUM(J203:J213)</f>
        <v>1.0047589290340271</v>
      </c>
      <c r="K215" s="539"/>
      <c r="P215" s="501"/>
    </row>
    <row r="216" spans="1:17" x14ac:dyDescent="0.25">
      <c r="B216" s="514" t="s">
        <v>6</v>
      </c>
      <c r="C216" s="515" t="s">
        <v>0</v>
      </c>
      <c r="D216" s="606" t="s">
        <v>8</v>
      </c>
      <c r="E216" s="516" t="s">
        <v>4</v>
      </c>
      <c r="F216" s="516" t="s">
        <v>3</v>
      </c>
      <c r="G216" s="477"/>
      <c r="H216" s="477"/>
      <c r="I216" s="587"/>
      <c r="K216" s="539"/>
      <c r="O216" s="468"/>
    </row>
    <row r="217" spans="1:17" x14ac:dyDescent="0.25">
      <c r="A217" s="463">
        <v>152</v>
      </c>
      <c r="B217" s="1077">
        <f>B28</f>
        <v>1.04</v>
      </c>
      <c r="C217" s="1077">
        <f>C28</f>
        <v>23</v>
      </c>
      <c r="D217" s="1077" t="str">
        <f>D28</f>
        <v>CAJA CON SOPORTE 04 STRING 1KV</v>
      </c>
      <c r="E217" s="518">
        <f>H231</f>
        <v>32997.173083333335</v>
      </c>
      <c r="F217" s="518">
        <f>+E217*C217</f>
        <v>758934.98091666668</v>
      </c>
      <c r="G217" s="553" t="s">
        <v>450</v>
      </c>
      <c r="H217" s="553" t="s">
        <v>1</v>
      </c>
      <c r="I217" s="477"/>
      <c r="K217" s="539"/>
      <c r="O217" s="468"/>
    </row>
    <row r="218" spans="1:17" x14ac:dyDescent="0.25">
      <c r="B218" s="1101"/>
      <c r="C218" s="1101"/>
      <c r="D218" s="1101"/>
      <c r="E218" s="520" t="s">
        <v>50</v>
      </c>
      <c r="F218" s="598" t="s">
        <v>50</v>
      </c>
      <c r="G218" s="553" t="s">
        <v>50</v>
      </c>
      <c r="H218" s="553" t="s">
        <v>50</v>
      </c>
      <c r="I218" s="477"/>
      <c r="K218" s="539"/>
      <c r="O218" s="468"/>
    </row>
    <row r="219" spans="1:17" ht="16.5" thickBot="1" x14ac:dyDescent="0.3">
      <c r="B219" s="605"/>
      <c r="C219" s="603"/>
      <c r="D219" s="600"/>
      <c r="E219" s="601"/>
      <c r="F219" s="602"/>
      <c r="G219" s="567"/>
      <c r="H219" s="561"/>
      <c r="I219" s="477"/>
      <c r="K219" s="539"/>
      <c r="O219" s="468"/>
    </row>
    <row r="220" spans="1:17" ht="16.5" thickBot="1" x14ac:dyDescent="0.3">
      <c r="B220" s="493"/>
      <c r="C220" s="526">
        <v>1</v>
      </c>
      <c r="D220" s="500" t="str">
        <f>+'Precios Equipos'!$C$187</f>
        <v>Gabinete Metalico 400x500x250mm. (Alto x Ancho x Profundidad)</v>
      </c>
      <c r="F220" s="495"/>
      <c r="G220" s="567">
        <f>VLOOKUP(D220,'Precios Equipos'!$C$25:$F$208,3,0)</f>
        <v>57</v>
      </c>
      <c r="H220" s="561">
        <f t="shared" ref="H220" si="21">G220*C220</f>
        <v>57</v>
      </c>
      <c r="I220" s="561">
        <f>SUM(H220)</f>
        <v>57</v>
      </c>
      <c r="J220" s="924">
        <f>+I220/H229</f>
        <v>2.2456469168695985E-3</v>
      </c>
      <c r="K220" s="539"/>
      <c r="L220" s="746" t="s">
        <v>88</v>
      </c>
      <c r="M220" s="747" t="s">
        <v>85</v>
      </c>
      <c r="N220" s="747" t="s">
        <v>297</v>
      </c>
      <c r="O220" s="748" t="s">
        <v>589</v>
      </c>
      <c r="Q220" s="465">
        <f>+C220*$C$217</f>
        <v>23</v>
      </c>
    </row>
    <row r="221" spans="1:17" x14ac:dyDescent="0.25">
      <c r="B221" s="493"/>
      <c r="C221" s="526"/>
      <c r="D221" s="494"/>
      <c r="F221" s="495"/>
      <c r="G221" s="567"/>
      <c r="H221" s="561"/>
      <c r="I221" s="477"/>
      <c r="K221" s="539"/>
      <c r="L221" s="742" t="s">
        <v>667</v>
      </c>
      <c r="M221" s="743">
        <f>8.05/2</f>
        <v>4.0250000000000004</v>
      </c>
      <c r="N221" s="744">
        <v>0.3</v>
      </c>
      <c r="O221" s="745">
        <f t="shared" ref="O221:O227" si="22">+M221*N221</f>
        <v>1.2075</v>
      </c>
    </row>
    <row r="222" spans="1:17" x14ac:dyDescent="0.25">
      <c r="B222" s="493"/>
      <c r="C222" s="526"/>
      <c r="D222" s="620" t="s">
        <v>568</v>
      </c>
      <c r="F222" s="495"/>
      <c r="G222" s="567"/>
      <c r="H222" s="561"/>
      <c r="I222" s="477"/>
      <c r="K222" s="539"/>
      <c r="L222" s="735" t="s">
        <v>668</v>
      </c>
      <c r="M222" s="662">
        <v>8</v>
      </c>
      <c r="N222" s="663">
        <v>0.3</v>
      </c>
      <c r="O222" s="736">
        <f t="shared" si="22"/>
        <v>2.4</v>
      </c>
    </row>
    <row r="223" spans="1:17" x14ac:dyDescent="0.25">
      <c r="B223" s="493"/>
      <c r="C223" s="526">
        <v>4</v>
      </c>
      <c r="D223" s="468" t="str">
        <f>+'Precios Equipos'!$C$55</f>
        <v>Interruptor Riel Din 2x25A. S202M 20kA en 250VDC, ABB</v>
      </c>
      <c r="F223" s="497"/>
      <c r="G223" s="567">
        <f>VLOOKUP(D223,'Precios Equipos'!$C$25:$F$208,3,0)</f>
        <v>382</v>
      </c>
      <c r="H223" s="561">
        <f t="shared" ref="H223:H227" si="23">G223*C223</f>
        <v>1528</v>
      </c>
      <c r="I223" s="1087">
        <f>SUM(H223:H227)</f>
        <v>25221</v>
      </c>
      <c r="J223" s="1088">
        <f>+I223/H229</f>
        <v>0.99363966474330068</v>
      </c>
      <c r="K223" s="539"/>
      <c r="L223" s="737" t="s">
        <v>669</v>
      </c>
      <c r="M223" s="662">
        <f>190/6</f>
        <v>31.666666666666668</v>
      </c>
      <c r="N223" s="663">
        <v>0.2</v>
      </c>
      <c r="O223" s="736">
        <f t="shared" si="22"/>
        <v>6.3333333333333339</v>
      </c>
      <c r="Q223" s="465">
        <f t="shared" ref="Q223:Q227" si="24">+C223*$C$217</f>
        <v>92</v>
      </c>
    </row>
    <row r="224" spans="1:17" x14ac:dyDescent="0.25">
      <c r="B224" s="493"/>
      <c r="C224" s="526">
        <v>4</v>
      </c>
      <c r="D224" s="468" t="str">
        <f>+'Precios Equipos'!$C$60</f>
        <v>Protector de sobretension SPD DC 2P, 1000V DC, CLAMPER/DC SURGE PROTECCION</v>
      </c>
      <c r="F224" s="497"/>
      <c r="G224" s="567">
        <f>VLOOKUP(D224,'Precios Equipos'!$C$25:$F$208,3,0)</f>
        <v>405</v>
      </c>
      <c r="H224" s="561">
        <f t="shared" si="23"/>
        <v>1620</v>
      </c>
      <c r="I224" s="1087"/>
      <c r="J224" s="1088"/>
      <c r="K224" s="539"/>
      <c r="L224" s="737" t="s">
        <v>670</v>
      </c>
      <c r="M224" s="662">
        <v>3.75</v>
      </c>
      <c r="N224" s="663">
        <f>3.5*C223</f>
        <v>14</v>
      </c>
      <c r="O224" s="736">
        <f t="shared" si="22"/>
        <v>52.5</v>
      </c>
      <c r="Q224" s="465">
        <f t="shared" si="24"/>
        <v>92</v>
      </c>
    </row>
    <row r="225" spans="1:17" x14ac:dyDescent="0.25">
      <c r="B225" s="493"/>
      <c r="C225" s="526">
        <v>16</v>
      </c>
      <c r="D225" s="494" t="str">
        <f>+'Precios Equipos'!$C$67</f>
        <v>Bornera 4mm2, Riel Din, tipo tornillo, ONKA</v>
      </c>
      <c r="F225" s="497"/>
      <c r="G225" s="567">
        <f>VLOOKUP(D225,'Precios Equipos'!$C$25:$F$208,3,0)</f>
        <v>880</v>
      </c>
      <c r="H225" s="561">
        <f t="shared" si="23"/>
        <v>14080</v>
      </c>
      <c r="I225" s="1087"/>
      <c r="J225" s="1088"/>
      <c r="K225" s="539"/>
      <c r="L225" s="737" t="s">
        <v>671</v>
      </c>
      <c r="M225" s="662">
        <v>15</v>
      </c>
      <c r="N225" s="664">
        <v>2</v>
      </c>
      <c r="O225" s="736">
        <f t="shared" si="22"/>
        <v>30</v>
      </c>
      <c r="Q225" s="465">
        <f t="shared" si="24"/>
        <v>368</v>
      </c>
    </row>
    <row r="226" spans="1:17" x14ac:dyDescent="0.25">
      <c r="B226" s="493"/>
      <c r="C226" s="526">
        <v>8</v>
      </c>
      <c r="D226" s="494" t="str">
        <f>+'Precios Equipos'!$C$68</f>
        <v>Conector MC4</v>
      </c>
      <c r="F226" s="497"/>
      <c r="G226" s="567">
        <f>VLOOKUP(D226,'Precios Equipos'!$C$25:$F$208,3,0)</f>
        <v>440</v>
      </c>
      <c r="H226" s="561">
        <f t="shared" si="23"/>
        <v>3520</v>
      </c>
      <c r="I226" s="1087"/>
      <c r="J226" s="1088"/>
      <c r="K226" s="539"/>
      <c r="L226" s="737" t="s">
        <v>569</v>
      </c>
      <c r="M226" s="662">
        <v>5</v>
      </c>
      <c r="N226" s="665">
        <v>1</v>
      </c>
      <c r="O226" s="736">
        <f t="shared" si="22"/>
        <v>5</v>
      </c>
      <c r="Q226" s="465">
        <f t="shared" si="24"/>
        <v>184</v>
      </c>
    </row>
    <row r="227" spans="1:17" ht="16.5" thickBot="1" x14ac:dyDescent="0.3">
      <c r="B227" s="493"/>
      <c r="C227" s="526">
        <v>9</v>
      </c>
      <c r="D227" s="494" t="str">
        <f>+'Precios Equipos'!$C$75</f>
        <v>Prensaestopa PG09</v>
      </c>
      <c r="F227" s="497"/>
      <c r="G227" s="567">
        <f>VLOOKUP(D227,'Precios Equipos'!$C$25:$F$208,3,0)</f>
        <v>497</v>
      </c>
      <c r="H227" s="561">
        <f t="shared" si="23"/>
        <v>4473</v>
      </c>
      <c r="I227" s="561"/>
      <c r="J227" s="924"/>
      <c r="K227" s="539"/>
      <c r="L227" s="738" t="s">
        <v>672</v>
      </c>
      <c r="M227" s="739">
        <v>7</v>
      </c>
      <c r="N227" s="740">
        <v>1</v>
      </c>
      <c r="O227" s="741">
        <f t="shared" si="22"/>
        <v>7</v>
      </c>
      <c r="Q227" s="465">
        <f t="shared" si="24"/>
        <v>207</v>
      </c>
    </row>
    <row r="228" spans="1:17" x14ac:dyDescent="0.25">
      <c r="B228" s="521"/>
      <c r="C228" s="527" t="s">
        <v>17</v>
      </c>
      <c r="D228" s="522" t="s">
        <v>48</v>
      </c>
      <c r="E228" s="523"/>
      <c r="F228" s="621"/>
      <c r="G228" s="567"/>
      <c r="H228" s="561">
        <f>O228</f>
        <v>104.44083333333333</v>
      </c>
      <c r="I228" s="561">
        <f>SUM(H228)</f>
        <v>104.44083333333333</v>
      </c>
      <c r="J228" s="924">
        <f>+I228/H229</f>
        <v>4.1146883398296766E-3</v>
      </c>
      <c r="K228" s="539"/>
      <c r="L228" s="666"/>
      <c r="M228" s="666"/>
      <c r="N228" s="666"/>
      <c r="O228" s="667">
        <f>SUM(O221:O227)</f>
        <v>104.44083333333333</v>
      </c>
    </row>
    <row r="229" spans="1:17" x14ac:dyDescent="0.25">
      <c r="B229" s="493"/>
      <c r="F229" s="495"/>
      <c r="G229" s="618" t="s">
        <v>97</v>
      </c>
      <c r="H229" s="561">
        <f>SUM(H220:H228)</f>
        <v>25382.440833333334</v>
      </c>
      <c r="I229" s="539"/>
      <c r="J229" s="974"/>
      <c r="K229" s="539"/>
      <c r="O229" s="468"/>
    </row>
    <row r="230" spans="1:17" x14ac:dyDescent="0.25">
      <c r="B230" s="466"/>
      <c r="D230" s="494"/>
      <c r="G230" s="618" t="s">
        <v>105</v>
      </c>
      <c r="H230" s="561">
        <f>H229*$M$150</f>
        <v>7614.73225</v>
      </c>
      <c r="I230" s="539"/>
      <c r="J230" s="974"/>
      <c r="K230" s="539"/>
      <c r="P230" s="501"/>
    </row>
    <row r="231" spans="1:17" x14ac:dyDescent="0.25">
      <c r="B231" s="466"/>
      <c r="D231" s="494"/>
      <c r="G231" s="618" t="s">
        <v>452</v>
      </c>
      <c r="H231" s="561">
        <f>H229+H230</f>
        <v>32997.173083333335</v>
      </c>
      <c r="I231" s="477"/>
      <c r="J231" s="924">
        <f>SUM(J219:J229)</f>
        <v>0.99999999999999989</v>
      </c>
      <c r="K231" s="539"/>
      <c r="L231" s="489"/>
      <c r="M231" s="489"/>
      <c r="N231" s="489"/>
      <c r="O231" s="499"/>
      <c r="P231" s="501"/>
    </row>
    <row r="232" spans="1:17" x14ac:dyDescent="0.25">
      <c r="B232" s="514" t="s">
        <v>6</v>
      </c>
      <c r="C232" s="515" t="s">
        <v>0</v>
      </c>
      <c r="D232" s="606" t="s">
        <v>8</v>
      </c>
      <c r="E232" s="516" t="s">
        <v>4</v>
      </c>
      <c r="F232" s="516" t="s">
        <v>3</v>
      </c>
      <c r="G232" s="477"/>
      <c r="H232" s="477"/>
      <c r="I232" s="587"/>
      <c r="K232" s="539"/>
      <c r="O232" s="468"/>
    </row>
    <row r="233" spans="1:17" x14ac:dyDescent="0.25">
      <c r="A233" s="463">
        <v>152</v>
      </c>
      <c r="B233" s="1077">
        <f>B29</f>
        <v>1.05</v>
      </c>
      <c r="C233" s="1077">
        <f>C29</f>
        <v>8</v>
      </c>
      <c r="D233" s="1077" t="str">
        <f>D29</f>
        <v>CAJA CON SOPORTE 05 STRING 1KV</v>
      </c>
      <c r="E233" s="518">
        <f>H247</f>
        <v>41059.285583333331</v>
      </c>
      <c r="F233" s="518">
        <f>+E233*C233</f>
        <v>328474.28466666664</v>
      </c>
      <c r="G233" s="553" t="s">
        <v>450</v>
      </c>
      <c r="H233" s="553" t="s">
        <v>1</v>
      </c>
      <c r="I233" s="477"/>
      <c r="K233" s="539"/>
      <c r="O233" s="468"/>
    </row>
    <row r="234" spans="1:17" x14ac:dyDescent="0.25">
      <c r="B234" s="1101"/>
      <c r="C234" s="1101"/>
      <c r="D234" s="1101"/>
      <c r="E234" s="520" t="s">
        <v>50</v>
      </c>
      <c r="F234" s="598" t="s">
        <v>50</v>
      </c>
      <c r="G234" s="553" t="s">
        <v>50</v>
      </c>
      <c r="H234" s="553" t="s">
        <v>50</v>
      </c>
      <c r="I234" s="477"/>
      <c r="K234" s="539"/>
      <c r="O234" s="468"/>
    </row>
    <row r="235" spans="1:17" ht="16.5" thickBot="1" x14ac:dyDescent="0.3">
      <c r="B235" s="605"/>
      <c r="C235" s="603"/>
      <c r="D235" s="600"/>
      <c r="E235" s="601"/>
      <c r="F235" s="602"/>
      <c r="G235" s="567"/>
      <c r="H235" s="561"/>
      <c r="I235" s="477"/>
      <c r="K235" s="539"/>
      <c r="O235" s="468"/>
    </row>
    <row r="236" spans="1:17" ht="16.5" thickBot="1" x14ac:dyDescent="0.3">
      <c r="B236" s="493"/>
      <c r="C236" s="526">
        <v>1</v>
      </c>
      <c r="D236" s="500" t="str">
        <f>+'Precios Equipos'!$C$187</f>
        <v>Gabinete Metalico 400x500x250mm. (Alto x Ancho x Profundidad)</v>
      </c>
      <c r="F236" s="495"/>
      <c r="G236" s="567">
        <f>VLOOKUP(D236,'Precios Equipos'!$C$25:$F$208,3,0)</f>
        <v>57</v>
      </c>
      <c r="H236" s="561">
        <f t="shared" ref="H236" si="25">G236*C236</f>
        <v>57</v>
      </c>
      <c r="I236" s="561">
        <f>SUM(H236)</f>
        <v>57</v>
      </c>
      <c r="J236" s="924">
        <f>+I236/H245</f>
        <v>1.8047074844886842E-3</v>
      </c>
      <c r="K236" s="539"/>
      <c r="L236" s="746" t="s">
        <v>88</v>
      </c>
      <c r="M236" s="747" t="s">
        <v>85</v>
      </c>
      <c r="N236" s="747" t="s">
        <v>297</v>
      </c>
      <c r="O236" s="748" t="s">
        <v>589</v>
      </c>
      <c r="Q236" s="465">
        <f>+C236*$C$233</f>
        <v>8</v>
      </c>
    </row>
    <row r="237" spans="1:17" x14ac:dyDescent="0.25">
      <c r="B237" s="493"/>
      <c r="C237" s="526"/>
      <c r="D237" s="494"/>
      <c r="F237" s="495"/>
      <c r="G237" s="567"/>
      <c r="H237" s="561"/>
      <c r="I237" s="477"/>
      <c r="K237" s="539"/>
      <c r="L237" s="742" t="s">
        <v>667</v>
      </c>
      <c r="M237" s="743">
        <f>8.05/2</f>
        <v>4.0250000000000004</v>
      </c>
      <c r="N237" s="744">
        <v>0.3</v>
      </c>
      <c r="O237" s="745">
        <f t="shared" ref="O237:O243" si="26">+M237*N237</f>
        <v>1.2075</v>
      </c>
    </row>
    <row r="238" spans="1:17" x14ac:dyDescent="0.25">
      <c r="B238" s="493"/>
      <c r="C238" s="526"/>
      <c r="D238" s="620" t="s">
        <v>568</v>
      </c>
      <c r="F238" s="495"/>
      <c r="G238" s="567"/>
      <c r="H238" s="561"/>
      <c r="I238" s="477"/>
      <c r="K238" s="539"/>
      <c r="L238" s="735" t="s">
        <v>668</v>
      </c>
      <c r="M238" s="662">
        <v>8</v>
      </c>
      <c r="N238" s="663">
        <v>0.3</v>
      </c>
      <c r="O238" s="736">
        <f t="shared" si="26"/>
        <v>2.4</v>
      </c>
    </row>
    <row r="239" spans="1:17" x14ac:dyDescent="0.25">
      <c r="B239" s="493"/>
      <c r="C239" s="526">
        <v>5</v>
      </c>
      <c r="D239" s="468" t="str">
        <f>+'Precios Equipos'!$C$55</f>
        <v>Interruptor Riel Din 2x25A. S202M 20kA en 250VDC, ABB</v>
      </c>
      <c r="F239" s="497"/>
      <c r="G239" s="567">
        <f>VLOOKUP(D239,'Precios Equipos'!$C$25:$F$208,3,0)</f>
        <v>382</v>
      </c>
      <c r="H239" s="561">
        <f t="shared" ref="H239:H243" si="27">G239*C239</f>
        <v>1910</v>
      </c>
      <c r="I239" s="1133">
        <f>SUM(H239:H243)</f>
        <v>31402</v>
      </c>
      <c r="J239" s="1114">
        <f>+I239/H245</f>
        <v>0.99423551627918705</v>
      </c>
      <c r="K239" s="539"/>
      <c r="L239" s="737" t="s">
        <v>669</v>
      </c>
      <c r="M239" s="662">
        <f>190/6</f>
        <v>31.666666666666668</v>
      </c>
      <c r="N239" s="663">
        <v>0.2</v>
      </c>
      <c r="O239" s="736">
        <f t="shared" si="26"/>
        <v>6.3333333333333339</v>
      </c>
      <c r="Q239" s="465">
        <f t="shared" ref="Q239:Q243" si="28">+C239*$C$233</f>
        <v>40</v>
      </c>
    </row>
    <row r="240" spans="1:17" x14ac:dyDescent="0.25">
      <c r="B240" s="493"/>
      <c r="C240" s="526">
        <v>5</v>
      </c>
      <c r="D240" s="468" t="str">
        <f>+'Precios Equipos'!$C$60</f>
        <v>Protector de sobretension SPD DC 2P, 1000V DC, CLAMPER/DC SURGE PROTECCION</v>
      </c>
      <c r="F240" s="497"/>
      <c r="G240" s="567">
        <f>VLOOKUP(D240,'Precios Equipos'!$C$25:$F$208,3,0)</f>
        <v>405</v>
      </c>
      <c r="H240" s="561">
        <f t="shared" si="27"/>
        <v>2025</v>
      </c>
      <c r="I240" s="1134"/>
      <c r="J240" s="1120"/>
      <c r="K240" s="539"/>
      <c r="L240" s="737" t="s">
        <v>670</v>
      </c>
      <c r="M240" s="662">
        <v>3.75</v>
      </c>
      <c r="N240" s="663">
        <f>3.5*C239</f>
        <v>17.5</v>
      </c>
      <c r="O240" s="736">
        <f t="shared" si="26"/>
        <v>65.625</v>
      </c>
      <c r="Q240" s="465">
        <f t="shared" si="28"/>
        <v>40</v>
      </c>
    </row>
    <row r="241" spans="1:17" x14ac:dyDescent="0.25">
      <c r="B241" s="493"/>
      <c r="C241" s="526">
        <v>20</v>
      </c>
      <c r="D241" s="494" t="str">
        <f>+'Precios Equipos'!$C$67</f>
        <v>Bornera 4mm2, Riel Din, tipo tornillo, ONKA</v>
      </c>
      <c r="F241" s="497"/>
      <c r="G241" s="567">
        <f>VLOOKUP(D241,'Precios Equipos'!$C$25:$F$208,3,0)</f>
        <v>880</v>
      </c>
      <c r="H241" s="561">
        <f t="shared" si="27"/>
        <v>17600</v>
      </c>
      <c r="I241" s="1134"/>
      <c r="J241" s="1120"/>
      <c r="K241" s="539"/>
      <c r="L241" s="737" t="s">
        <v>671</v>
      </c>
      <c r="M241" s="662">
        <v>15</v>
      </c>
      <c r="N241" s="664">
        <v>2.5</v>
      </c>
      <c r="O241" s="736">
        <f t="shared" si="26"/>
        <v>37.5</v>
      </c>
      <c r="Q241" s="465">
        <f t="shared" si="28"/>
        <v>160</v>
      </c>
    </row>
    <row r="242" spans="1:17" x14ac:dyDescent="0.25">
      <c r="B242" s="493"/>
      <c r="C242" s="526">
        <v>10</v>
      </c>
      <c r="D242" s="494" t="str">
        <f>+'Precios Equipos'!$C$68</f>
        <v>Conector MC4</v>
      </c>
      <c r="F242" s="497"/>
      <c r="G242" s="567">
        <f>VLOOKUP(D242,'Precios Equipos'!$C$25:$F$208,3,0)</f>
        <v>440</v>
      </c>
      <c r="H242" s="561">
        <f t="shared" si="27"/>
        <v>4400</v>
      </c>
      <c r="I242" s="1135"/>
      <c r="J242" s="1115"/>
      <c r="K242" s="539"/>
      <c r="L242" s="737" t="s">
        <v>569</v>
      </c>
      <c r="M242" s="662">
        <v>5</v>
      </c>
      <c r="N242" s="665">
        <v>1</v>
      </c>
      <c r="O242" s="736">
        <f t="shared" si="26"/>
        <v>5</v>
      </c>
      <c r="Q242" s="465">
        <f t="shared" si="28"/>
        <v>80</v>
      </c>
    </row>
    <row r="243" spans="1:17" ht="16.5" thickBot="1" x14ac:dyDescent="0.3">
      <c r="B243" s="493"/>
      <c r="C243" s="526">
        <v>11</v>
      </c>
      <c r="D243" s="494" t="str">
        <f>+'Precios Equipos'!$C$75</f>
        <v>Prensaestopa PG09</v>
      </c>
      <c r="F243" s="497"/>
      <c r="G243" s="567">
        <f>VLOOKUP(D243,'Precios Equipos'!$C$25:$F$208,3,0)</f>
        <v>497</v>
      </c>
      <c r="H243" s="561">
        <f t="shared" si="27"/>
        <v>5467</v>
      </c>
      <c r="I243" s="661"/>
      <c r="J243" s="972"/>
      <c r="K243" s="539"/>
      <c r="L243" s="738" t="s">
        <v>672</v>
      </c>
      <c r="M243" s="739">
        <v>7</v>
      </c>
      <c r="N243" s="740">
        <v>1</v>
      </c>
      <c r="O243" s="741">
        <f t="shared" si="26"/>
        <v>7</v>
      </c>
      <c r="Q243" s="465">
        <f t="shared" si="28"/>
        <v>88</v>
      </c>
    </row>
    <row r="244" spans="1:17" x14ac:dyDescent="0.25">
      <c r="B244" s="521"/>
      <c r="C244" s="527" t="s">
        <v>17</v>
      </c>
      <c r="D244" s="522" t="s">
        <v>48</v>
      </c>
      <c r="E244" s="523"/>
      <c r="F244" s="524"/>
      <c r="G244" s="567"/>
      <c r="H244" s="561">
        <f>O244</f>
        <v>125.06583333333333</v>
      </c>
      <c r="I244" s="561">
        <f>SUM(H244)</f>
        <v>125.06583333333333</v>
      </c>
      <c r="J244" s="924">
        <f>+I244/H245</f>
        <v>3.9597762363242283E-3</v>
      </c>
      <c r="K244" s="539"/>
      <c r="L244" s="666"/>
      <c r="M244" s="666"/>
      <c r="N244" s="666"/>
      <c r="O244" s="667">
        <f>SUM(O237:O243)</f>
        <v>125.06583333333333</v>
      </c>
    </row>
    <row r="245" spans="1:17" x14ac:dyDescent="0.25">
      <c r="B245" s="466"/>
      <c r="D245" s="494"/>
      <c r="G245" s="618" t="s">
        <v>97</v>
      </c>
      <c r="H245" s="561">
        <f>SUM(H236:H244)</f>
        <v>31584.065833333334</v>
      </c>
      <c r="I245" s="539"/>
      <c r="J245" s="974"/>
      <c r="K245" s="539"/>
      <c r="O245" s="468"/>
    </row>
    <row r="246" spans="1:17" x14ac:dyDescent="0.25">
      <c r="B246" s="466"/>
      <c r="D246" s="496"/>
      <c r="G246" s="618" t="s">
        <v>105</v>
      </c>
      <c r="H246" s="561">
        <f>H245*$M$150</f>
        <v>9475.2197500000002</v>
      </c>
      <c r="I246" s="539"/>
      <c r="J246" s="974"/>
      <c r="K246" s="539"/>
      <c r="P246" s="501"/>
    </row>
    <row r="247" spans="1:17" x14ac:dyDescent="0.25">
      <c r="C247" s="468"/>
      <c r="D247" s="468"/>
      <c r="G247" s="618" t="s">
        <v>452</v>
      </c>
      <c r="H247" s="561">
        <f>H245+H246</f>
        <v>41059.285583333331</v>
      </c>
      <c r="I247" s="477"/>
      <c r="J247" s="924">
        <f>SUM(J235:J245)</f>
        <v>1</v>
      </c>
      <c r="K247" s="539"/>
      <c r="L247" s="489"/>
      <c r="M247" s="489"/>
      <c r="N247" s="489"/>
      <c r="O247" s="499"/>
      <c r="P247" s="501"/>
    </row>
    <row r="248" spans="1:17" s="467" customFormat="1" x14ac:dyDescent="0.25">
      <c r="A248" s="463"/>
      <c r="B248" s="555" t="s">
        <v>6</v>
      </c>
      <c r="C248" s="515" t="s">
        <v>0</v>
      </c>
      <c r="D248" s="606" t="s">
        <v>8</v>
      </c>
      <c r="E248" s="556" t="s">
        <v>4</v>
      </c>
      <c r="F248" s="556" t="s">
        <v>3</v>
      </c>
      <c r="G248" s="477"/>
      <c r="H248" s="477"/>
      <c r="I248" s="587"/>
      <c r="J248" s="925"/>
      <c r="K248" s="539"/>
      <c r="L248" s="468"/>
      <c r="M248" s="468"/>
      <c r="N248" s="468"/>
      <c r="O248" s="468"/>
      <c r="P248" s="468"/>
      <c r="Q248" s="465"/>
    </row>
    <row r="249" spans="1:17" x14ac:dyDescent="0.25">
      <c r="A249" s="463">
        <v>152</v>
      </c>
      <c r="B249" s="1077">
        <f>B30</f>
        <v>1.06</v>
      </c>
      <c r="C249" s="1077">
        <f>C30</f>
        <v>5</v>
      </c>
      <c r="D249" s="1077" t="str">
        <f>D30</f>
        <v>CAJA CON SOPORTE 06 STRING 1KV</v>
      </c>
      <c r="E249" s="518">
        <f>H263</f>
        <v>49111.648083333333</v>
      </c>
      <c r="F249" s="518">
        <f>+E249*C249</f>
        <v>245558.24041666667</v>
      </c>
      <c r="G249" s="553" t="s">
        <v>450</v>
      </c>
      <c r="H249" s="553" t="s">
        <v>1</v>
      </c>
      <c r="I249" s="477"/>
      <c r="K249" s="539"/>
    </row>
    <row r="250" spans="1:17" x14ac:dyDescent="0.25">
      <c r="B250" s="1101"/>
      <c r="C250" s="1101"/>
      <c r="D250" s="1101"/>
      <c r="E250" s="520" t="s">
        <v>50</v>
      </c>
      <c r="F250" s="598" t="s">
        <v>50</v>
      </c>
      <c r="G250" s="553" t="s">
        <v>50</v>
      </c>
      <c r="H250" s="553" t="s">
        <v>50</v>
      </c>
      <c r="I250" s="477"/>
      <c r="K250" s="539"/>
      <c r="O250" s="468"/>
    </row>
    <row r="251" spans="1:17" ht="16.5" thickBot="1" x14ac:dyDescent="0.3">
      <c r="B251" s="605"/>
      <c r="C251" s="603"/>
      <c r="D251" s="600"/>
      <c r="E251" s="601"/>
      <c r="F251" s="602"/>
      <c r="G251" s="567"/>
      <c r="H251" s="561"/>
      <c r="I251" s="477"/>
      <c r="K251" s="539"/>
      <c r="O251" s="468"/>
    </row>
    <row r="252" spans="1:17" ht="16.5" thickBot="1" x14ac:dyDescent="0.3">
      <c r="B252" s="493"/>
      <c r="C252" s="526">
        <v>1</v>
      </c>
      <c r="D252" s="500" t="str">
        <f>+'Precios Equipos'!$C$187</f>
        <v>Gabinete Metalico 400x500x250mm. (Alto x Ancho x Profundidad)</v>
      </c>
      <c r="F252" s="495"/>
      <c r="G252" s="567">
        <f>VLOOKUP(D252,'Precios Equipos'!$C$25:$F$208,3,0)</f>
        <v>57</v>
      </c>
      <c r="H252" s="561">
        <f t="shared" ref="H252" si="29">G252*C252</f>
        <v>57</v>
      </c>
      <c r="I252" s="561">
        <f>SUM(H252)</f>
        <v>57</v>
      </c>
      <c r="J252" s="924">
        <f>+I252/H261</f>
        <v>1.5088070323819327E-3</v>
      </c>
      <c r="K252" s="539"/>
      <c r="L252" s="746" t="s">
        <v>88</v>
      </c>
      <c r="M252" s="747" t="s">
        <v>85</v>
      </c>
      <c r="N252" s="747" t="s">
        <v>297</v>
      </c>
      <c r="O252" s="748" t="s">
        <v>589</v>
      </c>
      <c r="Q252" s="465">
        <f>+C252*$C$249</f>
        <v>5</v>
      </c>
    </row>
    <row r="253" spans="1:17" x14ac:dyDescent="0.25">
      <c r="B253" s="493"/>
      <c r="C253" s="526"/>
      <c r="D253" s="494"/>
      <c r="F253" s="495"/>
      <c r="G253" s="567"/>
      <c r="H253" s="561"/>
      <c r="I253" s="477"/>
      <c r="K253" s="539"/>
      <c r="L253" s="742" t="s">
        <v>667</v>
      </c>
      <c r="M253" s="743">
        <f>8.05/2</f>
        <v>4.0250000000000004</v>
      </c>
      <c r="N253" s="744">
        <v>0.3</v>
      </c>
      <c r="O253" s="745">
        <f t="shared" ref="O253:O259" si="30">+M253*N253</f>
        <v>1.2075</v>
      </c>
    </row>
    <row r="254" spans="1:17" x14ac:dyDescent="0.25">
      <c r="B254" s="493"/>
      <c r="C254" s="526"/>
      <c r="D254" s="620" t="s">
        <v>568</v>
      </c>
      <c r="F254" s="495"/>
      <c r="G254" s="567"/>
      <c r="H254" s="561"/>
      <c r="I254" s="477"/>
      <c r="K254" s="539"/>
      <c r="L254" s="735" t="s">
        <v>668</v>
      </c>
      <c r="M254" s="662">
        <v>8</v>
      </c>
      <c r="N254" s="663">
        <v>0.3</v>
      </c>
      <c r="O254" s="736">
        <f t="shared" si="30"/>
        <v>2.4</v>
      </c>
    </row>
    <row r="255" spans="1:17" x14ac:dyDescent="0.25">
      <c r="B255" s="493"/>
      <c r="C255" s="526">
        <v>6</v>
      </c>
      <c r="D255" s="468" t="str">
        <f>+'Precios Equipos'!$C$55</f>
        <v>Interruptor Riel Din 2x25A. S202M 20kA en 250VDC, ABB</v>
      </c>
      <c r="F255" s="497"/>
      <c r="G255" s="567">
        <f>VLOOKUP(D255,'Precios Equipos'!$C$25:$F$208,3,0)</f>
        <v>382</v>
      </c>
      <c r="H255" s="561">
        <f t="shared" ref="H255:H259" si="31">G255*C255</f>
        <v>2292</v>
      </c>
      <c r="I255" s="1087">
        <f>SUM(H255:H259)</f>
        <v>37583</v>
      </c>
      <c r="J255" s="1088">
        <f>+I255/H261</f>
        <v>0.99483324031596798</v>
      </c>
      <c r="K255" s="539"/>
      <c r="L255" s="737" t="s">
        <v>669</v>
      </c>
      <c r="M255" s="662">
        <f>190/6</f>
        <v>31.666666666666668</v>
      </c>
      <c r="N255" s="663">
        <v>0.2</v>
      </c>
      <c r="O255" s="736">
        <f t="shared" si="30"/>
        <v>6.3333333333333339</v>
      </c>
      <c r="Q255" s="465">
        <f t="shared" ref="Q255:Q259" si="32">+C255*$C$249</f>
        <v>30</v>
      </c>
    </row>
    <row r="256" spans="1:17" x14ac:dyDescent="0.25">
      <c r="B256" s="493"/>
      <c r="C256" s="526">
        <v>6</v>
      </c>
      <c r="D256" s="468" t="str">
        <f>+'Precios Equipos'!$C$60</f>
        <v>Protector de sobretension SPD DC 2P, 1000V DC, CLAMPER/DC SURGE PROTECCION</v>
      </c>
      <c r="F256" s="497"/>
      <c r="G256" s="567">
        <f>VLOOKUP(D256,'Precios Equipos'!$C$25:$F$208,3,0)</f>
        <v>405</v>
      </c>
      <c r="H256" s="561">
        <f t="shared" si="31"/>
        <v>2430</v>
      </c>
      <c r="I256" s="1087"/>
      <c r="J256" s="1088"/>
      <c r="K256" s="539"/>
      <c r="L256" s="737" t="s">
        <v>670</v>
      </c>
      <c r="M256" s="662">
        <v>3.75</v>
      </c>
      <c r="N256" s="663">
        <f>3.5*C255</f>
        <v>21</v>
      </c>
      <c r="O256" s="736">
        <f t="shared" si="30"/>
        <v>78.75</v>
      </c>
      <c r="Q256" s="465">
        <f t="shared" si="32"/>
        <v>30</v>
      </c>
    </row>
    <row r="257" spans="1:17" x14ac:dyDescent="0.25">
      <c r="B257" s="493"/>
      <c r="C257" s="526">
        <v>24</v>
      </c>
      <c r="D257" s="494" t="str">
        <f>+'Precios Equipos'!$C$67</f>
        <v>Bornera 4mm2, Riel Din, tipo tornillo, ONKA</v>
      </c>
      <c r="F257" s="497"/>
      <c r="G257" s="567">
        <f>VLOOKUP(D257,'Precios Equipos'!$C$25:$F$208,3,0)</f>
        <v>880</v>
      </c>
      <c r="H257" s="561">
        <f t="shared" si="31"/>
        <v>21120</v>
      </c>
      <c r="I257" s="1087"/>
      <c r="J257" s="1088"/>
      <c r="K257" s="539"/>
      <c r="L257" s="737" t="s">
        <v>671</v>
      </c>
      <c r="M257" s="662">
        <v>15</v>
      </c>
      <c r="N257" s="664">
        <v>2.5</v>
      </c>
      <c r="O257" s="736">
        <f t="shared" si="30"/>
        <v>37.5</v>
      </c>
      <c r="Q257" s="465">
        <f t="shared" si="32"/>
        <v>120</v>
      </c>
    </row>
    <row r="258" spans="1:17" x14ac:dyDescent="0.25">
      <c r="B258" s="493"/>
      <c r="C258" s="526">
        <v>12</v>
      </c>
      <c r="D258" s="494" t="str">
        <f>+'Precios Equipos'!$C$68</f>
        <v>Conector MC4</v>
      </c>
      <c r="F258" s="497"/>
      <c r="G258" s="567">
        <f>VLOOKUP(D258,'Precios Equipos'!$C$25:$F$208,3,0)</f>
        <v>440</v>
      </c>
      <c r="H258" s="561">
        <f t="shared" si="31"/>
        <v>5280</v>
      </c>
      <c r="I258" s="1087"/>
      <c r="J258" s="1088"/>
      <c r="K258" s="539"/>
      <c r="L258" s="737" t="s">
        <v>569</v>
      </c>
      <c r="M258" s="662">
        <v>5</v>
      </c>
      <c r="N258" s="665">
        <v>1</v>
      </c>
      <c r="O258" s="736">
        <f t="shared" si="30"/>
        <v>5</v>
      </c>
      <c r="Q258" s="465">
        <f t="shared" si="32"/>
        <v>60</v>
      </c>
    </row>
    <row r="259" spans="1:17" ht="16.5" thickBot="1" x14ac:dyDescent="0.3">
      <c r="B259" s="493"/>
      <c r="C259" s="526">
        <v>13</v>
      </c>
      <c r="D259" s="494" t="str">
        <f>+'Precios Equipos'!$C$75</f>
        <v>Prensaestopa PG09</v>
      </c>
      <c r="F259" s="497"/>
      <c r="G259" s="567">
        <f>VLOOKUP(D259,'Precios Equipos'!$C$25:$F$208,3,0)</f>
        <v>497</v>
      </c>
      <c r="H259" s="561">
        <f t="shared" si="31"/>
        <v>6461</v>
      </c>
      <c r="I259" s="561"/>
      <c r="J259" s="924"/>
      <c r="K259" s="539"/>
      <c r="L259" s="738" t="s">
        <v>672</v>
      </c>
      <c r="M259" s="739">
        <v>7</v>
      </c>
      <c r="N259" s="740">
        <v>1</v>
      </c>
      <c r="O259" s="741">
        <f t="shared" si="30"/>
        <v>7</v>
      </c>
      <c r="Q259" s="465">
        <f t="shared" si="32"/>
        <v>65</v>
      </c>
    </row>
    <row r="260" spans="1:17" x14ac:dyDescent="0.25">
      <c r="B260" s="521"/>
      <c r="C260" s="527" t="s">
        <v>17</v>
      </c>
      <c r="D260" s="522" t="s">
        <v>48</v>
      </c>
      <c r="E260" s="523"/>
      <c r="F260" s="524"/>
      <c r="G260" s="567"/>
      <c r="H260" s="561">
        <f>O260</f>
        <v>138.19083333333333</v>
      </c>
      <c r="I260" s="561">
        <f>SUM(H260)</f>
        <v>138.19083333333333</v>
      </c>
      <c r="J260" s="924">
        <f>+I260/H261</f>
        <v>3.6579526516500511E-3</v>
      </c>
      <c r="K260" s="539"/>
      <c r="L260" s="666"/>
      <c r="M260" s="666"/>
      <c r="N260" s="666"/>
      <c r="O260" s="667">
        <f>SUM(O253:O259)</f>
        <v>138.19083333333333</v>
      </c>
    </row>
    <row r="261" spans="1:17" x14ac:dyDescent="0.25">
      <c r="B261" s="466"/>
      <c r="G261" s="618" t="s">
        <v>97</v>
      </c>
      <c r="H261" s="561">
        <f>SUM(H252:H260)</f>
        <v>37778.190833333334</v>
      </c>
      <c r="I261" s="539"/>
      <c r="J261" s="974"/>
      <c r="K261" s="539"/>
      <c r="P261" s="501"/>
    </row>
    <row r="262" spans="1:17" x14ac:dyDescent="0.25">
      <c r="B262" s="466"/>
      <c r="D262" s="496"/>
      <c r="G262" s="618" t="s">
        <v>105</v>
      </c>
      <c r="H262" s="561">
        <f>H261*$M$150</f>
        <v>11333.457249999999</v>
      </c>
      <c r="I262" s="539"/>
      <c r="J262" s="974"/>
      <c r="K262" s="539"/>
      <c r="L262" s="489"/>
      <c r="M262" s="489"/>
      <c r="N262" s="489"/>
      <c r="O262" s="499"/>
      <c r="P262" s="501"/>
    </row>
    <row r="263" spans="1:17" x14ac:dyDescent="0.25">
      <c r="B263" s="466"/>
      <c r="D263" s="494"/>
      <c r="G263" s="618" t="s">
        <v>452</v>
      </c>
      <c r="H263" s="561">
        <f>H261+H262</f>
        <v>49111.648083333333</v>
      </c>
      <c r="I263" s="477"/>
      <c r="J263" s="924">
        <f>SUM(J250:J261)</f>
        <v>1</v>
      </c>
      <c r="K263" s="539"/>
      <c r="L263" s="489"/>
      <c r="M263" s="489"/>
      <c r="N263" s="489"/>
      <c r="O263" s="499"/>
      <c r="P263" s="501"/>
    </row>
    <row r="264" spans="1:17" ht="16.5" thickBot="1" x14ac:dyDescent="0.3">
      <c r="B264" s="514" t="s">
        <v>6</v>
      </c>
      <c r="C264" s="515" t="s">
        <v>0</v>
      </c>
      <c r="D264" s="606" t="s">
        <v>8</v>
      </c>
      <c r="E264" s="516" t="s">
        <v>4</v>
      </c>
      <c r="F264" s="516" t="s">
        <v>3</v>
      </c>
      <c r="G264" s="477"/>
      <c r="H264" s="477"/>
      <c r="I264" s="587"/>
      <c r="K264" s="539"/>
    </row>
    <row r="265" spans="1:17" ht="16.5" thickBot="1" x14ac:dyDescent="0.3">
      <c r="A265" s="463">
        <v>152</v>
      </c>
      <c r="B265" s="1077">
        <f>B31</f>
        <v>1.07</v>
      </c>
      <c r="C265" s="1077">
        <f>C31</f>
        <v>3</v>
      </c>
      <c r="D265" s="1077" t="str">
        <f>D31</f>
        <v>CAJA CON SOPORTE 07 STRING 1KV</v>
      </c>
      <c r="E265" s="518">
        <f>H279</f>
        <v>57164.010583333336</v>
      </c>
      <c r="F265" s="518">
        <f>+E265*C265</f>
        <v>171492.03175000002</v>
      </c>
      <c r="G265" s="553" t="s">
        <v>450</v>
      </c>
      <c r="H265" s="553" t="s">
        <v>1</v>
      </c>
      <c r="I265" s="477"/>
      <c r="K265" s="539"/>
      <c r="L265" s="746" t="s">
        <v>88</v>
      </c>
      <c r="M265" s="747" t="s">
        <v>85</v>
      </c>
      <c r="N265" s="747" t="s">
        <v>297</v>
      </c>
      <c r="O265" s="748" t="s">
        <v>589</v>
      </c>
    </row>
    <row r="266" spans="1:17" x14ac:dyDescent="0.25">
      <c r="B266" s="1101"/>
      <c r="C266" s="1101"/>
      <c r="D266" s="1101"/>
      <c r="E266" s="520" t="s">
        <v>50</v>
      </c>
      <c r="F266" s="598" t="s">
        <v>50</v>
      </c>
      <c r="G266" s="553" t="s">
        <v>50</v>
      </c>
      <c r="H266" s="553" t="s">
        <v>50</v>
      </c>
      <c r="I266" s="477"/>
      <c r="K266" s="539"/>
      <c r="L266" s="742" t="s">
        <v>667</v>
      </c>
      <c r="M266" s="743">
        <f>8.05/2</f>
        <v>4.0250000000000004</v>
      </c>
      <c r="N266" s="744">
        <v>0.3</v>
      </c>
      <c r="O266" s="745">
        <f t="shared" ref="O266:O272" si="33">+M266*N266</f>
        <v>1.2075</v>
      </c>
    </row>
    <row r="267" spans="1:17" x14ac:dyDescent="0.25">
      <c r="B267" s="605"/>
      <c r="C267" s="603"/>
      <c r="D267" s="600"/>
      <c r="E267" s="601"/>
      <c r="F267" s="602"/>
      <c r="G267" s="567"/>
      <c r="H267" s="561"/>
      <c r="I267" s="477"/>
      <c r="K267" s="539"/>
      <c r="L267" s="735" t="s">
        <v>668</v>
      </c>
      <c r="M267" s="662">
        <v>8</v>
      </c>
      <c r="N267" s="663">
        <v>0.3</v>
      </c>
      <c r="O267" s="736">
        <f t="shared" si="33"/>
        <v>2.4</v>
      </c>
    </row>
    <row r="268" spans="1:17" x14ac:dyDescent="0.25">
      <c r="B268" s="596"/>
      <c r="C268" s="526">
        <v>1</v>
      </c>
      <c r="D268" s="500" t="str">
        <f>+'Precios Equipos'!$C$187</f>
        <v>Gabinete Metalico 400x500x250mm. (Alto x Ancho x Profundidad)</v>
      </c>
      <c r="F268" s="495"/>
      <c r="G268" s="567">
        <f>VLOOKUP(D268,'Precios Equipos'!$C$25:$F$208,3,0)</f>
        <v>57</v>
      </c>
      <c r="H268" s="561">
        <f t="shared" ref="H268" si="34">G268*C268</f>
        <v>57</v>
      </c>
      <c r="I268" s="561">
        <f>SUM(H268)</f>
        <v>57</v>
      </c>
      <c r="J268" s="924">
        <f>+I268/H277</f>
        <v>1.2962701399681796E-3</v>
      </c>
      <c r="K268" s="539"/>
      <c r="L268" s="737" t="s">
        <v>669</v>
      </c>
      <c r="M268" s="662">
        <f>190/6</f>
        <v>31.666666666666668</v>
      </c>
      <c r="N268" s="663">
        <v>0.2</v>
      </c>
      <c r="O268" s="736">
        <f t="shared" si="33"/>
        <v>6.3333333333333339</v>
      </c>
      <c r="Q268" s="465">
        <f>+C268*$C$265</f>
        <v>3</v>
      </c>
    </row>
    <row r="269" spans="1:17" x14ac:dyDescent="0.25">
      <c r="B269" s="493"/>
      <c r="C269" s="526"/>
      <c r="D269" s="494"/>
      <c r="F269" s="495"/>
      <c r="G269" s="567"/>
      <c r="H269" s="561"/>
      <c r="I269" s="477"/>
      <c r="K269" s="539"/>
      <c r="L269" s="737" t="s">
        <v>670</v>
      </c>
      <c r="M269" s="662">
        <v>3.75</v>
      </c>
      <c r="N269" s="663">
        <f>3.5*C271</f>
        <v>24.5</v>
      </c>
      <c r="O269" s="736">
        <f t="shared" si="33"/>
        <v>91.875</v>
      </c>
    </row>
    <row r="270" spans="1:17" x14ac:dyDescent="0.25">
      <c r="B270" s="493"/>
      <c r="C270" s="526"/>
      <c r="D270" s="620" t="s">
        <v>568</v>
      </c>
      <c r="F270" s="495"/>
      <c r="G270" s="567"/>
      <c r="H270" s="561"/>
      <c r="I270" s="477"/>
      <c r="K270" s="539"/>
      <c r="L270" s="737" t="s">
        <v>671</v>
      </c>
      <c r="M270" s="662">
        <v>15</v>
      </c>
      <c r="N270" s="664">
        <v>2.5</v>
      </c>
      <c r="O270" s="736">
        <f t="shared" si="33"/>
        <v>37.5</v>
      </c>
    </row>
    <row r="271" spans="1:17" x14ac:dyDescent="0.25">
      <c r="B271" s="493"/>
      <c r="C271" s="526">
        <v>7</v>
      </c>
      <c r="D271" s="468" t="str">
        <f>+'Precios Equipos'!$C$55</f>
        <v>Interruptor Riel Din 2x25A. S202M 20kA en 250VDC, ABB</v>
      </c>
      <c r="F271" s="497"/>
      <c r="G271" s="567">
        <f>VLOOKUP(D271,'Precios Equipos'!$C$25:$F$208,3,0)</f>
        <v>382</v>
      </c>
      <c r="H271" s="561">
        <f t="shared" ref="H271:H275" si="35">G271*C271</f>
        <v>2674</v>
      </c>
      <c r="I271" s="1087">
        <f>SUM(H271:H275)</f>
        <v>43764</v>
      </c>
      <c r="J271" s="1088">
        <f>+I271/H277</f>
        <v>0.99526256851872652</v>
      </c>
      <c r="K271" s="539"/>
      <c r="L271" s="737" t="s">
        <v>569</v>
      </c>
      <c r="M271" s="662">
        <v>5</v>
      </c>
      <c r="N271" s="665">
        <v>1</v>
      </c>
      <c r="O271" s="736">
        <f t="shared" si="33"/>
        <v>5</v>
      </c>
      <c r="Q271" s="465">
        <f t="shared" ref="Q271:Q275" si="36">+C271*$C$265</f>
        <v>21</v>
      </c>
    </row>
    <row r="272" spans="1:17" ht="16.5" thickBot="1" x14ac:dyDescent="0.3">
      <c r="B272" s="493"/>
      <c r="C272" s="526">
        <v>7</v>
      </c>
      <c r="D272" s="468" t="str">
        <f>+'Precios Equipos'!$C$60</f>
        <v>Protector de sobretension SPD DC 2P, 1000V DC, CLAMPER/DC SURGE PROTECCION</v>
      </c>
      <c r="F272" s="497"/>
      <c r="G272" s="567">
        <f>VLOOKUP(D272,'Precios Equipos'!$C$25:$F$208,3,0)</f>
        <v>405</v>
      </c>
      <c r="H272" s="561">
        <f>G272*C272</f>
        <v>2835</v>
      </c>
      <c r="I272" s="1087"/>
      <c r="J272" s="1088"/>
      <c r="K272" s="539"/>
      <c r="L272" s="738" t="s">
        <v>672</v>
      </c>
      <c r="M272" s="739">
        <v>7</v>
      </c>
      <c r="N272" s="740">
        <v>1</v>
      </c>
      <c r="O272" s="741">
        <f t="shared" si="33"/>
        <v>7</v>
      </c>
      <c r="Q272" s="465">
        <f t="shared" si="36"/>
        <v>21</v>
      </c>
    </row>
    <row r="273" spans="1:17" ht="16.5" thickBot="1" x14ac:dyDescent="0.3">
      <c r="B273" s="493"/>
      <c r="C273" s="526">
        <v>28</v>
      </c>
      <c r="D273" s="494" t="str">
        <f>+'Precios Equipos'!$C$67</f>
        <v>Bornera 4mm2, Riel Din, tipo tornillo, ONKA</v>
      </c>
      <c r="F273" s="497"/>
      <c r="G273" s="567">
        <f>VLOOKUP(D273,'Precios Equipos'!$C$25:$F$208,3,0)</f>
        <v>880</v>
      </c>
      <c r="H273" s="561">
        <f t="shared" si="35"/>
        <v>24640</v>
      </c>
      <c r="I273" s="1087"/>
      <c r="J273" s="1088"/>
      <c r="K273" s="539"/>
      <c r="L273" s="666"/>
      <c r="M273" s="666"/>
      <c r="N273" s="666"/>
      <c r="O273" s="749">
        <f>SUM(O266:O272)</f>
        <v>151.31583333333333</v>
      </c>
      <c r="Q273" s="465">
        <f t="shared" si="36"/>
        <v>84</v>
      </c>
    </row>
    <row r="274" spans="1:17" x14ac:dyDescent="0.25">
      <c r="B274" s="493"/>
      <c r="C274" s="526">
        <v>14</v>
      </c>
      <c r="D274" s="494" t="str">
        <f>+'Precios Equipos'!$C$68</f>
        <v>Conector MC4</v>
      </c>
      <c r="F274" s="497"/>
      <c r="G274" s="567">
        <f>VLOOKUP(D274,'Precios Equipos'!$C$25:$F$208,3,0)</f>
        <v>440</v>
      </c>
      <c r="H274" s="561">
        <f t="shared" si="35"/>
        <v>6160</v>
      </c>
      <c r="I274" s="1087"/>
      <c r="J274" s="1088"/>
      <c r="K274" s="539"/>
      <c r="O274" s="468"/>
      <c r="Q274" s="465">
        <f t="shared" si="36"/>
        <v>42</v>
      </c>
    </row>
    <row r="275" spans="1:17" x14ac:dyDescent="0.25">
      <c r="B275" s="493"/>
      <c r="C275" s="526">
        <v>15</v>
      </c>
      <c r="D275" s="494" t="str">
        <f>+'Precios Equipos'!$C$75</f>
        <v>Prensaestopa PG09</v>
      </c>
      <c r="F275" s="497"/>
      <c r="G275" s="567">
        <f>VLOOKUP(D275,'Precios Equipos'!$C$25:$F$208,3,0)</f>
        <v>497</v>
      </c>
      <c r="H275" s="561">
        <f t="shared" si="35"/>
        <v>7455</v>
      </c>
      <c r="I275" s="561"/>
      <c r="J275" s="924"/>
      <c r="K275" s="539"/>
      <c r="O275" s="468"/>
      <c r="Q275" s="465">
        <f t="shared" si="36"/>
        <v>45</v>
      </c>
    </row>
    <row r="276" spans="1:17" x14ac:dyDescent="0.25">
      <c r="B276" s="521"/>
      <c r="C276" s="527" t="s">
        <v>17</v>
      </c>
      <c r="D276" s="522" t="s">
        <v>48</v>
      </c>
      <c r="E276" s="523"/>
      <c r="F276" s="524"/>
      <c r="G276" s="567"/>
      <c r="H276" s="561">
        <f>O273</f>
        <v>151.31583333333333</v>
      </c>
      <c r="I276" s="561">
        <f>SUM(H276)</f>
        <v>151.31583333333333</v>
      </c>
      <c r="J276" s="924">
        <f>+I276/H277</f>
        <v>3.4411613413052934E-3</v>
      </c>
      <c r="K276" s="539"/>
    </row>
    <row r="277" spans="1:17" x14ac:dyDescent="0.25">
      <c r="B277" s="466"/>
      <c r="G277" s="618" t="s">
        <v>97</v>
      </c>
      <c r="H277" s="561">
        <f>SUM(H268:H276)</f>
        <v>43972.315833333334</v>
      </c>
      <c r="I277" s="539"/>
      <c r="J277" s="974"/>
      <c r="K277" s="539"/>
      <c r="L277" s="489"/>
      <c r="M277" s="489"/>
      <c r="N277" s="489"/>
      <c r="O277" s="499"/>
      <c r="P277" s="501"/>
    </row>
    <row r="278" spans="1:17" x14ac:dyDescent="0.25">
      <c r="B278" s="466"/>
      <c r="D278" s="496"/>
      <c r="G278" s="618" t="s">
        <v>105</v>
      </c>
      <c r="H278" s="561">
        <f>H277*$M$150</f>
        <v>13191.694750000001</v>
      </c>
      <c r="I278" s="539"/>
      <c r="J278" s="974"/>
      <c r="K278" s="539"/>
      <c r="L278" s="489"/>
      <c r="M278" s="489"/>
      <c r="N278" s="489"/>
      <c r="O278" s="499"/>
      <c r="P278" s="501"/>
    </row>
    <row r="279" spans="1:17" x14ac:dyDescent="0.25">
      <c r="B279" s="466"/>
      <c r="D279" s="494"/>
      <c r="G279" s="618" t="s">
        <v>452</v>
      </c>
      <c r="H279" s="561">
        <f>H277+H278</f>
        <v>57164.010583333336</v>
      </c>
      <c r="I279" s="477"/>
      <c r="J279" s="924">
        <f>SUM(J267:J277)</f>
        <v>1</v>
      </c>
      <c r="K279" s="539"/>
      <c r="P279" s="501"/>
    </row>
    <row r="280" spans="1:17" x14ac:dyDescent="0.25">
      <c r="B280" s="466"/>
      <c r="D280" s="494"/>
      <c r="G280" s="727"/>
      <c r="H280" s="477"/>
      <c r="I280" s="477"/>
      <c r="J280" s="973"/>
      <c r="K280" s="539"/>
      <c r="P280" s="501"/>
    </row>
    <row r="281" spans="1:17" s="467" customFormat="1" x14ac:dyDescent="0.25">
      <c r="A281" s="463"/>
      <c r="B281" s="555" t="s">
        <v>6</v>
      </c>
      <c r="C281" s="515" t="s">
        <v>0</v>
      </c>
      <c r="D281" s="525" t="s">
        <v>8</v>
      </c>
      <c r="E281" s="556" t="s">
        <v>4</v>
      </c>
      <c r="F281" s="556" t="s">
        <v>3</v>
      </c>
      <c r="G281" s="477"/>
      <c r="H281" s="477"/>
      <c r="I281" s="477"/>
      <c r="J281" s="925"/>
      <c r="K281" s="539"/>
      <c r="P281" s="468"/>
      <c r="Q281" s="465"/>
    </row>
    <row r="282" spans="1:17" x14ac:dyDescent="0.25">
      <c r="A282" s="463">
        <v>152</v>
      </c>
      <c r="B282" s="1077">
        <f>B33</f>
        <v>2.0099999999999998</v>
      </c>
      <c r="C282" s="1091">
        <f>C33</f>
        <v>1</v>
      </c>
      <c r="D282" s="1103" t="str">
        <f>D33</f>
        <v>CAJA PARA ENTRADA DE 04 STRING 1KV EN PARALELAJE PARA SALIDA DE 02 STRINGS 1KV</v>
      </c>
      <c r="E282" s="517">
        <f>H297</f>
        <v>28502.748083333332</v>
      </c>
      <c r="F282" s="518">
        <f>+E282*C282</f>
        <v>28502.748083333332</v>
      </c>
      <c r="G282" s="553" t="s">
        <v>450</v>
      </c>
      <c r="H282" s="553" t="s">
        <v>1</v>
      </c>
      <c r="I282" s="477"/>
      <c r="K282" s="539"/>
    </row>
    <row r="283" spans="1:17" ht="16.5" thickBot="1" x14ac:dyDescent="0.3">
      <c r="B283" s="1101"/>
      <c r="C283" s="1102"/>
      <c r="D283" s="1104"/>
      <c r="E283" s="721" t="s">
        <v>50</v>
      </c>
      <c r="F283" s="598" t="s">
        <v>50</v>
      </c>
      <c r="G283" s="553" t="s">
        <v>50</v>
      </c>
      <c r="H283" s="553" t="s">
        <v>50</v>
      </c>
      <c r="I283" s="477"/>
      <c r="K283" s="539"/>
    </row>
    <row r="284" spans="1:17" ht="16.5" thickBot="1" x14ac:dyDescent="0.3">
      <c r="B284" s="605"/>
      <c r="C284" s="603"/>
      <c r="D284" s="600"/>
      <c r="E284" s="601"/>
      <c r="F284" s="602"/>
      <c r="G284" s="567"/>
      <c r="H284" s="561"/>
      <c r="I284" s="477"/>
      <c r="K284" s="539"/>
      <c r="L284" s="746" t="s">
        <v>88</v>
      </c>
      <c r="M284" s="747" t="s">
        <v>85</v>
      </c>
      <c r="N284" s="747" t="s">
        <v>297</v>
      </c>
      <c r="O284" s="748" t="s">
        <v>589</v>
      </c>
    </row>
    <row r="285" spans="1:17" x14ac:dyDescent="0.25">
      <c r="B285" s="493"/>
      <c r="C285" s="526">
        <v>1</v>
      </c>
      <c r="D285" s="500" t="str">
        <f>+'Precios Equipos'!C187</f>
        <v>Gabinete Metalico 400x500x250mm. (Alto x Ancho x Profundidad)</v>
      </c>
      <c r="F285" s="495"/>
      <c r="G285" s="567">
        <f>VLOOKUP(D285,'Precios Equipos'!$C$25:$F$208,3,0)</f>
        <v>57</v>
      </c>
      <c r="H285" s="561">
        <f t="shared" ref="H285" si="37">G285*C285</f>
        <v>57</v>
      </c>
      <c r="I285" s="561">
        <f>SUM(H285)</f>
        <v>57</v>
      </c>
      <c r="J285" s="924">
        <f>+I285/H295</f>
        <v>2.5997493218322043E-3</v>
      </c>
      <c r="K285" s="539"/>
      <c r="L285" s="742" t="s">
        <v>667</v>
      </c>
      <c r="M285" s="743">
        <f>8.05/2</f>
        <v>4.0250000000000004</v>
      </c>
      <c r="N285" s="744">
        <v>0.3</v>
      </c>
      <c r="O285" s="745">
        <f t="shared" ref="O285:O291" si="38">+M285*N285</f>
        <v>1.2075</v>
      </c>
      <c r="Q285" s="465">
        <f>+C285*$C$282</f>
        <v>1</v>
      </c>
    </row>
    <row r="286" spans="1:17" x14ac:dyDescent="0.25">
      <c r="B286" s="493"/>
      <c r="C286" s="526"/>
      <c r="D286" s="494"/>
      <c r="F286" s="495"/>
      <c r="G286" s="567"/>
      <c r="H286" s="561"/>
      <c r="I286" s="477"/>
      <c r="K286" s="539"/>
      <c r="L286" s="735" t="s">
        <v>668</v>
      </c>
      <c r="M286" s="662">
        <v>8</v>
      </c>
      <c r="N286" s="663">
        <v>0.3</v>
      </c>
      <c r="O286" s="736">
        <f t="shared" si="38"/>
        <v>2.4</v>
      </c>
    </row>
    <row r="287" spans="1:17" x14ac:dyDescent="0.25">
      <c r="B287" s="493"/>
      <c r="C287" s="526"/>
      <c r="D287" s="620" t="s">
        <v>568</v>
      </c>
      <c r="F287" s="495"/>
      <c r="G287" s="567"/>
      <c r="H287" s="561"/>
      <c r="I287" s="477"/>
      <c r="K287" s="539"/>
      <c r="L287" s="737" t="s">
        <v>669</v>
      </c>
      <c r="M287" s="662">
        <f>190/6</f>
        <v>31.666666666666668</v>
      </c>
      <c r="N287" s="663">
        <v>0.2</v>
      </c>
      <c r="O287" s="736">
        <f t="shared" si="38"/>
        <v>6.3333333333333339</v>
      </c>
    </row>
    <row r="288" spans="1:17" x14ac:dyDescent="0.25">
      <c r="B288" s="493"/>
      <c r="C288" s="526">
        <v>4</v>
      </c>
      <c r="D288" s="468" t="str">
        <f>+'Precios Equipos'!C55</f>
        <v>Interruptor Riel Din 2x25A. S202M 20kA en 250VDC, ABB</v>
      </c>
      <c r="F288" s="497"/>
      <c r="G288" s="567">
        <f>VLOOKUP(D288,'Precios Equipos'!$C$25:$F$208,3,0)</f>
        <v>382</v>
      </c>
      <c r="H288" s="561">
        <f t="shared" ref="H288:H292" si="39">G288*C288</f>
        <v>1528</v>
      </c>
      <c r="I288" s="1081">
        <f>SUM(H288:H293)</f>
        <v>21730</v>
      </c>
      <c r="J288" s="1084">
        <f>+I288/H295</f>
        <v>0.99109741690199649</v>
      </c>
      <c r="K288" s="539"/>
      <c r="L288" s="737" t="s">
        <v>670</v>
      </c>
      <c r="M288" s="662">
        <v>3.75</v>
      </c>
      <c r="N288" s="663">
        <f>3.5*6</f>
        <v>21</v>
      </c>
      <c r="O288" s="736">
        <f t="shared" si="38"/>
        <v>78.75</v>
      </c>
      <c r="Q288" s="465">
        <f t="shared" ref="Q288:Q293" si="40">+C288*$C$282</f>
        <v>4</v>
      </c>
    </row>
    <row r="289" spans="1:17" x14ac:dyDescent="0.25">
      <c r="B289" s="493"/>
      <c r="C289" s="526">
        <v>2</v>
      </c>
      <c r="D289" s="468" t="str">
        <f>+'Precios Equipos'!C54</f>
        <v>Interruptor Riel Din 2x50A. S200M 20kA en 230V en 250VDC, ABB</v>
      </c>
      <c r="F289" s="497"/>
      <c r="G289" s="567">
        <f>VLOOKUP(D289,'Precios Equipos'!$C$25:$F$208,3,0)</f>
        <v>8</v>
      </c>
      <c r="H289" s="561">
        <f t="shared" si="39"/>
        <v>16</v>
      </c>
      <c r="I289" s="1082"/>
      <c r="J289" s="1085"/>
      <c r="K289" s="539"/>
      <c r="L289" s="737" t="s">
        <v>671</v>
      </c>
      <c r="M289" s="662">
        <v>15</v>
      </c>
      <c r="N289" s="664">
        <v>2.5</v>
      </c>
      <c r="O289" s="736">
        <f t="shared" si="38"/>
        <v>37.5</v>
      </c>
      <c r="Q289" s="465">
        <f t="shared" si="40"/>
        <v>2</v>
      </c>
    </row>
    <row r="290" spans="1:17" x14ac:dyDescent="0.25">
      <c r="B290" s="493"/>
      <c r="C290" s="526">
        <v>2</v>
      </c>
      <c r="D290" s="468" t="str">
        <f>+'Precios Equipos'!C60</f>
        <v>Protector de sobretension SPD DC 2P, 1000V DC, CLAMPER/DC SURGE PROTECCION</v>
      </c>
      <c r="F290" s="497"/>
      <c r="G290" s="567">
        <f>VLOOKUP(D290,'Precios Equipos'!$C$25:$F$208,3,0)</f>
        <v>405</v>
      </c>
      <c r="H290" s="561">
        <f t="shared" si="39"/>
        <v>810</v>
      </c>
      <c r="I290" s="1082"/>
      <c r="J290" s="1085"/>
      <c r="K290" s="539"/>
      <c r="L290" s="737" t="s">
        <v>569</v>
      </c>
      <c r="M290" s="662">
        <v>5</v>
      </c>
      <c r="N290" s="665">
        <v>1</v>
      </c>
      <c r="O290" s="736">
        <f t="shared" si="38"/>
        <v>5</v>
      </c>
      <c r="Q290" s="465">
        <f t="shared" si="40"/>
        <v>2</v>
      </c>
    </row>
    <row r="291" spans="1:17" ht="16.5" thickBot="1" x14ac:dyDescent="0.3">
      <c r="B291" s="493"/>
      <c r="C291" s="526">
        <v>14</v>
      </c>
      <c r="D291" s="494" t="str">
        <f>+'Precios Equipos'!C67</f>
        <v>Bornera 4mm2, Riel Din, tipo tornillo, ONKA</v>
      </c>
      <c r="F291" s="497"/>
      <c r="G291" s="567">
        <f>VLOOKUP(D291,'Precios Equipos'!$C$25:$F$208,3,0)</f>
        <v>880</v>
      </c>
      <c r="H291" s="561">
        <f t="shared" si="39"/>
        <v>12320</v>
      </c>
      <c r="I291" s="1082"/>
      <c r="J291" s="1085"/>
      <c r="K291" s="539"/>
      <c r="L291" s="738" t="s">
        <v>672</v>
      </c>
      <c r="M291" s="739">
        <v>7</v>
      </c>
      <c r="N291" s="740">
        <v>1</v>
      </c>
      <c r="O291" s="741">
        <f t="shared" si="38"/>
        <v>7</v>
      </c>
      <c r="Q291" s="465">
        <f t="shared" si="40"/>
        <v>14</v>
      </c>
    </row>
    <row r="292" spans="1:17" ht="16.5" thickBot="1" x14ac:dyDescent="0.3">
      <c r="B292" s="493"/>
      <c r="C292" s="526">
        <v>7</v>
      </c>
      <c r="D292" s="494" t="str">
        <f>+'Precios Equipos'!C68</f>
        <v>Conector MC4</v>
      </c>
      <c r="F292" s="497"/>
      <c r="G292" s="567">
        <f>VLOOKUP(D292,'Precios Equipos'!$C$25:$F$208,3,0)</f>
        <v>440</v>
      </c>
      <c r="H292" s="561">
        <f t="shared" si="39"/>
        <v>3080</v>
      </c>
      <c r="I292" s="1083"/>
      <c r="J292" s="1086"/>
      <c r="K292" s="539"/>
      <c r="L292" s="666"/>
      <c r="M292" s="666"/>
      <c r="N292" s="666"/>
      <c r="O292" s="749">
        <f>SUM(O285:O291)</f>
        <v>138.19083333333333</v>
      </c>
      <c r="Q292" s="465">
        <f t="shared" si="40"/>
        <v>7</v>
      </c>
    </row>
    <row r="293" spans="1:17" x14ac:dyDescent="0.25">
      <c r="B293" s="493"/>
      <c r="C293" s="526">
        <v>8</v>
      </c>
      <c r="D293" s="494" t="str">
        <f>+'Precios Equipos'!C75</f>
        <v>Prensaestopa PG09</v>
      </c>
      <c r="F293" s="497"/>
      <c r="G293" s="567">
        <f>VLOOKUP(D293,'Precios Equipos'!$C$25:$F$208,3,0)</f>
        <v>497</v>
      </c>
      <c r="H293" s="561">
        <f t="shared" ref="H293" si="41">G293*C293</f>
        <v>3976</v>
      </c>
      <c r="I293" s="660"/>
      <c r="J293" s="971"/>
      <c r="K293" s="539"/>
      <c r="L293" s="666"/>
      <c r="M293" s="666"/>
      <c r="N293" s="666"/>
      <c r="O293" s="669"/>
      <c r="Q293" s="465">
        <f t="shared" si="40"/>
        <v>8</v>
      </c>
    </row>
    <row r="294" spans="1:17" x14ac:dyDescent="0.25">
      <c r="B294" s="521"/>
      <c r="C294" s="527" t="s">
        <v>17</v>
      </c>
      <c r="D294" s="522" t="s">
        <v>48</v>
      </c>
      <c r="E294" s="523"/>
      <c r="F294" s="524"/>
      <c r="G294" s="567"/>
      <c r="H294" s="561">
        <f>O292</f>
        <v>138.19083333333333</v>
      </c>
      <c r="I294" s="561">
        <f>SUM(H294)</f>
        <v>138.19083333333333</v>
      </c>
      <c r="J294" s="924">
        <f>+I294/H295</f>
        <v>6.3028337761712374E-3</v>
      </c>
      <c r="K294" s="539"/>
      <c r="L294" s="489"/>
      <c r="M294" s="489"/>
      <c r="N294" s="489"/>
      <c r="O294" s="499"/>
      <c r="P294" s="501"/>
    </row>
    <row r="295" spans="1:17" x14ac:dyDescent="0.25">
      <c r="B295" s="466"/>
      <c r="G295" s="618" t="s">
        <v>97</v>
      </c>
      <c r="H295" s="561">
        <f>SUM(H285:H294)</f>
        <v>21925.190833333334</v>
      </c>
      <c r="I295" s="539"/>
      <c r="J295" s="974"/>
      <c r="K295" s="539"/>
      <c r="O295" s="468"/>
      <c r="P295" s="501"/>
    </row>
    <row r="296" spans="1:17" x14ac:dyDescent="0.25">
      <c r="B296" s="466"/>
      <c r="D296" s="494"/>
      <c r="G296" s="618" t="s">
        <v>105</v>
      </c>
      <c r="H296" s="561">
        <f>H295*$M$151</f>
        <v>6577.5572499999998</v>
      </c>
      <c r="I296" s="539"/>
      <c r="J296" s="974"/>
      <c r="K296" s="539"/>
      <c r="O296" s="468"/>
    </row>
    <row r="297" spans="1:17" x14ac:dyDescent="0.25">
      <c r="B297" s="466"/>
      <c r="G297" s="618" t="s">
        <v>452</v>
      </c>
      <c r="H297" s="561">
        <f>H295+H296</f>
        <v>28502.748083333332</v>
      </c>
      <c r="I297" s="477"/>
      <c r="J297" s="924">
        <f>SUM(J285:J295)</f>
        <v>0.99999999999999989</v>
      </c>
      <c r="K297" s="539"/>
      <c r="O297" s="468"/>
    </row>
    <row r="298" spans="1:17" x14ac:dyDescent="0.25">
      <c r="B298" s="514" t="s">
        <v>6</v>
      </c>
      <c r="C298" s="515" t="s">
        <v>0</v>
      </c>
      <c r="D298" s="606" t="s">
        <v>8</v>
      </c>
      <c r="E298" s="516" t="s">
        <v>4</v>
      </c>
      <c r="F298" s="516" t="s">
        <v>3</v>
      </c>
      <c r="G298" s="724"/>
      <c r="H298" s="728"/>
      <c r="I298" s="477"/>
      <c r="K298" s="539"/>
    </row>
    <row r="299" spans="1:17" ht="16.5" thickBot="1" x14ac:dyDescent="0.3">
      <c r="A299" s="463">
        <v>152</v>
      </c>
      <c r="B299" s="1077">
        <f>B34</f>
        <v>2.0199999999999996</v>
      </c>
      <c r="C299" s="1091">
        <f>C34</f>
        <v>1</v>
      </c>
      <c r="D299" s="1095" t="str">
        <f>D34</f>
        <v>CAJA PARA ENTRADA DE 06 STRING 1KV EN PARALELAJE PARA SALIDA DE 02 STRINGS 1KV</v>
      </c>
      <c r="E299" s="518">
        <f>H314</f>
        <v>36542.273083333333</v>
      </c>
      <c r="F299" s="518">
        <f>+E299*C299</f>
        <v>36542.273083333333</v>
      </c>
      <c r="G299" s="553" t="s">
        <v>450</v>
      </c>
      <c r="H299" s="553" t="s">
        <v>1</v>
      </c>
      <c r="I299" s="477"/>
      <c r="K299" s="539"/>
    </row>
    <row r="300" spans="1:17" ht="16.5" thickBot="1" x14ac:dyDescent="0.3">
      <c r="B300" s="1101"/>
      <c r="C300" s="1102"/>
      <c r="D300" s="1113"/>
      <c r="E300" s="520" t="s">
        <v>50</v>
      </c>
      <c r="F300" s="598" t="s">
        <v>50</v>
      </c>
      <c r="G300" s="553" t="s">
        <v>50</v>
      </c>
      <c r="H300" s="553" t="s">
        <v>50</v>
      </c>
      <c r="I300" s="477"/>
      <c r="K300" s="539"/>
      <c r="L300" s="746" t="s">
        <v>88</v>
      </c>
      <c r="M300" s="747" t="s">
        <v>85</v>
      </c>
      <c r="N300" s="747" t="s">
        <v>297</v>
      </c>
      <c r="O300" s="748" t="s">
        <v>589</v>
      </c>
    </row>
    <row r="301" spans="1:17" x14ac:dyDescent="0.25">
      <c r="B301" s="605"/>
      <c r="C301" s="603"/>
      <c r="D301" s="600"/>
      <c r="E301" s="601"/>
      <c r="F301" s="602"/>
      <c r="G301" s="567"/>
      <c r="H301" s="561"/>
      <c r="I301" s="477"/>
      <c r="K301" s="539"/>
      <c r="L301" s="742" t="s">
        <v>667</v>
      </c>
      <c r="M301" s="743">
        <f>8.05/2</f>
        <v>4.0250000000000004</v>
      </c>
      <c r="N301" s="744">
        <v>0.3</v>
      </c>
      <c r="O301" s="745">
        <f t="shared" ref="O301:O307" si="42">+M301*N301</f>
        <v>1.2075</v>
      </c>
    </row>
    <row r="302" spans="1:17" x14ac:dyDescent="0.25">
      <c r="B302" s="493"/>
      <c r="C302" s="526">
        <v>1</v>
      </c>
      <c r="D302" s="500" t="str">
        <f>+'Precios Equipos'!C187</f>
        <v>Gabinete Metalico 400x500x250mm. (Alto x Ancho x Profundidad)</v>
      </c>
      <c r="F302" s="495"/>
      <c r="G302" s="561">
        <f>VLOOKUP(D302,'Precios Equipos'!$C$11:$F$208,3,0)</f>
        <v>57</v>
      </c>
      <c r="H302" s="561">
        <f t="shared" ref="H302" si="43">G302*C302</f>
        <v>57</v>
      </c>
      <c r="I302" s="567">
        <f>SUM(H302)</f>
        <v>57</v>
      </c>
      <c r="J302" s="924">
        <f>+I302/H312</f>
        <v>2.0277884692891882E-3</v>
      </c>
      <c r="K302" s="539"/>
      <c r="L302" s="735" t="s">
        <v>668</v>
      </c>
      <c r="M302" s="662">
        <v>8</v>
      </c>
      <c r="N302" s="663">
        <v>0.3</v>
      </c>
      <c r="O302" s="736">
        <f t="shared" si="42"/>
        <v>2.4</v>
      </c>
      <c r="Q302" s="465">
        <f>+C302*$C$299</f>
        <v>1</v>
      </c>
    </row>
    <row r="303" spans="1:17" x14ac:dyDescent="0.25">
      <c r="B303" s="493"/>
      <c r="C303" s="526"/>
      <c r="D303" s="494"/>
      <c r="F303" s="495"/>
      <c r="G303" s="567"/>
      <c r="H303" s="561"/>
      <c r="I303" s="477"/>
      <c r="K303" s="539"/>
      <c r="L303" s="737" t="s">
        <v>669</v>
      </c>
      <c r="M303" s="662">
        <f>190/6</f>
        <v>31.666666666666668</v>
      </c>
      <c r="N303" s="663">
        <v>0.2</v>
      </c>
      <c r="O303" s="736">
        <f t="shared" si="42"/>
        <v>6.3333333333333339</v>
      </c>
    </row>
    <row r="304" spans="1:17" x14ac:dyDescent="0.25">
      <c r="B304" s="493"/>
      <c r="C304" s="526"/>
      <c r="D304" s="620" t="s">
        <v>568</v>
      </c>
      <c r="F304" s="495"/>
      <c r="G304" s="567"/>
      <c r="H304" s="561"/>
      <c r="I304" s="477"/>
      <c r="K304" s="539"/>
      <c r="L304" s="737" t="s">
        <v>670</v>
      </c>
      <c r="M304" s="662">
        <v>3.75</v>
      </c>
      <c r="N304" s="663">
        <f>3.5*8</f>
        <v>28</v>
      </c>
      <c r="O304" s="736">
        <f t="shared" si="42"/>
        <v>105</v>
      </c>
    </row>
    <row r="305" spans="1:17" x14ac:dyDescent="0.25">
      <c r="B305" s="493"/>
      <c r="C305" s="526">
        <v>6</v>
      </c>
      <c r="D305" s="468" t="str">
        <f>+'Precios Equipos'!C55</f>
        <v>Interruptor Riel Din 2x25A. S202M 20kA en 250VDC, ABB</v>
      </c>
      <c r="F305" s="497"/>
      <c r="G305" s="561">
        <f>VLOOKUP(D305,'Precios Equipos'!$C$11:$F$208,3,0)</f>
        <v>382</v>
      </c>
      <c r="H305" s="561">
        <f t="shared" ref="H305" si="44">G305*C305</f>
        <v>2292</v>
      </c>
      <c r="I305" s="1087">
        <f>SUM(H305:H310)</f>
        <v>27888</v>
      </c>
      <c r="J305" s="1088">
        <f>+I305/H312</f>
        <v>0.99212219002696278</v>
      </c>
      <c r="K305" s="539"/>
      <c r="L305" s="737" t="s">
        <v>671</v>
      </c>
      <c r="M305" s="662">
        <v>15</v>
      </c>
      <c r="N305" s="664">
        <v>2.5</v>
      </c>
      <c r="O305" s="736">
        <f t="shared" si="42"/>
        <v>37.5</v>
      </c>
      <c r="Q305" s="465">
        <f t="shared" ref="Q305:Q310" si="45">+C305*$C$299</f>
        <v>6</v>
      </c>
    </row>
    <row r="306" spans="1:17" x14ac:dyDescent="0.25">
      <c r="B306" s="493"/>
      <c r="C306" s="526">
        <v>2</v>
      </c>
      <c r="D306" s="468" t="str">
        <f>+'Precios Equipos'!C53</f>
        <v>Interruptor Riel Din 2x80A. S200M 20kA en 230V en 250VDC,ABB</v>
      </c>
      <c r="F306" s="497"/>
      <c r="G306" s="561">
        <f>VLOOKUP(D306,'Precios Equipos'!$C$11:$F$208,3,0)</f>
        <v>8</v>
      </c>
      <c r="H306" s="561">
        <f t="shared" ref="H306:H309" si="46">G306*C306</f>
        <v>16</v>
      </c>
      <c r="I306" s="1087"/>
      <c r="J306" s="1088"/>
      <c r="K306" s="539"/>
      <c r="L306" s="737" t="s">
        <v>569</v>
      </c>
      <c r="M306" s="662">
        <v>5</v>
      </c>
      <c r="N306" s="665">
        <v>1</v>
      </c>
      <c r="O306" s="736">
        <f t="shared" si="42"/>
        <v>5</v>
      </c>
      <c r="Q306" s="465">
        <f t="shared" si="45"/>
        <v>2</v>
      </c>
    </row>
    <row r="307" spans="1:17" ht="16.5" thickBot="1" x14ac:dyDescent="0.3">
      <c r="B307" s="493"/>
      <c r="C307" s="526">
        <v>2</v>
      </c>
      <c r="D307" s="468" t="str">
        <f>+'Precios Equipos'!C60</f>
        <v>Protector de sobretension SPD DC 2P, 1000V DC, CLAMPER/DC SURGE PROTECCION</v>
      </c>
      <c r="F307" s="497"/>
      <c r="G307" s="561">
        <f>VLOOKUP(D307,'Precios Equipos'!$C$11:$F$208,3,0)</f>
        <v>405</v>
      </c>
      <c r="H307" s="561">
        <f t="shared" si="46"/>
        <v>810</v>
      </c>
      <c r="I307" s="1087"/>
      <c r="J307" s="1088"/>
      <c r="K307" s="539"/>
      <c r="L307" s="738" t="s">
        <v>672</v>
      </c>
      <c r="M307" s="739">
        <v>7</v>
      </c>
      <c r="N307" s="740">
        <v>1</v>
      </c>
      <c r="O307" s="741">
        <f t="shared" si="42"/>
        <v>7</v>
      </c>
      <c r="Q307" s="465">
        <f t="shared" si="45"/>
        <v>2</v>
      </c>
    </row>
    <row r="308" spans="1:17" ht="16.5" thickBot="1" x14ac:dyDescent="0.3">
      <c r="B308" s="493"/>
      <c r="C308" s="526">
        <v>18</v>
      </c>
      <c r="D308" s="494" t="str">
        <f>+'Precios Equipos'!C67</f>
        <v>Bornera 4mm2, Riel Din, tipo tornillo, ONKA</v>
      </c>
      <c r="F308" s="497"/>
      <c r="G308" s="561">
        <f>VLOOKUP(D308,'Precios Equipos'!$C$11:$F$208,3,0)</f>
        <v>880</v>
      </c>
      <c r="H308" s="561">
        <f t="shared" si="46"/>
        <v>15840</v>
      </c>
      <c r="I308" s="1087"/>
      <c r="J308" s="1088"/>
      <c r="K308" s="539"/>
      <c r="L308" s="666"/>
      <c r="M308" s="666"/>
      <c r="N308" s="666"/>
      <c r="O308" s="749">
        <f>SUM(O301:O307)</f>
        <v>164.44083333333333</v>
      </c>
      <c r="Q308" s="465">
        <f t="shared" si="45"/>
        <v>18</v>
      </c>
    </row>
    <row r="309" spans="1:17" x14ac:dyDescent="0.25">
      <c r="B309" s="493"/>
      <c r="C309" s="526">
        <v>9</v>
      </c>
      <c r="D309" s="494" t="str">
        <f>+'Precios Equipos'!C68</f>
        <v>Conector MC4</v>
      </c>
      <c r="F309" s="495"/>
      <c r="G309" s="561">
        <f>VLOOKUP(D309,'Precios Equipos'!$C$11:$F$208,3,0)</f>
        <v>440</v>
      </c>
      <c r="H309" s="561">
        <f t="shared" si="46"/>
        <v>3960</v>
      </c>
      <c r="I309" s="1087"/>
      <c r="J309" s="1088"/>
      <c r="K309" s="539"/>
      <c r="Q309" s="465">
        <f t="shared" si="45"/>
        <v>9</v>
      </c>
    </row>
    <row r="310" spans="1:17" x14ac:dyDescent="0.25">
      <c r="B310" s="493"/>
      <c r="C310" s="526">
        <v>10</v>
      </c>
      <c r="D310" s="494" t="str">
        <f>+'Precios Equipos'!C75</f>
        <v>Prensaestopa PG09</v>
      </c>
      <c r="F310" s="495"/>
      <c r="G310" s="561">
        <f>VLOOKUP(D310,'Precios Equipos'!$C$11:$F$208,3,0)</f>
        <v>497</v>
      </c>
      <c r="H310" s="561">
        <f t="shared" ref="H310" si="47">G310*C310</f>
        <v>4970</v>
      </c>
      <c r="I310" s="567"/>
      <c r="J310" s="924"/>
      <c r="K310" s="539"/>
      <c r="Q310" s="465">
        <f t="shared" si="45"/>
        <v>10</v>
      </c>
    </row>
    <row r="311" spans="1:17" x14ac:dyDescent="0.25">
      <c r="B311" s="521"/>
      <c r="C311" s="527" t="s">
        <v>17</v>
      </c>
      <c r="D311" s="522" t="s">
        <v>48</v>
      </c>
      <c r="E311" s="523"/>
      <c r="F311" s="524"/>
      <c r="G311" s="567"/>
      <c r="H311" s="561">
        <f>O308</f>
        <v>164.44083333333333</v>
      </c>
      <c r="I311" s="567">
        <f>SUM(H311)</f>
        <v>164.44083333333333</v>
      </c>
      <c r="J311" s="924">
        <f>+I311/H312</f>
        <v>5.8500215037480437E-3</v>
      </c>
      <c r="K311" s="539"/>
      <c r="L311" s="489"/>
      <c r="M311" s="489"/>
      <c r="N311" s="489"/>
      <c r="O311" s="499"/>
    </row>
    <row r="312" spans="1:17" x14ac:dyDescent="0.25">
      <c r="B312" s="466"/>
      <c r="G312" s="618" t="s">
        <v>97</v>
      </c>
      <c r="H312" s="561">
        <f>SUM(H302:H311)</f>
        <v>28109.440833333334</v>
      </c>
      <c r="I312" s="539"/>
      <c r="J312" s="974"/>
      <c r="K312" s="539"/>
      <c r="L312" s="489"/>
      <c r="M312" s="489"/>
      <c r="N312" s="489"/>
      <c r="O312" s="499"/>
      <c r="P312" s="501"/>
    </row>
    <row r="313" spans="1:17" x14ac:dyDescent="0.25">
      <c r="B313" s="466"/>
      <c r="D313" s="494"/>
      <c r="G313" s="618" t="s">
        <v>105</v>
      </c>
      <c r="H313" s="561">
        <f>H312*$M$151</f>
        <v>8432.8322499999995</v>
      </c>
      <c r="I313" s="539"/>
      <c r="J313" s="974"/>
      <c r="K313" s="539"/>
      <c r="P313" s="501"/>
    </row>
    <row r="314" spans="1:17" x14ac:dyDescent="0.25">
      <c r="B314" s="466"/>
      <c r="G314" s="618" t="s">
        <v>452</v>
      </c>
      <c r="H314" s="561">
        <f>H312+H313</f>
        <v>36542.273083333333</v>
      </c>
      <c r="I314" s="477"/>
      <c r="J314" s="924">
        <f>SUM(J299:J313)</f>
        <v>1</v>
      </c>
      <c r="K314" s="539"/>
      <c r="O314" s="468"/>
    </row>
    <row r="315" spans="1:17" x14ac:dyDescent="0.25">
      <c r="B315" s="514" t="s">
        <v>6</v>
      </c>
      <c r="C315" s="515" t="s">
        <v>0</v>
      </c>
      <c r="D315" s="556" t="s">
        <v>8</v>
      </c>
      <c r="E315" s="597" t="s">
        <v>4</v>
      </c>
      <c r="F315" s="516" t="s">
        <v>3</v>
      </c>
      <c r="G315" s="477"/>
      <c r="H315" s="477"/>
      <c r="I315" s="477"/>
      <c r="K315" s="539"/>
      <c r="O315" s="468"/>
    </row>
    <row r="316" spans="1:17" x14ac:dyDescent="0.25">
      <c r="A316" s="463">
        <v>162</v>
      </c>
      <c r="B316" s="1077">
        <f>B36</f>
        <v>3.01</v>
      </c>
      <c r="C316" s="1077">
        <f>C36</f>
        <v>4</v>
      </c>
      <c r="D316" s="1091" t="str">
        <f>D36</f>
        <v>TABLEROS DE POTENCIA TIPO 01 (incluye aire acondicionado)</v>
      </c>
      <c r="E316" s="517">
        <f>H342</f>
        <v>1225.2</v>
      </c>
      <c r="F316" s="518">
        <f>+E316*C316</f>
        <v>4900.8</v>
      </c>
      <c r="G316" s="553" t="s">
        <v>450</v>
      </c>
      <c r="H316" s="553" t="s">
        <v>1</v>
      </c>
      <c r="I316" s="477"/>
      <c r="K316" s="539"/>
      <c r="O316" s="468"/>
    </row>
    <row r="317" spans="1:17" x14ac:dyDescent="0.25">
      <c r="B317" s="1078"/>
      <c r="C317" s="1078"/>
      <c r="D317" s="1092"/>
      <c r="E317" s="519" t="s">
        <v>50</v>
      </c>
      <c r="F317" s="520" t="s">
        <v>50</v>
      </c>
      <c r="G317" s="553" t="s">
        <v>50</v>
      </c>
      <c r="H317" s="553" t="s">
        <v>50</v>
      </c>
      <c r="I317" s="587" t="s">
        <v>802</v>
      </c>
      <c r="K317" s="539"/>
      <c r="O317" s="468"/>
    </row>
    <row r="318" spans="1:17" s="467" customFormat="1" x14ac:dyDescent="0.25">
      <c r="A318" s="463"/>
      <c r="B318" s="536"/>
      <c r="C318" s="526"/>
      <c r="D318" s="463"/>
      <c r="E318" s="491"/>
      <c r="F318" s="492"/>
      <c r="G318" s="561" t="str">
        <f>IFERROR(VLOOKUP(D318,'Precios Equipos'!$C$1:$F$2047,3,0),"")</f>
        <v/>
      </c>
      <c r="H318" s="561" t="str">
        <f t="shared" ref="H318" si="48">IFERROR(G318*C318,"")</f>
        <v/>
      </c>
      <c r="I318" s="477"/>
      <c r="J318" s="925"/>
      <c r="K318" s="539"/>
      <c r="N318" s="468"/>
      <c r="Q318" s="465"/>
    </row>
    <row r="319" spans="1:17" s="467" customFormat="1" ht="16.5" thickBot="1" x14ac:dyDescent="0.3">
      <c r="A319" s="463"/>
      <c r="B319" s="537"/>
      <c r="C319" s="526">
        <v>1</v>
      </c>
      <c r="D319" s="500" t="str">
        <f>+'Precios Equipos'!$C$194</f>
        <v>Gabinete Autosoportado 2100x1000(2 Puertas)x700mm. (Alto x ancho x profundidad)</v>
      </c>
      <c r="F319" s="538"/>
      <c r="G319" s="561">
        <f>IFERROR(VLOOKUP(D319,'Precios Equipos'!$C$1:$F$2047,3,0),"")</f>
        <v>13</v>
      </c>
      <c r="H319" s="561">
        <f>IFERROR(G319*C319,"")</f>
        <v>13</v>
      </c>
      <c r="I319" s="561">
        <f>+H319</f>
        <v>13</v>
      </c>
      <c r="J319" s="924">
        <f>+I319/H340</f>
        <v>1.2732615083251714E-2</v>
      </c>
      <c r="K319" s="539"/>
      <c r="N319" s="468"/>
      <c r="Q319" s="465">
        <f>+C319*$C$316</f>
        <v>4</v>
      </c>
    </row>
    <row r="320" spans="1:17" s="467" customFormat="1" ht="16.5" thickBot="1" x14ac:dyDescent="0.3">
      <c r="A320" s="463"/>
      <c r="B320" s="537"/>
      <c r="C320" s="526"/>
      <c r="D320" s="494"/>
      <c r="F320" s="538"/>
      <c r="G320" s="561" t="str">
        <f>IFERROR(VLOOKUP(D320,'Precios Equipos'!$C$1:$F$2047,3,0),"")</f>
        <v/>
      </c>
      <c r="H320" s="561" t="str">
        <f t="shared" ref="H320:H335" si="49">IFERROR(G320*C320,"")</f>
        <v/>
      </c>
      <c r="I320" s="477"/>
      <c r="J320" s="925"/>
      <c r="K320" s="539"/>
      <c r="L320" s="540" t="s">
        <v>451</v>
      </c>
      <c r="M320" s="541"/>
      <c r="N320" s="468"/>
      <c r="Q320" s="465"/>
    </row>
    <row r="321" spans="1:17" s="467" customFormat="1" ht="16.5" thickBot="1" x14ac:dyDescent="0.3">
      <c r="A321" s="463"/>
      <c r="B321" s="537"/>
      <c r="C321" s="526"/>
      <c r="D321" s="620" t="s">
        <v>788</v>
      </c>
      <c r="F321" s="538"/>
      <c r="G321" s="561" t="str">
        <f>IFERROR(VLOOKUP(D321,'Precios Equipos'!$C$1:$F$2047,3,0),"")</f>
        <v/>
      </c>
      <c r="H321" s="561" t="str">
        <f t="shared" si="49"/>
        <v/>
      </c>
      <c r="I321" s="477"/>
      <c r="J321" s="925"/>
      <c r="K321" s="539"/>
      <c r="L321" s="919" t="s">
        <v>88</v>
      </c>
      <c r="M321" s="543" t="s">
        <v>85</v>
      </c>
      <c r="N321" s="468"/>
      <c r="Q321" s="465"/>
    </row>
    <row r="322" spans="1:17" s="467" customFormat="1" x14ac:dyDescent="0.25">
      <c r="A322" s="463"/>
      <c r="B322" s="537"/>
      <c r="C322" s="526">
        <v>2</v>
      </c>
      <c r="D322" s="494" t="str">
        <f>+'Precios Equipos'!C96</f>
        <v>Inversor Bidireccional 0.8 KVA</v>
      </c>
      <c r="E322" s="550" t="s">
        <v>575</v>
      </c>
      <c r="F322" s="538"/>
      <c r="G322" s="561">
        <f>IFERROR(VLOOKUP(D322,'Precios Equipos'!$C$1:$F$2047,3,0),"")</f>
        <v>8</v>
      </c>
      <c r="H322" s="561">
        <f t="shared" si="49"/>
        <v>16</v>
      </c>
      <c r="I322" s="1087">
        <f>SUM(H322:H332)</f>
        <v>879</v>
      </c>
      <c r="J322" s="1088">
        <f>+I322/H340</f>
        <v>0.86092066601371209</v>
      </c>
      <c r="K322" s="539"/>
      <c r="L322" s="920" t="str">
        <f>+'Precios Equipos'!C146</f>
        <v>M. DE OBRA (TIPO 1 AL 6) MONTAJE AIRE ACONDICIONADO Y ACCESORIOS</v>
      </c>
      <c r="M322" s="545">
        <f>IFERROR(VLOOKUP(L322,'Precios Equipos'!$C$11:$F$208,3,0),0)</f>
        <v>6</v>
      </c>
      <c r="N322" s="468"/>
      <c r="Q322" s="465">
        <f t="shared" ref="Q322:Q332" si="50">+C322*$C$316</f>
        <v>8</v>
      </c>
    </row>
    <row r="323" spans="1:17" s="467" customFormat="1" x14ac:dyDescent="0.25">
      <c r="A323" s="463"/>
      <c r="B323" s="537"/>
      <c r="C323" s="526"/>
      <c r="D323" s="494"/>
      <c r="F323" s="538"/>
      <c r="G323" s="561" t="str">
        <f>IFERROR(VLOOKUP(D323,'Precios Equipos'!$C$1:$F$2047,3,0),"")</f>
        <v/>
      </c>
      <c r="H323" s="561" t="str">
        <f t="shared" si="49"/>
        <v/>
      </c>
      <c r="I323" s="1087"/>
      <c r="J323" s="1088"/>
      <c r="K323" s="539"/>
      <c r="L323" s="920" t="str">
        <f>+'Precios Equipos'!C205</f>
        <v>Diseño Ingenieria Tableros Autosoportados</v>
      </c>
      <c r="M323" s="545">
        <f>IFERROR(VLOOKUP(L323,'Precios Equipos'!$C$11:$F$208,3,0),0)</f>
        <v>63</v>
      </c>
      <c r="N323" s="468"/>
      <c r="Q323" s="465"/>
    </row>
    <row r="324" spans="1:17" s="467" customFormat="1" x14ac:dyDescent="0.2">
      <c r="A324" s="463"/>
      <c r="B324" s="537"/>
      <c r="C324" s="526"/>
      <c r="D324" s="620" t="s">
        <v>549</v>
      </c>
      <c r="F324" s="538"/>
      <c r="G324" s="561" t="str">
        <f>IFERROR(VLOOKUP(D324,'Precios Equipos'!$C$1:$F$2047,3,0),"")</f>
        <v/>
      </c>
      <c r="H324" s="561" t="str">
        <f t="shared" si="49"/>
        <v/>
      </c>
      <c r="I324" s="1087"/>
      <c r="J324" s="1088"/>
      <c r="K324" s="539"/>
      <c r="L324" s="920" t="str">
        <f>+'Precios Equipos'!$C$111</f>
        <v>SISTEMA DE BARRAS 08-10 POLOS</v>
      </c>
      <c r="M324" s="545">
        <f>IFERROR(VLOOKUP(L324,'Precios Equipos'!$C$11:$F$208,3,0),0)</f>
        <v>23</v>
      </c>
      <c r="Q324" s="465"/>
    </row>
    <row r="325" spans="1:17" s="467" customFormat="1" ht="16.5" thickBot="1" x14ac:dyDescent="0.25">
      <c r="A325" s="463"/>
      <c r="B325" s="537"/>
      <c r="C325" s="526">
        <v>1</v>
      </c>
      <c r="D325" s="494" t="str">
        <f>+'Precios Equipos'!C88</f>
        <v>Centro de Control y Monitoreo de Microgridador de carga 450V/100A</v>
      </c>
      <c r="E325" s="550" t="s">
        <v>575</v>
      </c>
      <c r="F325" s="538"/>
      <c r="G325" s="561">
        <f>IFERROR(VLOOKUP(D325,'Precios Equipos'!$C$1:$F$2047,3,0),"")</f>
        <v>24</v>
      </c>
      <c r="H325" s="561">
        <f t="shared" si="49"/>
        <v>24</v>
      </c>
      <c r="I325" s="1087"/>
      <c r="J325" s="1088"/>
      <c r="K325" s="539"/>
      <c r="L325" s="921" t="str">
        <f>+'Precios Equipos'!$C$132</f>
        <v>CABLEADO 1 DIFERENCIALES, 2P</v>
      </c>
      <c r="M325" s="545">
        <f>IFERROR(VLOOKUP(L325,'Precios Equipos'!$C$11:$F$208,3,0),0)</f>
        <v>37</v>
      </c>
      <c r="Q325" s="465">
        <f t="shared" si="50"/>
        <v>4</v>
      </c>
    </row>
    <row r="326" spans="1:17" s="467" customFormat="1" ht="16.5" thickBot="1" x14ac:dyDescent="0.25">
      <c r="A326" s="463"/>
      <c r="B326" s="537"/>
      <c r="C326" s="526"/>
      <c r="D326" s="494"/>
      <c r="E326" s="550"/>
      <c r="F326" s="538"/>
      <c r="G326" s="561" t="str">
        <f>IFERROR(VLOOKUP(D326,'Precios Equipos'!$C$1:$F$2047,3,0),"")</f>
        <v/>
      </c>
      <c r="H326" s="561" t="str">
        <f t="shared" si="49"/>
        <v/>
      </c>
      <c r="I326" s="1087"/>
      <c r="J326" s="1088"/>
      <c r="K326" s="539"/>
      <c r="L326" s="546" t="s">
        <v>89</v>
      </c>
      <c r="M326" s="560">
        <f>SUM(M322:M325)</f>
        <v>129</v>
      </c>
      <c r="Q326" s="465"/>
    </row>
    <row r="327" spans="1:17" s="467" customFormat="1" x14ac:dyDescent="0.2">
      <c r="A327" s="463"/>
      <c r="B327" s="537"/>
      <c r="C327" s="526"/>
      <c r="D327" s="620" t="s">
        <v>818</v>
      </c>
      <c r="F327" s="538"/>
      <c r="G327" s="561" t="str">
        <f>IFERROR(VLOOKUP(D327,'Precios Equipos'!$C$1:$F$2047,3,0),"")</f>
        <v/>
      </c>
      <c r="H327" s="561" t="str">
        <f t="shared" si="49"/>
        <v/>
      </c>
      <c r="I327" s="1087"/>
      <c r="J327" s="1088"/>
      <c r="K327" s="539"/>
      <c r="Q327" s="465"/>
    </row>
    <row r="328" spans="1:17" s="467" customFormat="1" x14ac:dyDescent="0.2">
      <c r="A328" s="463"/>
      <c r="B328" s="537"/>
      <c r="C328" s="526">
        <v>2</v>
      </c>
      <c r="D328" s="494" t="str">
        <f>+'Precios Equipos'!$C$91</f>
        <v>Aire Acondicionado 300W</v>
      </c>
      <c r="F328" s="538"/>
      <c r="G328" s="561">
        <f>IFERROR(VLOOKUP(D328,'Precios Equipos'!$C$1:$F$2047,3,0),"")</f>
        <v>26</v>
      </c>
      <c r="H328" s="561">
        <f t="shared" si="49"/>
        <v>52</v>
      </c>
      <c r="I328" s="1087"/>
      <c r="J328" s="1088"/>
      <c r="K328" s="539"/>
      <c r="Q328" s="465">
        <f t="shared" si="50"/>
        <v>8</v>
      </c>
    </row>
    <row r="329" spans="1:17" s="467" customFormat="1" x14ac:dyDescent="0.2">
      <c r="A329" s="463"/>
      <c r="B329" s="537"/>
      <c r="C329" s="526"/>
      <c r="D329" s="494"/>
      <c r="F329" s="538"/>
      <c r="G329" s="561" t="str">
        <f>IFERROR(VLOOKUP(D329,'Precios Equipos'!$C$1:$F$2047,3,0),"")</f>
        <v/>
      </c>
      <c r="H329" s="561" t="str">
        <f t="shared" ref="H329:H333" si="51">IFERROR(G329*C329,"")</f>
        <v/>
      </c>
      <c r="I329" s="1087"/>
      <c r="J329" s="1088"/>
      <c r="K329" s="539"/>
      <c r="Q329" s="465"/>
    </row>
    <row r="330" spans="1:17" s="467" customFormat="1" x14ac:dyDescent="0.2">
      <c r="A330" s="463"/>
      <c r="B330" s="537"/>
      <c r="C330" s="526"/>
      <c r="D330" s="620" t="s">
        <v>819</v>
      </c>
      <c r="F330" s="538"/>
      <c r="G330" s="561" t="str">
        <f>IFERROR(VLOOKUP(D330,'Precios Equipos'!$C$1:$F$2047,3,0),"")</f>
        <v/>
      </c>
      <c r="H330" s="561" t="str">
        <f t="shared" si="51"/>
        <v/>
      </c>
      <c r="I330" s="1087"/>
      <c r="J330" s="1088"/>
      <c r="K330" s="539"/>
      <c r="Q330" s="465"/>
    </row>
    <row r="331" spans="1:17" s="467" customFormat="1" x14ac:dyDescent="0.25">
      <c r="A331" s="463"/>
      <c r="B331" s="537"/>
      <c r="C331" s="526">
        <v>1</v>
      </c>
      <c r="D331" s="468" t="str">
        <f>+'Precios Equipos'!$C$55</f>
        <v>Interruptor Riel Din 2x25A. S202M 20kA en 250VDC, ABB</v>
      </c>
      <c r="F331" s="538"/>
      <c r="G331" s="561">
        <f>IFERROR(VLOOKUP(D331,'Precios Equipos'!$C$1:$F$2047,3,0),"")</f>
        <v>382</v>
      </c>
      <c r="H331" s="561">
        <f t="shared" si="51"/>
        <v>382</v>
      </c>
      <c r="I331" s="1087"/>
      <c r="J331" s="1088"/>
      <c r="K331" s="539"/>
      <c r="Q331" s="465">
        <f t="shared" si="50"/>
        <v>4</v>
      </c>
    </row>
    <row r="332" spans="1:17" s="467" customFormat="1" x14ac:dyDescent="0.25">
      <c r="A332" s="463"/>
      <c r="B332" s="537"/>
      <c r="C332" s="526">
        <v>1</v>
      </c>
      <c r="D332" s="468" t="str">
        <f>+'Precios Equipos'!$C$60</f>
        <v>Protector de sobretension SPD DC 2P, 1000V DC, CLAMPER/DC SURGE PROTECCION</v>
      </c>
      <c r="F332" s="538"/>
      <c r="G332" s="561">
        <f>IFERROR(VLOOKUP(D332,'Precios Equipos'!$C$1:$F$2047,3,0),"")</f>
        <v>405</v>
      </c>
      <c r="H332" s="561">
        <f t="shared" si="51"/>
        <v>405</v>
      </c>
      <c r="I332" s="1087"/>
      <c r="J332" s="1088"/>
      <c r="K332" s="539"/>
      <c r="Q332" s="465">
        <f t="shared" si="50"/>
        <v>4</v>
      </c>
    </row>
    <row r="333" spans="1:17" s="467" customFormat="1" x14ac:dyDescent="0.2">
      <c r="A333" s="463"/>
      <c r="B333" s="537"/>
      <c r="C333" s="526"/>
      <c r="D333" s="494"/>
      <c r="F333" s="538"/>
      <c r="G333" s="561" t="str">
        <f>IFERROR(VLOOKUP(D333,'Precios Equipos'!$C$1:$F$2047,3,0),"")</f>
        <v/>
      </c>
      <c r="H333" s="561" t="str">
        <f t="shared" si="51"/>
        <v/>
      </c>
      <c r="I333" s="477"/>
      <c r="J333" s="973"/>
      <c r="K333" s="539"/>
      <c r="Q333" s="465"/>
    </row>
    <row r="334" spans="1:17" s="467" customFormat="1" x14ac:dyDescent="0.2">
      <c r="A334" s="463"/>
      <c r="B334" s="537"/>
      <c r="C334" s="526"/>
      <c r="D334" s="620" t="s">
        <v>87</v>
      </c>
      <c r="F334" s="538"/>
      <c r="G334" s="561" t="str">
        <f>IFERROR(VLOOKUP(D334,'Precios Equipos'!$C$1:$F$2047,3,0),"")</f>
        <v/>
      </c>
      <c r="H334" s="561" t="str">
        <f t="shared" si="49"/>
        <v/>
      </c>
      <c r="I334" s="477"/>
      <c r="J334" s="925"/>
      <c r="K334" s="539"/>
      <c r="Q334" s="465"/>
    </row>
    <row r="335" spans="1:17" s="467" customFormat="1" x14ac:dyDescent="0.2">
      <c r="A335" s="463"/>
      <c r="B335" s="537"/>
      <c r="C335" s="526">
        <v>1</v>
      </c>
      <c r="D335" s="494" t="s">
        <v>54</v>
      </c>
      <c r="F335" s="538"/>
      <c r="G335" s="561" t="str">
        <f>IFERROR(VLOOKUP(D335,'Precios Equipos'!$C$1:$F$2047,3,0),"")</f>
        <v/>
      </c>
      <c r="H335" s="561" t="str">
        <f t="shared" si="49"/>
        <v/>
      </c>
      <c r="I335" s="477"/>
      <c r="J335" s="925"/>
      <c r="K335" s="539"/>
      <c r="Q335" s="465"/>
    </row>
    <row r="336" spans="1:17" s="467" customFormat="1" x14ac:dyDescent="0.2">
      <c r="A336" s="463"/>
      <c r="B336" s="537"/>
      <c r="C336" s="526">
        <v>1</v>
      </c>
      <c r="D336" s="494" t="s">
        <v>49</v>
      </c>
      <c r="F336" s="538"/>
      <c r="G336" s="479"/>
      <c r="H336" s="561">
        <f>M326</f>
        <v>129</v>
      </c>
      <c r="I336" s="561">
        <f>+H336</f>
        <v>129</v>
      </c>
      <c r="J336" s="924">
        <f>+I336/H340</f>
        <v>0.12634671890303623</v>
      </c>
      <c r="K336" s="539"/>
      <c r="Q336" s="465"/>
    </row>
    <row r="337" spans="1:17" s="467" customFormat="1" x14ac:dyDescent="0.2">
      <c r="A337" s="463"/>
      <c r="B337" s="537"/>
      <c r="C337" s="526">
        <v>1</v>
      </c>
      <c r="D337" s="494" t="s">
        <v>56</v>
      </c>
      <c r="F337" s="538"/>
      <c r="G337" s="479"/>
      <c r="H337" s="577"/>
      <c r="I337" s="539"/>
      <c r="J337" s="974"/>
      <c r="K337" s="539"/>
      <c r="Q337" s="465"/>
    </row>
    <row r="338" spans="1:17" s="467" customFormat="1" x14ac:dyDescent="0.2">
      <c r="A338" s="463"/>
      <c r="B338" s="537"/>
      <c r="C338" s="526">
        <v>1</v>
      </c>
      <c r="D338" s="494" t="s">
        <v>57</v>
      </c>
      <c r="F338" s="538"/>
      <c r="G338" s="479"/>
      <c r="H338" s="561"/>
      <c r="I338" s="539"/>
      <c r="J338" s="974"/>
      <c r="K338" s="539"/>
      <c r="Q338" s="465"/>
    </row>
    <row r="339" spans="1:17" s="467" customFormat="1" x14ac:dyDescent="0.2">
      <c r="A339" s="463"/>
      <c r="B339" s="537"/>
      <c r="C339" s="526">
        <v>1</v>
      </c>
      <c r="D339" s="467" t="s">
        <v>20</v>
      </c>
      <c r="F339" s="538"/>
      <c r="G339" s="479"/>
      <c r="H339" s="479"/>
      <c r="I339" s="477"/>
      <c r="J339" s="925"/>
      <c r="K339" s="539"/>
      <c r="Q339" s="465"/>
    </row>
    <row r="340" spans="1:17" s="467" customFormat="1" x14ac:dyDescent="0.2">
      <c r="A340" s="463"/>
      <c r="B340" s="537"/>
      <c r="C340" s="526">
        <v>1</v>
      </c>
      <c r="D340" s="467" t="s">
        <v>52</v>
      </c>
      <c r="F340" s="538"/>
      <c r="G340" s="553" t="s">
        <v>97</v>
      </c>
      <c r="H340" s="553">
        <f>SUM(H319:H338)</f>
        <v>1021</v>
      </c>
      <c r="I340" s="477"/>
      <c r="J340" s="974"/>
      <c r="K340" s="539"/>
      <c r="Q340" s="465"/>
    </row>
    <row r="341" spans="1:17" s="467" customFormat="1" x14ac:dyDescent="0.2">
      <c r="A341" s="463"/>
      <c r="B341" s="537"/>
      <c r="C341" s="526">
        <v>1</v>
      </c>
      <c r="D341" s="467" t="s">
        <v>900</v>
      </c>
      <c r="F341" s="538"/>
      <c r="G341" s="553" t="s">
        <v>105</v>
      </c>
      <c r="H341" s="561">
        <f>H340*$M$152</f>
        <v>204.20000000000002</v>
      </c>
      <c r="I341" s="477"/>
      <c r="J341" s="925"/>
      <c r="K341" s="539"/>
      <c r="Q341" s="465"/>
    </row>
    <row r="342" spans="1:17" s="467" customFormat="1" x14ac:dyDescent="0.2">
      <c r="A342" s="463"/>
      <c r="B342" s="548"/>
      <c r="C342" s="527" t="s">
        <v>17</v>
      </c>
      <c r="D342" s="522" t="s">
        <v>48</v>
      </c>
      <c r="E342" s="522"/>
      <c r="F342" s="549"/>
      <c r="G342" s="553" t="s">
        <v>452</v>
      </c>
      <c r="H342" s="553">
        <f>H340+H341</f>
        <v>1225.2</v>
      </c>
      <c r="I342" s="477"/>
      <c r="J342" s="924">
        <f>SUM(J319:J338)</f>
        <v>1</v>
      </c>
      <c r="K342" s="539"/>
      <c r="Q342" s="465"/>
    </row>
    <row r="343" spans="1:17" x14ac:dyDescent="0.25">
      <c r="G343" s="477"/>
      <c r="H343" s="477"/>
      <c r="I343" s="477"/>
      <c r="K343" s="539"/>
      <c r="O343" s="468"/>
    </row>
    <row r="344" spans="1:17" x14ac:dyDescent="0.25">
      <c r="B344" s="514" t="s">
        <v>6</v>
      </c>
      <c r="C344" s="515" t="s">
        <v>0</v>
      </c>
      <c r="D344" s="556" t="s">
        <v>8</v>
      </c>
      <c r="E344" s="597" t="s">
        <v>4</v>
      </c>
      <c r="F344" s="516" t="s">
        <v>3</v>
      </c>
      <c r="G344" s="477"/>
      <c r="H344" s="477"/>
      <c r="I344" s="477"/>
      <c r="K344" s="539"/>
      <c r="O344" s="468"/>
    </row>
    <row r="345" spans="1:17" x14ac:dyDescent="0.25">
      <c r="A345" s="463">
        <v>163</v>
      </c>
      <c r="B345" s="1077">
        <f>B37</f>
        <v>3.0199999999999996</v>
      </c>
      <c r="C345" s="1077">
        <f>C37</f>
        <v>2</v>
      </c>
      <c r="D345" s="1091" t="str">
        <f>D37</f>
        <v>TABLEROS DE POTENCIA TIPO 02 (incluye aire acondicionado)</v>
      </c>
      <c r="E345" s="517">
        <f>H369</f>
        <v>1215.5999999999999</v>
      </c>
      <c r="F345" s="518">
        <f>+E345*C345</f>
        <v>2431.1999999999998</v>
      </c>
      <c r="G345" s="553" t="s">
        <v>450</v>
      </c>
      <c r="H345" s="553" t="s">
        <v>1</v>
      </c>
      <c r="I345" s="477"/>
      <c r="K345" s="539"/>
      <c r="O345" s="468"/>
    </row>
    <row r="346" spans="1:17" x14ac:dyDescent="0.25">
      <c r="B346" s="1078"/>
      <c r="C346" s="1078"/>
      <c r="D346" s="1092"/>
      <c r="E346" s="519" t="s">
        <v>50</v>
      </c>
      <c r="F346" s="520" t="s">
        <v>50</v>
      </c>
      <c r="G346" s="553" t="s">
        <v>50</v>
      </c>
      <c r="H346" s="553" t="s">
        <v>50</v>
      </c>
      <c r="I346" s="477"/>
      <c r="K346" s="539"/>
      <c r="O346" s="468"/>
    </row>
    <row r="347" spans="1:17" ht="16.5" thickBot="1" x14ac:dyDescent="0.3">
      <c r="B347" s="490"/>
      <c r="C347" s="526"/>
      <c r="D347" s="463"/>
      <c r="E347" s="491"/>
      <c r="F347" s="492"/>
      <c r="G347" s="561" t="str">
        <f>IFERROR(VLOOKUP(D347,'Precios Equipos'!$C$1:$F$2047,3,0),"")</f>
        <v/>
      </c>
      <c r="H347" s="561" t="str">
        <f t="shared" ref="H347:H363" si="52">IFERROR(G347*C347,"")</f>
        <v/>
      </c>
      <c r="I347" s="477"/>
      <c r="K347" s="539"/>
      <c r="O347" s="468"/>
    </row>
    <row r="348" spans="1:17" ht="16.5" thickBot="1" x14ac:dyDescent="0.3">
      <c r="B348" s="493"/>
      <c r="C348" s="526">
        <v>1</v>
      </c>
      <c r="D348" s="500" t="str">
        <f>+'Precios Equipos'!$C$194</f>
        <v>Gabinete Autosoportado 2100x1000(2 Puertas)x700mm. (Alto x ancho x profundidad)</v>
      </c>
      <c r="F348" s="495"/>
      <c r="G348" s="561">
        <f>IFERROR(VLOOKUP(D348,'Precios Equipos'!$C$1:$F$2047,3,0),"")</f>
        <v>13</v>
      </c>
      <c r="H348" s="561">
        <f t="shared" si="52"/>
        <v>13</v>
      </c>
      <c r="I348" s="561">
        <f>+H348</f>
        <v>13</v>
      </c>
      <c r="J348" s="924">
        <f>+I348/H367</f>
        <v>1.2833168805528134E-2</v>
      </c>
      <c r="K348" s="539"/>
      <c r="L348" s="540" t="s">
        <v>451</v>
      </c>
      <c r="M348" s="541"/>
      <c r="O348" s="468"/>
      <c r="Q348" s="465">
        <f>+C348*$C$345</f>
        <v>2</v>
      </c>
    </row>
    <row r="349" spans="1:17" ht="16.5" thickBot="1" x14ac:dyDescent="0.3">
      <c r="B349" s="493"/>
      <c r="C349" s="526"/>
      <c r="D349" s="494"/>
      <c r="F349" s="495"/>
      <c r="G349" s="561" t="str">
        <f>IFERROR(VLOOKUP(D349,'Precios Equipos'!$C$1:$F$2047,3,0),"")</f>
        <v/>
      </c>
      <c r="H349" s="561" t="str">
        <f t="shared" si="52"/>
        <v/>
      </c>
      <c r="I349" s="477"/>
      <c r="K349" s="539"/>
      <c r="L349" s="542" t="s">
        <v>88</v>
      </c>
      <c r="M349" s="543" t="s">
        <v>85</v>
      </c>
      <c r="O349" s="468"/>
    </row>
    <row r="350" spans="1:17" x14ac:dyDescent="0.25">
      <c r="B350" s="493"/>
      <c r="C350" s="526"/>
      <c r="D350" s="620" t="s">
        <v>788</v>
      </c>
      <c r="E350" s="467"/>
      <c r="F350" s="495"/>
      <c r="G350" s="561" t="str">
        <f>IFERROR(VLOOKUP(D350,'Precios Equipos'!$C$1:$F$2047,3,0),"")</f>
        <v/>
      </c>
      <c r="H350" s="561" t="str">
        <f t="shared" si="52"/>
        <v/>
      </c>
      <c r="I350" s="477"/>
      <c r="K350" s="539"/>
      <c r="L350" s="544" t="str">
        <f>+'Precios Equipos'!C146</f>
        <v>M. DE OBRA (TIPO 1 AL 6) MONTAJE AIRE ACONDICIONADO Y ACCESORIOS</v>
      </c>
      <c r="M350" s="545">
        <f>IFERROR(VLOOKUP(L350,'Precios Equipos'!$C$11:$F$208,3,0),0)</f>
        <v>6</v>
      </c>
    </row>
    <row r="351" spans="1:17" x14ac:dyDescent="0.25">
      <c r="B351" s="493"/>
      <c r="C351" s="526">
        <v>2</v>
      </c>
      <c r="D351" s="494" t="str">
        <f>+'Precios Equipos'!C97</f>
        <v>Inversor Bidireccional 1.2 KVA</v>
      </c>
      <c r="E351" s="550" t="s">
        <v>575</v>
      </c>
      <c r="F351" s="497"/>
      <c r="G351" s="561">
        <f>IFERROR(VLOOKUP(D351,'Precios Equipos'!$C$1:$F$2047,3,0),"")</f>
        <v>4</v>
      </c>
      <c r="H351" s="561">
        <f t="shared" si="52"/>
        <v>8</v>
      </c>
      <c r="I351" s="1087">
        <f>SUM(H351:H361)</f>
        <v>871</v>
      </c>
      <c r="J351" s="1088">
        <f>+I351/H367</f>
        <v>0.859822309970385</v>
      </c>
      <c r="K351" s="539"/>
      <c r="L351" s="544" t="str">
        <f>+'Precios Equipos'!C205</f>
        <v>Diseño Ingenieria Tableros Autosoportados</v>
      </c>
      <c r="M351" s="545">
        <f>IFERROR(VLOOKUP(L351,'Precios Equipos'!$C$11:$F$208,3,0),0)</f>
        <v>63</v>
      </c>
      <c r="Q351" s="465">
        <f>+C351*$C$345</f>
        <v>4</v>
      </c>
    </row>
    <row r="352" spans="1:17" x14ac:dyDescent="0.25">
      <c r="B352" s="493"/>
      <c r="C352" s="526"/>
      <c r="D352" s="494"/>
      <c r="E352" s="467"/>
      <c r="F352" s="497"/>
      <c r="G352" s="561" t="str">
        <f>IFERROR(VLOOKUP(D352,'Precios Equipos'!$C$1:$F$2047,3,0),"")</f>
        <v/>
      </c>
      <c r="H352" s="561" t="str">
        <f t="shared" si="52"/>
        <v/>
      </c>
      <c r="I352" s="1087"/>
      <c r="J352" s="1088"/>
      <c r="K352" s="539"/>
      <c r="L352" s="920" t="str">
        <f>+'Precios Equipos'!$C$111</f>
        <v>SISTEMA DE BARRAS 08-10 POLOS</v>
      </c>
      <c r="M352" s="545">
        <f>IFERROR(VLOOKUP(L352,'Precios Equipos'!$C$11:$F$208,3,0),0)</f>
        <v>23</v>
      </c>
    </row>
    <row r="353" spans="2:17" ht="16.5" thickBot="1" x14ac:dyDescent="0.3">
      <c r="B353" s="493"/>
      <c r="C353" s="526"/>
      <c r="D353" s="620" t="s">
        <v>549</v>
      </c>
      <c r="E353" s="467"/>
      <c r="F353" s="497"/>
      <c r="G353" s="561" t="str">
        <f>IFERROR(VLOOKUP(D353,'Precios Equipos'!$C$1:$F$2047,3,0),"")</f>
        <v/>
      </c>
      <c r="H353" s="561" t="str">
        <f t="shared" si="52"/>
        <v/>
      </c>
      <c r="I353" s="1087"/>
      <c r="J353" s="1088"/>
      <c r="K353" s="539"/>
      <c r="L353" s="921" t="str">
        <f>+'Precios Equipos'!$C$132</f>
        <v>CABLEADO 1 DIFERENCIALES, 2P</v>
      </c>
      <c r="M353" s="545">
        <f>IFERROR(VLOOKUP(L353,'Precios Equipos'!$C$11:$F$208,3,0),0)</f>
        <v>37</v>
      </c>
    </row>
    <row r="354" spans="2:17" ht="16.5" thickBot="1" x14ac:dyDescent="0.3">
      <c r="B354" s="493"/>
      <c r="C354" s="526">
        <v>1</v>
      </c>
      <c r="D354" s="494" t="str">
        <f>+'Precios Equipos'!C88</f>
        <v>Centro de Control y Monitoreo de Microgridador de carga 450V/100A</v>
      </c>
      <c r="E354" s="550" t="s">
        <v>575</v>
      </c>
      <c r="F354" s="497"/>
      <c r="G354" s="561">
        <f>IFERROR(VLOOKUP(D354,'Precios Equipos'!$C$1:$F$2047,3,0),"")</f>
        <v>24</v>
      </c>
      <c r="H354" s="561">
        <f t="shared" si="52"/>
        <v>24</v>
      </c>
      <c r="I354" s="1087"/>
      <c r="J354" s="1088"/>
      <c r="K354" s="539"/>
      <c r="L354" s="546" t="s">
        <v>89</v>
      </c>
      <c r="M354" s="560">
        <f>SUM(M350:M353)</f>
        <v>129</v>
      </c>
      <c r="Q354" s="465">
        <f>+C354*$C$345</f>
        <v>2</v>
      </c>
    </row>
    <row r="355" spans="2:17" x14ac:dyDescent="0.25">
      <c r="B355" s="493"/>
      <c r="C355" s="526"/>
      <c r="D355" s="494"/>
      <c r="F355" s="495"/>
      <c r="G355" s="561" t="str">
        <f>IFERROR(VLOOKUP(D355,'Precios Equipos'!$C$1:$F$2047,3,0),"")</f>
        <v/>
      </c>
      <c r="H355" s="561" t="str">
        <f t="shared" si="52"/>
        <v/>
      </c>
      <c r="I355" s="1087"/>
      <c r="J355" s="1088"/>
      <c r="K355" s="539"/>
      <c r="O355" s="468"/>
    </row>
    <row r="356" spans="2:17" x14ac:dyDescent="0.25">
      <c r="B356" s="493"/>
      <c r="C356" s="526"/>
      <c r="D356" s="620" t="s">
        <v>813</v>
      </c>
      <c r="F356" s="495"/>
      <c r="G356" s="561" t="str">
        <f>IFERROR(VLOOKUP(D356,'Precios Equipos'!$C$1:$F$2047,3,0),"")</f>
        <v/>
      </c>
      <c r="H356" s="561" t="str">
        <f t="shared" si="52"/>
        <v/>
      </c>
      <c r="I356" s="1087"/>
      <c r="J356" s="1088"/>
      <c r="K356" s="539"/>
      <c r="O356" s="468"/>
    </row>
    <row r="357" spans="2:17" x14ac:dyDescent="0.25">
      <c r="B357" s="493"/>
      <c r="C357" s="526">
        <v>2</v>
      </c>
      <c r="D357" s="494" t="str">
        <f>+'Precios Equipos'!$C$91</f>
        <v>Aire Acondicionado 300W</v>
      </c>
      <c r="F357" s="495"/>
      <c r="G357" s="561">
        <f>IFERROR(VLOOKUP(D357,'Precios Equipos'!$C$1:$F$2047,3,0),"")</f>
        <v>26</v>
      </c>
      <c r="H357" s="561">
        <f t="shared" si="52"/>
        <v>52</v>
      </c>
      <c r="I357" s="1087"/>
      <c r="J357" s="1088"/>
      <c r="K357" s="539"/>
      <c r="O357" s="468"/>
      <c r="Q357" s="465">
        <f>+C357*$C$345</f>
        <v>4</v>
      </c>
    </row>
    <row r="358" spans="2:17" x14ac:dyDescent="0.25">
      <c r="B358" s="493"/>
      <c r="C358" s="526"/>
      <c r="D358" s="494"/>
      <c r="F358" s="495"/>
      <c r="G358" s="561" t="str">
        <f>IFERROR(VLOOKUP(D358,'Precios Equipos'!$C$1:$F$2047,3,0),"")</f>
        <v/>
      </c>
      <c r="H358" s="561" t="str">
        <f t="shared" ref="H358:H361" si="53">IFERROR(G358*C358,"")</f>
        <v/>
      </c>
      <c r="I358" s="1087"/>
      <c r="J358" s="1088"/>
      <c r="K358" s="539"/>
      <c r="O358" s="468"/>
    </row>
    <row r="359" spans="2:17" x14ac:dyDescent="0.25">
      <c r="B359" s="493"/>
      <c r="C359" s="526"/>
      <c r="D359" s="620" t="s">
        <v>819</v>
      </c>
      <c r="F359" s="495"/>
      <c r="G359" s="561" t="str">
        <f>IFERROR(VLOOKUP(D359,'Precios Equipos'!$C$1:$F$2047,3,0),"")</f>
        <v/>
      </c>
      <c r="H359" s="561" t="str">
        <f t="shared" si="53"/>
        <v/>
      </c>
      <c r="I359" s="1087"/>
      <c r="J359" s="1088"/>
      <c r="K359" s="539"/>
      <c r="O359" s="468"/>
    </row>
    <row r="360" spans="2:17" x14ac:dyDescent="0.25">
      <c r="B360" s="493"/>
      <c r="C360" s="526">
        <v>1</v>
      </c>
      <c r="D360" s="468" t="str">
        <f>+'Precios Equipos'!$C$55</f>
        <v>Interruptor Riel Din 2x25A. S202M 20kA en 250VDC, ABB</v>
      </c>
      <c r="F360" s="495"/>
      <c r="G360" s="561">
        <f>IFERROR(VLOOKUP(D360,'Precios Equipos'!$C$1:$F$2047,3,0),"")</f>
        <v>382</v>
      </c>
      <c r="H360" s="561">
        <f t="shared" si="53"/>
        <v>382</v>
      </c>
      <c r="I360" s="1087"/>
      <c r="J360" s="1088"/>
      <c r="K360" s="539"/>
      <c r="O360" s="468"/>
      <c r="Q360" s="465">
        <f>+C360*$C$345</f>
        <v>2</v>
      </c>
    </row>
    <row r="361" spans="2:17" x14ac:dyDescent="0.25">
      <c r="B361" s="493"/>
      <c r="C361" s="526">
        <v>1</v>
      </c>
      <c r="D361" s="468" t="str">
        <f>+'Precios Equipos'!$C$60</f>
        <v>Protector de sobretension SPD DC 2P, 1000V DC, CLAMPER/DC SURGE PROTECCION</v>
      </c>
      <c r="F361" s="495"/>
      <c r="G361" s="561">
        <f>IFERROR(VLOOKUP(D361,'Precios Equipos'!$C$1:$F$2047,3,0),"")</f>
        <v>405</v>
      </c>
      <c r="H361" s="561">
        <f t="shared" si="53"/>
        <v>405</v>
      </c>
      <c r="I361" s="1087"/>
      <c r="J361" s="1088"/>
      <c r="K361" s="539"/>
      <c r="O361" s="468"/>
      <c r="Q361" s="465">
        <f>+C361*$C$345</f>
        <v>2</v>
      </c>
    </row>
    <row r="362" spans="2:17" x14ac:dyDescent="0.25">
      <c r="B362" s="493"/>
      <c r="C362" s="526"/>
      <c r="D362" s="494"/>
      <c r="F362" s="495"/>
      <c r="G362" s="561"/>
      <c r="H362" s="561"/>
      <c r="I362" s="477"/>
      <c r="K362" s="539"/>
      <c r="O362" s="468"/>
    </row>
    <row r="363" spans="2:17" x14ac:dyDescent="0.25">
      <c r="B363" s="493"/>
      <c r="C363" s="526"/>
      <c r="D363" s="620" t="s">
        <v>87</v>
      </c>
      <c r="F363" s="495"/>
      <c r="G363" s="561" t="str">
        <f>IFERROR(VLOOKUP(D363,'Precios Equipos'!$C$1:$F$2047,3,0),"")</f>
        <v/>
      </c>
      <c r="H363" s="561" t="str">
        <f t="shared" si="52"/>
        <v/>
      </c>
      <c r="I363" s="477"/>
      <c r="K363" s="539"/>
      <c r="O363" s="468"/>
    </row>
    <row r="364" spans="2:17" x14ac:dyDescent="0.25">
      <c r="B364" s="493"/>
      <c r="C364" s="526">
        <v>1</v>
      </c>
      <c r="D364" s="494" t="s">
        <v>49</v>
      </c>
      <c r="F364" s="495"/>
      <c r="G364" s="479"/>
      <c r="H364" s="561">
        <f>M354</f>
        <v>129</v>
      </c>
      <c r="I364" s="561">
        <f>+H364</f>
        <v>129</v>
      </c>
      <c r="J364" s="924">
        <f>+I364/H367</f>
        <v>0.12734452122408688</v>
      </c>
      <c r="K364" s="539"/>
      <c r="O364" s="468"/>
    </row>
    <row r="365" spans="2:17" x14ac:dyDescent="0.25">
      <c r="B365" s="493"/>
      <c r="C365" s="526">
        <v>1</v>
      </c>
      <c r="D365" s="494" t="s">
        <v>51</v>
      </c>
      <c r="F365" s="495"/>
      <c r="G365" s="479"/>
      <c r="H365" s="577"/>
      <c r="I365" s="539"/>
      <c r="J365" s="974"/>
      <c r="K365" s="539"/>
      <c r="O365" s="468"/>
    </row>
    <row r="366" spans="2:17" x14ac:dyDescent="0.25">
      <c r="B366" s="493"/>
      <c r="C366" s="526">
        <v>1</v>
      </c>
      <c r="D366" s="467" t="s">
        <v>20</v>
      </c>
      <c r="F366" s="495"/>
      <c r="G366" s="479"/>
      <c r="H366" s="577"/>
      <c r="I366" s="539"/>
      <c r="J366" s="974"/>
      <c r="K366" s="539"/>
      <c r="O366" s="468"/>
    </row>
    <row r="367" spans="2:17" x14ac:dyDescent="0.25">
      <c r="B367" s="493"/>
      <c r="C367" s="526">
        <v>1</v>
      </c>
      <c r="D367" s="467" t="s">
        <v>52</v>
      </c>
      <c r="F367" s="495"/>
      <c r="G367" s="553" t="s">
        <v>97</v>
      </c>
      <c r="H367" s="553">
        <f>SUM(H347:H366)</f>
        <v>1013</v>
      </c>
      <c r="K367" s="539"/>
      <c r="O367" s="468"/>
    </row>
    <row r="368" spans="2:17" x14ac:dyDescent="0.25">
      <c r="B368" s="493"/>
      <c r="C368" s="526">
        <v>1</v>
      </c>
      <c r="D368" s="467" t="s">
        <v>900</v>
      </c>
      <c r="F368" s="495"/>
      <c r="G368" s="553" t="s">
        <v>105</v>
      </c>
      <c r="H368" s="561">
        <f>H367*$M$152</f>
        <v>202.60000000000002</v>
      </c>
      <c r="I368" s="477"/>
      <c r="K368" s="539"/>
      <c r="O368" s="468"/>
    </row>
    <row r="369" spans="1:17" x14ac:dyDescent="0.25">
      <c r="B369" s="521"/>
      <c r="C369" s="527" t="s">
        <v>17</v>
      </c>
      <c r="D369" s="522" t="s">
        <v>48</v>
      </c>
      <c r="E369" s="523"/>
      <c r="F369" s="524"/>
      <c r="G369" s="553" t="s">
        <v>452</v>
      </c>
      <c r="H369" s="553">
        <f>H367+H368</f>
        <v>1215.5999999999999</v>
      </c>
      <c r="I369" s="477"/>
      <c r="J369" s="924">
        <f>SUM(J348:J366)</f>
        <v>1</v>
      </c>
      <c r="K369" s="539"/>
      <c r="O369" s="468"/>
    </row>
    <row r="370" spans="1:17" x14ac:dyDescent="0.25">
      <c r="G370" s="477"/>
      <c r="H370" s="477"/>
      <c r="I370" s="477"/>
      <c r="K370" s="539"/>
      <c r="O370" s="468"/>
    </row>
    <row r="371" spans="1:17" x14ac:dyDescent="0.25">
      <c r="B371" s="514" t="s">
        <v>6</v>
      </c>
      <c r="C371" s="515" t="s">
        <v>0</v>
      </c>
      <c r="D371" s="556" t="s">
        <v>8</v>
      </c>
      <c r="E371" s="597" t="s">
        <v>4</v>
      </c>
      <c r="F371" s="516" t="s">
        <v>3</v>
      </c>
      <c r="G371" s="477"/>
      <c r="H371" s="477"/>
      <c r="I371" s="477"/>
      <c r="K371" s="539"/>
      <c r="O371" s="468"/>
    </row>
    <row r="372" spans="1:17" x14ac:dyDescent="0.25">
      <c r="A372" s="463">
        <v>164</v>
      </c>
      <c r="B372" s="1077">
        <f>B38</f>
        <v>3.0299999999999994</v>
      </c>
      <c r="C372" s="1077">
        <f>C38</f>
        <v>1</v>
      </c>
      <c r="D372" s="1091" t="str">
        <f>D38</f>
        <v>TABLEROS DE POTENCIA TIPO 03 (incluye aire acondicionado)</v>
      </c>
      <c r="E372" s="517">
        <f>H396</f>
        <v>1210.8</v>
      </c>
      <c r="F372" s="518">
        <f>+E372*C372</f>
        <v>1210.8</v>
      </c>
      <c r="G372" s="553" t="s">
        <v>450</v>
      </c>
      <c r="H372" s="553" t="s">
        <v>1</v>
      </c>
      <c r="I372" s="477"/>
      <c r="K372" s="539"/>
      <c r="O372" s="468"/>
    </row>
    <row r="373" spans="1:17" x14ac:dyDescent="0.25">
      <c r="B373" s="1078"/>
      <c r="C373" s="1078"/>
      <c r="D373" s="1092"/>
      <c r="E373" s="519" t="s">
        <v>50</v>
      </c>
      <c r="F373" s="520" t="s">
        <v>50</v>
      </c>
      <c r="G373" s="553" t="s">
        <v>50</v>
      </c>
      <c r="H373" s="553" t="s">
        <v>50</v>
      </c>
      <c r="I373" s="477"/>
      <c r="K373" s="539"/>
      <c r="O373" s="468"/>
    </row>
    <row r="374" spans="1:17" ht="16.5" thickBot="1" x14ac:dyDescent="0.3">
      <c r="B374" s="490"/>
      <c r="C374" s="526"/>
      <c r="D374" s="463"/>
      <c r="E374" s="491"/>
      <c r="F374" s="492"/>
      <c r="G374" s="561" t="str">
        <f>IFERROR(VLOOKUP(D374,'Precios Equipos'!$C$1:$F$2047,3,0),"")</f>
        <v/>
      </c>
      <c r="H374" s="561" t="str">
        <f t="shared" ref="H374:H390" si="54">IFERROR(G374*C374,"")</f>
        <v/>
      </c>
      <c r="I374" s="477"/>
      <c r="K374" s="539"/>
      <c r="O374" s="468"/>
    </row>
    <row r="375" spans="1:17" ht="16.5" thickBot="1" x14ac:dyDescent="0.3">
      <c r="B375" s="493"/>
      <c r="C375" s="526">
        <v>1</v>
      </c>
      <c r="D375" s="500" t="str">
        <f>+'Precios Equipos'!$C$194</f>
        <v>Gabinete Autosoportado 2100x1000(2 Puertas)x700mm. (Alto x ancho x profundidad)</v>
      </c>
      <c r="F375" s="495"/>
      <c r="G375" s="561">
        <f>IFERROR(VLOOKUP(D375,'Precios Equipos'!$C$1:$F$2047,3,0),"")</f>
        <v>13</v>
      </c>
      <c r="H375" s="561">
        <f t="shared" si="54"/>
        <v>13</v>
      </c>
      <c r="I375" s="561">
        <f>+H375</f>
        <v>13</v>
      </c>
      <c r="J375" s="924">
        <f>+I375/H394</f>
        <v>1.288404360753221E-2</v>
      </c>
      <c r="K375" s="539"/>
      <c r="L375" s="540" t="s">
        <v>451</v>
      </c>
      <c r="M375" s="541"/>
      <c r="O375" s="468"/>
      <c r="Q375" s="465">
        <f>+C375*$C$372</f>
        <v>1</v>
      </c>
    </row>
    <row r="376" spans="1:17" ht="16.5" thickBot="1" x14ac:dyDescent="0.3">
      <c r="B376" s="493"/>
      <c r="C376" s="526"/>
      <c r="D376" s="494"/>
      <c r="F376" s="495"/>
      <c r="G376" s="561" t="str">
        <f>IFERROR(VLOOKUP(D376,'Precios Equipos'!$C$1:$F$2047,3,0),"")</f>
        <v/>
      </c>
      <c r="H376" s="561" t="str">
        <f t="shared" si="54"/>
        <v/>
      </c>
      <c r="I376" s="477"/>
      <c r="K376" s="539"/>
      <c r="L376" s="542" t="s">
        <v>88</v>
      </c>
      <c r="M376" s="543" t="s">
        <v>85</v>
      </c>
      <c r="O376" s="468"/>
    </row>
    <row r="377" spans="1:17" x14ac:dyDescent="0.25">
      <c r="B377" s="493"/>
      <c r="C377" s="526"/>
      <c r="D377" s="620" t="s">
        <v>788</v>
      </c>
      <c r="E377" s="467"/>
      <c r="F377" s="495"/>
      <c r="G377" s="561" t="str">
        <f>IFERROR(VLOOKUP(D377,'Precios Equipos'!$C$1:$F$2047,3,0),"")</f>
        <v/>
      </c>
      <c r="H377" s="561" t="str">
        <f t="shared" si="54"/>
        <v/>
      </c>
      <c r="I377" s="477"/>
      <c r="K377" s="539"/>
      <c r="L377" s="920" t="str">
        <f>+'Precios Equipos'!C146</f>
        <v>M. DE OBRA (TIPO 1 AL 6) MONTAJE AIRE ACONDICIONADO Y ACCESORIOS</v>
      </c>
      <c r="M377" s="545">
        <f>IFERROR(VLOOKUP(L377,'Precios Equipos'!$C$11:$F$208,3,0),0)</f>
        <v>6</v>
      </c>
      <c r="O377" s="468"/>
    </row>
    <row r="378" spans="1:17" x14ac:dyDescent="0.25">
      <c r="B378" s="493"/>
      <c r="C378" s="526">
        <v>2</v>
      </c>
      <c r="D378" s="494" t="str">
        <f>+'Precios Equipos'!C98</f>
        <v>Inversor Bidireccional 1.5 KVA</v>
      </c>
      <c r="E378" s="550" t="s">
        <v>575</v>
      </c>
      <c r="F378" s="497"/>
      <c r="G378" s="561">
        <f>IFERROR(VLOOKUP(D378,'Precios Equipos'!$C$1:$F$2047,3,0),"")</f>
        <v>2</v>
      </c>
      <c r="H378" s="561">
        <f t="shared" si="54"/>
        <v>4</v>
      </c>
      <c r="I378" s="1087">
        <f>SUM(H378:H388)</f>
        <v>867</v>
      </c>
      <c r="J378" s="1088">
        <f>+I378/H394</f>
        <v>0.85926660059464821</v>
      </c>
      <c r="K378" s="539"/>
      <c r="L378" s="920" t="str">
        <f>+'Precios Equipos'!C205</f>
        <v>Diseño Ingenieria Tableros Autosoportados</v>
      </c>
      <c r="M378" s="545">
        <f>IFERROR(VLOOKUP(L378,'Precios Equipos'!$C$11:$F$208,3,0),0)</f>
        <v>63</v>
      </c>
      <c r="O378" s="468"/>
      <c r="Q378" s="465">
        <f>+C378*$C$372</f>
        <v>2</v>
      </c>
    </row>
    <row r="379" spans="1:17" x14ac:dyDescent="0.25">
      <c r="B379" s="493"/>
      <c r="C379" s="526"/>
      <c r="D379" s="494"/>
      <c r="E379" s="467"/>
      <c r="F379" s="497"/>
      <c r="G379" s="561" t="str">
        <f>IFERROR(VLOOKUP(D379,'Precios Equipos'!$C$1:$F$2047,3,0),"")</f>
        <v/>
      </c>
      <c r="H379" s="561" t="str">
        <f t="shared" si="54"/>
        <v/>
      </c>
      <c r="I379" s="1087"/>
      <c r="J379" s="1088"/>
      <c r="K379" s="539"/>
      <c r="L379" s="922" t="str">
        <f>+'Precios Equipos'!$C$111</f>
        <v>SISTEMA DE BARRAS 08-10 POLOS</v>
      </c>
      <c r="M379" s="545">
        <f>IFERROR(VLOOKUP(L379,'Precios Equipos'!$C$11:$F$208,3,0),0)</f>
        <v>23</v>
      </c>
    </row>
    <row r="380" spans="1:17" ht="16.5" thickBot="1" x14ac:dyDescent="0.3">
      <c r="B380" s="493"/>
      <c r="C380" s="526"/>
      <c r="D380" s="620" t="s">
        <v>716</v>
      </c>
      <c r="E380" s="467"/>
      <c r="F380" s="497"/>
      <c r="G380" s="561" t="str">
        <f>IFERROR(VLOOKUP(D380,'Precios Equipos'!$C$1:$F$2047,3,0),"")</f>
        <v/>
      </c>
      <c r="H380" s="561" t="str">
        <f t="shared" si="54"/>
        <v/>
      </c>
      <c r="I380" s="1087"/>
      <c r="J380" s="1088"/>
      <c r="K380" s="539"/>
      <c r="L380" s="923" t="str">
        <f>+'Precios Equipos'!$C$132</f>
        <v>CABLEADO 1 DIFERENCIALES, 2P</v>
      </c>
      <c r="M380" s="545">
        <f>IFERROR(VLOOKUP(L380,'Precios Equipos'!$C$11:$F$208,3,0),0)</f>
        <v>37</v>
      </c>
    </row>
    <row r="381" spans="1:17" ht="16.5" thickBot="1" x14ac:dyDescent="0.3">
      <c r="B381" s="493"/>
      <c r="C381" s="526">
        <v>1</v>
      </c>
      <c r="D381" s="494" t="str">
        <f>+'Precios Equipos'!C88</f>
        <v>Centro de Control y Monitoreo de Microgridador de carga 450V/100A</v>
      </c>
      <c r="E381" s="550" t="s">
        <v>575</v>
      </c>
      <c r="F381" s="497"/>
      <c r="G381" s="561">
        <f>IFERROR(VLOOKUP(D381,'Precios Equipos'!$C$1:$F$2047,3,0),"")</f>
        <v>24</v>
      </c>
      <c r="H381" s="561">
        <f t="shared" si="54"/>
        <v>24</v>
      </c>
      <c r="I381" s="1087"/>
      <c r="J381" s="1088"/>
      <c r="K381" s="539"/>
      <c r="L381" s="546" t="s">
        <v>89</v>
      </c>
      <c r="M381" s="560">
        <f>SUM(M377:M380)</f>
        <v>129</v>
      </c>
      <c r="Q381" s="465">
        <f>+C381*$C$372</f>
        <v>1</v>
      </c>
    </row>
    <row r="382" spans="1:17" x14ac:dyDescent="0.25">
      <c r="B382" s="493"/>
      <c r="C382" s="526"/>
      <c r="D382" s="494"/>
      <c r="E382" s="550"/>
      <c r="F382" s="497"/>
      <c r="G382" s="561" t="str">
        <f>IFERROR(VLOOKUP(D382,'Precios Equipos'!$C$1:$F$2047,3,0),"")</f>
        <v/>
      </c>
      <c r="H382" s="561" t="str">
        <f t="shared" ref="H382:H388" si="55">IFERROR(G382*C382,"")</f>
        <v/>
      </c>
      <c r="I382" s="1087"/>
      <c r="J382" s="1088"/>
      <c r="K382" s="539"/>
    </row>
    <row r="383" spans="1:17" x14ac:dyDescent="0.25">
      <c r="B383" s="493"/>
      <c r="C383" s="526"/>
      <c r="D383" s="620" t="s">
        <v>813</v>
      </c>
      <c r="E383" s="550"/>
      <c r="F383" s="497"/>
      <c r="G383" s="561" t="str">
        <f>IFERROR(VLOOKUP(D383,'Precios Equipos'!$C$1:$F$2047,3,0),"")</f>
        <v/>
      </c>
      <c r="H383" s="561" t="str">
        <f t="shared" si="55"/>
        <v/>
      </c>
      <c r="I383" s="1087"/>
      <c r="J383" s="1088"/>
      <c r="K383" s="539"/>
    </row>
    <row r="384" spans="1:17" x14ac:dyDescent="0.25">
      <c r="B384" s="493"/>
      <c r="C384" s="526">
        <v>2</v>
      </c>
      <c r="D384" s="494" t="str">
        <f>+'Precios Equipos'!$C$91</f>
        <v>Aire Acondicionado 300W</v>
      </c>
      <c r="E384" s="550"/>
      <c r="F384" s="497"/>
      <c r="G384" s="561">
        <f>IFERROR(VLOOKUP(D384,'Precios Equipos'!$C$1:$F$2047,3,0),"")</f>
        <v>26</v>
      </c>
      <c r="H384" s="561">
        <f t="shared" si="55"/>
        <v>52</v>
      </c>
      <c r="I384" s="1087"/>
      <c r="J384" s="1088"/>
      <c r="K384" s="539"/>
      <c r="Q384" s="465">
        <f>+C384*$C$372</f>
        <v>2</v>
      </c>
    </row>
    <row r="385" spans="1:17" x14ac:dyDescent="0.25">
      <c r="B385" s="493"/>
      <c r="C385" s="526"/>
      <c r="D385" s="494"/>
      <c r="F385" s="495"/>
      <c r="G385" s="561" t="str">
        <f>IFERROR(VLOOKUP(D385,'Precios Equipos'!$C$1:$F$2047,3,0),"")</f>
        <v/>
      </c>
      <c r="H385" s="561" t="str">
        <f t="shared" si="55"/>
        <v/>
      </c>
      <c r="I385" s="1087"/>
      <c r="J385" s="1088"/>
      <c r="K385" s="539"/>
      <c r="O385" s="468"/>
    </row>
    <row r="386" spans="1:17" x14ac:dyDescent="0.25">
      <c r="B386" s="493"/>
      <c r="C386" s="526"/>
      <c r="D386" s="620" t="s">
        <v>819</v>
      </c>
      <c r="F386" s="495"/>
      <c r="G386" s="561" t="str">
        <f>IFERROR(VLOOKUP(D386,'Precios Equipos'!$C$1:$F$2047,3,0),"")</f>
        <v/>
      </c>
      <c r="H386" s="561" t="str">
        <f t="shared" si="55"/>
        <v/>
      </c>
      <c r="I386" s="1087"/>
      <c r="J386" s="1088"/>
      <c r="K386" s="539"/>
      <c r="O386" s="468"/>
    </row>
    <row r="387" spans="1:17" x14ac:dyDescent="0.25">
      <c r="B387" s="493"/>
      <c r="C387" s="526">
        <v>1</v>
      </c>
      <c r="D387" s="468" t="str">
        <f>+'Precios Equipos'!$C$55</f>
        <v>Interruptor Riel Din 2x25A. S202M 20kA en 250VDC, ABB</v>
      </c>
      <c r="F387" s="495"/>
      <c r="G387" s="561">
        <f>IFERROR(VLOOKUP(D387,'Precios Equipos'!$C$1:$F$2047,3,0),"")</f>
        <v>382</v>
      </c>
      <c r="H387" s="561">
        <f t="shared" si="55"/>
        <v>382</v>
      </c>
      <c r="I387" s="1087"/>
      <c r="J387" s="1088"/>
      <c r="K387" s="539"/>
      <c r="O387" s="468"/>
      <c r="Q387" s="465">
        <f>+C387*$C$372</f>
        <v>1</v>
      </c>
    </row>
    <row r="388" spans="1:17" x14ac:dyDescent="0.25">
      <c r="B388" s="493"/>
      <c r="C388" s="526">
        <v>1</v>
      </c>
      <c r="D388" s="468" t="str">
        <f>+'Precios Equipos'!$C$60</f>
        <v>Protector de sobretension SPD DC 2P, 1000V DC, CLAMPER/DC SURGE PROTECCION</v>
      </c>
      <c r="F388" s="495"/>
      <c r="G388" s="561">
        <f>IFERROR(VLOOKUP(D388,'Precios Equipos'!$C$1:$F$2047,3,0),"")</f>
        <v>405</v>
      </c>
      <c r="H388" s="561">
        <f t="shared" si="55"/>
        <v>405</v>
      </c>
      <c r="I388" s="1087"/>
      <c r="J388" s="1088"/>
      <c r="K388" s="539"/>
      <c r="O388" s="468"/>
      <c r="Q388" s="465">
        <f>+C388*$C$372</f>
        <v>1</v>
      </c>
    </row>
    <row r="389" spans="1:17" x14ac:dyDescent="0.25">
      <c r="B389" s="493"/>
      <c r="C389" s="526"/>
      <c r="D389" s="494"/>
      <c r="F389" s="495"/>
      <c r="G389" s="561"/>
      <c r="H389" s="561"/>
      <c r="I389" s="477"/>
      <c r="K389" s="539"/>
      <c r="O389" s="468"/>
    </row>
    <row r="390" spans="1:17" x14ac:dyDescent="0.25">
      <c r="B390" s="493"/>
      <c r="C390" s="526"/>
      <c r="D390" s="496" t="s">
        <v>87</v>
      </c>
      <c r="F390" s="495"/>
      <c r="G390" s="561" t="str">
        <f>IFERROR(VLOOKUP(D390,'Precios Equipos'!$C$1:$F$2047,3,0),"")</f>
        <v/>
      </c>
      <c r="H390" s="561" t="str">
        <f t="shared" si="54"/>
        <v/>
      </c>
      <c r="I390" s="477"/>
      <c r="K390" s="539"/>
      <c r="O390" s="468"/>
    </row>
    <row r="391" spans="1:17" x14ac:dyDescent="0.25">
      <c r="B391" s="493"/>
      <c r="C391" s="526">
        <v>1</v>
      </c>
      <c r="D391" s="494" t="s">
        <v>49</v>
      </c>
      <c r="F391" s="495"/>
      <c r="G391" s="561"/>
      <c r="H391" s="577">
        <f>M381</f>
        <v>129</v>
      </c>
      <c r="I391" s="561">
        <f>+H391</f>
        <v>129</v>
      </c>
      <c r="J391" s="924">
        <f>+I391/H394</f>
        <v>0.12784935579781961</v>
      </c>
      <c r="K391" s="539"/>
      <c r="O391" s="468"/>
    </row>
    <row r="392" spans="1:17" x14ac:dyDescent="0.25">
      <c r="B392" s="493"/>
      <c r="C392" s="526">
        <v>1</v>
      </c>
      <c r="D392" s="494" t="s">
        <v>51</v>
      </c>
      <c r="F392" s="495"/>
      <c r="G392" s="479"/>
      <c r="H392" s="561"/>
      <c r="I392" s="539"/>
      <c r="J392" s="974"/>
      <c r="K392" s="539"/>
      <c r="O392" s="468"/>
    </row>
    <row r="393" spans="1:17" x14ac:dyDescent="0.25">
      <c r="B393" s="493"/>
      <c r="C393" s="526">
        <v>1</v>
      </c>
      <c r="D393" s="467" t="s">
        <v>20</v>
      </c>
      <c r="F393" s="495"/>
      <c r="G393" s="479"/>
      <c r="H393" s="561"/>
      <c r="I393" s="539"/>
      <c r="J393" s="974"/>
      <c r="K393" s="539"/>
      <c r="O393" s="468"/>
    </row>
    <row r="394" spans="1:17" x14ac:dyDescent="0.25">
      <c r="B394" s="493"/>
      <c r="C394" s="526">
        <v>1</v>
      </c>
      <c r="D394" s="467" t="s">
        <v>52</v>
      </c>
      <c r="F394" s="495"/>
      <c r="G394" s="553" t="s">
        <v>97</v>
      </c>
      <c r="H394" s="553">
        <f>SUM(H375:H393)</f>
        <v>1009</v>
      </c>
      <c r="I394" s="477"/>
      <c r="K394" s="539"/>
      <c r="O394" s="468"/>
    </row>
    <row r="395" spans="1:17" x14ac:dyDescent="0.25">
      <c r="B395" s="493"/>
      <c r="C395" s="526">
        <v>1</v>
      </c>
      <c r="D395" s="467" t="s">
        <v>900</v>
      </c>
      <c r="F395" s="495"/>
      <c r="G395" s="553" t="s">
        <v>105</v>
      </c>
      <c r="H395" s="561">
        <f>H394*$M$152</f>
        <v>201.8</v>
      </c>
      <c r="I395" s="477"/>
      <c r="K395" s="539"/>
      <c r="O395" s="468"/>
    </row>
    <row r="396" spans="1:17" x14ac:dyDescent="0.25">
      <c r="B396" s="521"/>
      <c r="C396" s="527" t="s">
        <v>17</v>
      </c>
      <c r="D396" s="522" t="s">
        <v>48</v>
      </c>
      <c r="E396" s="523"/>
      <c r="F396" s="524"/>
      <c r="G396" s="553" t="s">
        <v>452</v>
      </c>
      <c r="H396" s="553">
        <f>H394+H395</f>
        <v>1210.8</v>
      </c>
      <c r="I396" s="477"/>
      <c r="J396" s="924">
        <f>SUM(J374:J393)</f>
        <v>1</v>
      </c>
      <c r="K396" s="539"/>
      <c r="O396" s="468"/>
    </row>
    <row r="397" spans="1:17" x14ac:dyDescent="0.25">
      <c r="G397" s="477"/>
      <c r="I397" s="477"/>
      <c r="K397" s="539"/>
      <c r="O397" s="468"/>
    </row>
    <row r="398" spans="1:17" x14ac:dyDescent="0.25">
      <c r="B398" s="514" t="s">
        <v>6</v>
      </c>
      <c r="C398" s="515" t="s">
        <v>0</v>
      </c>
      <c r="D398" s="525" t="s">
        <v>8</v>
      </c>
      <c r="E398" s="516" t="s">
        <v>4</v>
      </c>
      <c r="F398" s="516" t="s">
        <v>3</v>
      </c>
      <c r="G398" s="477"/>
      <c r="H398" s="477"/>
      <c r="I398" s="477"/>
      <c r="K398" s="539"/>
      <c r="O398" s="468"/>
    </row>
    <row r="399" spans="1:17" x14ac:dyDescent="0.25">
      <c r="A399" s="463">
        <v>157</v>
      </c>
      <c r="B399" s="1077">
        <f>B39</f>
        <v>3.0399999999999991</v>
      </c>
      <c r="C399" s="1077">
        <f>C39</f>
        <v>1</v>
      </c>
      <c r="D399" s="1097" t="str">
        <f>D39</f>
        <v>TABLEROS DE POTENCIA TIPO 04 (incluye aire acondicionado)</v>
      </c>
      <c r="E399" s="517">
        <f>H423</f>
        <v>1220.4000000000001</v>
      </c>
      <c r="F399" s="518">
        <f>+E399*C399</f>
        <v>1220.4000000000001</v>
      </c>
      <c r="G399" s="553" t="s">
        <v>450</v>
      </c>
      <c r="H399" s="553" t="s">
        <v>1</v>
      </c>
      <c r="I399" s="477"/>
      <c r="K399" s="539"/>
      <c r="O399" s="468"/>
    </row>
    <row r="400" spans="1:17" x14ac:dyDescent="0.25">
      <c r="B400" s="1078"/>
      <c r="C400" s="1078"/>
      <c r="D400" s="1097"/>
      <c r="E400" s="519" t="s">
        <v>50</v>
      </c>
      <c r="F400" s="520" t="s">
        <v>50</v>
      </c>
      <c r="G400" s="553" t="s">
        <v>50</v>
      </c>
      <c r="H400" s="553" t="s">
        <v>50</v>
      </c>
      <c r="I400" s="477"/>
      <c r="K400" s="539"/>
      <c r="O400" s="468"/>
    </row>
    <row r="401" spans="2:17" ht="16.5" thickBot="1" x14ac:dyDescent="0.3">
      <c r="B401" s="490"/>
      <c r="C401" s="526"/>
      <c r="D401" s="463"/>
      <c r="E401" s="491"/>
      <c r="F401" s="492"/>
      <c r="G401" s="561" t="str">
        <f>IFERROR(VLOOKUP(D401,'Precios Equipos'!$C$1:$F$2047,3,0),"")</f>
        <v/>
      </c>
      <c r="H401" s="561" t="str">
        <f t="shared" ref="H401:H417" si="56">IFERROR(G401*C401,"")</f>
        <v/>
      </c>
      <c r="I401" s="477"/>
      <c r="K401" s="539"/>
      <c r="O401" s="468"/>
    </row>
    <row r="402" spans="2:17" ht="16.5" thickBot="1" x14ac:dyDescent="0.3">
      <c r="B402" s="493"/>
      <c r="C402" s="526">
        <v>1</v>
      </c>
      <c r="D402" s="500" t="str">
        <f>+'Precios Equipos'!$C$194</f>
        <v>Gabinete Autosoportado 2100x1000(2 Puertas)x700mm. (Alto x ancho x profundidad)</v>
      </c>
      <c r="F402" s="495"/>
      <c r="G402" s="561">
        <f>IFERROR(VLOOKUP(D402,'Precios Equipos'!$C$1:$F$2047,3,0),"")</f>
        <v>13</v>
      </c>
      <c r="H402" s="561">
        <f t="shared" si="56"/>
        <v>13</v>
      </c>
      <c r="I402" s="561">
        <f>+H402</f>
        <v>13</v>
      </c>
      <c r="J402" s="924">
        <f>+I402/H421</f>
        <v>1.2782694198623401E-2</v>
      </c>
      <c r="K402" s="539"/>
      <c r="L402" s="540" t="s">
        <v>451</v>
      </c>
      <c r="M402" s="541"/>
      <c r="O402" s="468"/>
      <c r="Q402" s="465">
        <f>+C402*$C$399</f>
        <v>1</v>
      </c>
    </row>
    <row r="403" spans="2:17" ht="16.5" thickBot="1" x14ac:dyDescent="0.3">
      <c r="B403" s="493"/>
      <c r="C403" s="526"/>
      <c r="D403" s="494"/>
      <c r="F403" s="495"/>
      <c r="G403" s="561" t="str">
        <f>IFERROR(VLOOKUP(D403,'Precios Equipos'!$C$1:$F$2047,3,0),"")</f>
        <v/>
      </c>
      <c r="H403" s="561" t="str">
        <f t="shared" si="56"/>
        <v/>
      </c>
      <c r="I403" s="477"/>
      <c r="K403" s="539"/>
      <c r="L403" s="542" t="s">
        <v>88</v>
      </c>
      <c r="M403" s="543" t="s">
        <v>85</v>
      </c>
      <c r="O403" s="468"/>
    </row>
    <row r="404" spans="2:17" x14ac:dyDescent="0.25">
      <c r="B404" s="493"/>
      <c r="C404" s="526"/>
      <c r="D404" s="620" t="s">
        <v>788</v>
      </c>
      <c r="E404" s="467"/>
      <c r="F404" s="495"/>
      <c r="G404" s="561" t="str">
        <f>IFERROR(VLOOKUP(D404,'Precios Equipos'!$C$1:$F$2047,3,0),"")</f>
        <v/>
      </c>
      <c r="H404" s="561" t="str">
        <f t="shared" si="56"/>
        <v/>
      </c>
      <c r="I404" s="477"/>
      <c r="K404" s="539"/>
      <c r="L404" s="544" t="str">
        <f>+'Precios Equipos'!C146</f>
        <v>M. DE OBRA (TIPO 1 AL 6) MONTAJE AIRE ACONDICIONADO Y ACCESORIOS</v>
      </c>
      <c r="M404" s="545">
        <f>IFERROR(VLOOKUP(L404,'Precios Equipos'!$C$11:$F$208,3,0),0)</f>
        <v>6</v>
      </c>
      <c r="O404" s="468"/>
    </row>
    <row r="405" spans="2:17" x14ac:dyDescent="0.25">
      <c r="B405" s="493"/>
      <c r="C405" s="526">
        <v>2</v>
      </c>
      <c r="D405" s="494" t="str">
        <f>+'Precios Equipos'!C99</f>
        <v>Inversor Bidireccional 2 KVA</v>
      </c>
      <c r="E405" s="550" t="s">
        <v>575</v>
      </c>
      <c r="F405" s="495"/>
      <c r="G405" s="561">
        <f>IFERROR(VLOOKUP(D405,'Precios Equipos'!$C$1:$F$2047,3,0),"")</f>
        <v>6</v>
      </c>
      <c r="H405" s="561">
        <f t="shared" si="56"/>
        <v>12</v>
      </c>
      <c r="I405" s="1087">
        <f>SUM(H405:H415)</f>
        <v>875</v>
      </c>
      <c r="J405" s="1088">
        <f>+I405/H421</f>
        <v>0.86037364798426741</v>
      </c>
      <c r="K405" s="539"/>
      <c r="L405" s="544" t="str">
        <f>+'Precios Equipos'!C205</f>
        <v>Diseño Ingenieria Tableros Autosoportados</v>
      </c>
      <c r="M405" s="545">
        <f>IFERROR(VLOOKUP(L405,'Precios Equipos'!$C$11:$F$208,3,0),0)</f>
        <v>63</v>
      </c>
      <c r="O405" s="468"/>
      <c r="Q405" s="465">
        <f>+C405*$C$399</f>
        <v>2</v>
      </c>
    </row>
    <row r="406" spans="2:17" x14ac:dyDescent="0.25">
      <c r="B406" s="493"/>
      <c r="C406" s="526"/>
      <c r="D406" s="494"/>
      <c r="E406" s="467"/>
      <c r="F406" s="495"/>
      <c r="G406" s="561" t="str">
        <f>IFERROR(VLOOKUP(D406,'Precios Equipos'!$C$1:$F$2047,3,0),"")</f>
        <v/>
      </c>
      <c r="H406" s="561" t="str">
        <f t="shared" si="56"/>
        <v/>
      </c>
      <c r="I406" s="1087"/>
      <c r="J406" s="1088"/>
      <c r="K406" s="539"/>
      <c r="L406" s="922" t="str">
        <f>+'Precios Equipos'!$C$111</f>
        <v>SISTEMA DE BARRAS 08-10 POLOS</v>
      </c>
      <c r="M406" s="545">
        <f>IFERROR(VLOOKUP(L406,'Precios Equipos'!$C$11:$F$208,3,0),0)</f>
        <v>23</v>
      </c>
    </row>
    <row r="407" spans="2:17" ht="16.5" thickBot="1" x14ac:dyDescent="0.3">
      <c r="B407" s="493"/>
      <c r="C407" s="526"/>
      <c r="D407" s="620" t="s">
        <v>549</v>
      </c>
      <c r="E407" s="467"/>
      <c r="F407" s="495"/>
      <c r="G407" s="561" t="str">
        <f>IFERROR(VLOOKUP(D407,'Precios Equipos'!$C$1:$F$2047,3,0),"")</f>
        <v/>
      </c>
      <c r="H407" s="561" t="str">
        <f t="shared" si="56"/>
        <v/>
      </c>
      <c r="I407" s="1087"/>
      <c r="J407" s="1088"/>
      <c r="K407" s="539"/>
      <c r="L407" s="923" t="str">
        <f>+'Precios Equipos'!$C$132</f>
        <v>CABLEADO 1 DIFERENCIALES, 2P</v>
      </c>
      <c r="M407" s="545">
        <f>IFERROR(VLOOKUP(L407,'Precios Equipos'!$C$11:$F$208,3,0),0)</f>
        <v>37</v>
      </c>
    </row>
    <row r="408" spans="2:17" ht="16.5" thickBot="1" x14ac:dyDescent="0.3">
      <c r="B408" s="493"/>
      <c r="C408" s="526">
        <v>1</v>
      </c>
      <c r="D408" s="494" t="str">
        <f>+'Precios Equipos'!C88</f>
        <v>Centro de Control y Monitoreo de Microgridador de carga 450V/100A</v>
      </c>
      <c r="E408" s="550" t="s">
        <v>575</v>
      </c>
      <c r="F408" s="495"/>
      <c r="G408" s="561">
        <f>IFERROR(VLOOKUP(D408,'Precios Equipos'!$C$1:$F$2047,3,0),"")</f>
        <v>24</v>
      </c>
      <c r="H408" s="561">
        <f t="shared" si="56"/>
        <v>24</v>
      </c>
      <c r="I408" s="1087"/>
      <c r="J408" s="1088"/>
      <c r="K408" s="539"/>
      <c r="L408" s="546" t="s">
        <v>89</v>
      </c>
      <c r="M408" s="560">
        <f>SUM(M404:M407)</f>
        <v>129</v>
      </c>
      <c r="Q408" s="465">
        <f>+C408*$C$399</f>
        <v>1</v>
      </c>
    </row>
    <row r="409" spans="2:17" x14ac:dyDescent="0.25">
      <c r="B409" s="493"/>
      <c r="C409" s="526"/>
      <c r="D409" s="494"/>
      <c r="F409" s="495"/>
      <c r="G409" s="561" t="str">
        <f>IFERROR(VLOOKUP(D409,'Precios Equipos'!$C$1:$F$2047,3,0),"")</f>
        <v/>
      </c>
      <c r="H409" s="561" t="str">
        <f t="shared" ref="H409:H416" si="57">IFERROR(G409*C409,"")</f>
        <v/>
      </c>
      <c r="I409" s="1087"/>
      <c r="J409" s="1088"/>
      <c r="K409" s="539"/>
      <c r="O409" s="468"/>
    </row>
    <row r="410" spans="2:17" x14ac:dyDescent="0.25">
      <c r="B410" s="493"/>
      <c r="C410" s="526"/>
      <c r="D410" s="620" t="s">
        <v>813</v>
      </c>
      <c r="F410" s="495"/>
      <c r="G410" s="561" t="str">
        <f>IFERROR(VLOOKUP(D410,'Precios Equipos'!$C$1:$F$2047,3,0),"")</f>
        <v/>
      </c>
      <c r="H410" s="561" t="str">
        <f t="shared" si="57"/>
        <v/>
      </c>
      <c r="I410" s="1087"/>
      <c r="J410" s="1088"/>
      <c r="K410" s="539"/>
      <c r="O410" s="468"/>
    </row>
    <row r="411" spans="2:17" x14ac:dyDescent="0.25">
      <c r="B411" s="493"/>
      <c r="C411" s="526">
        <v>2</v>
      </c>
      <c r="D411" s="494" t="str">
        <f>+'Precios Equipos'!$C$91</f>
        <v>Aire Acondicionado 300W</v>
      </c>
      <c r="F411" s="495"/>
      <c r="G411" s="561">
        <f>IFERROR(VLOOKUP(D411,'Precios Equipos'!$C$1:$F$2047,3,0),"")</f>
        <v>26</v>
      </c>
      <c r="H411" s="561">
        <f t="shared" si="57"/>
        <v>52</v>
      </c>
      <c r="I411" s="1087"/>
      <c r="J411" s="1088"/>
      <c r="K411" s="539"/>
      <c r="O411" s="468"/>
      <c r="Q411" s="465">
        <f>+C411*$C$399</f>
        <v>2</v>
      </c>
    </row>
    <row r="412" spans="2:17" x14ac:dyDescent="0.25">
      <c r="B412" s="493"/>
      <c r="C412" s="526"/>
      <c r="D412" s="494"/>
      <c r="F412" s="495"/>
      <c r="G412" s="561" t="str">
        <f>IFERROR(VLOOKUP(D412,'Precios Equipos'!$C$1:$F$2047,3,0),"")</f>
        <v/>
      </c>
      <c r="H412" s="561" t="str">
        <f t="shared" si="57"/>
        <v/>
      </c>
      <c r="I412" s="1087"/>
      <c r="J412" s="1088"/>
      <c r="K412" s="539"/>
      <c r="O412" s="468"/>
    </row>
    <row r="413" spans="2:17" x14ac:dyDescent="0.25">
      <c r="B413" s="493"/>
      <c r="C413" s="526"/>
      <c r="D413" s="620" t="s">
        <v>819</v>
      </c>
      <c r="F413" s="495"/>
      <c r="G413" s="561" t="str">
        <f>IFERROR(VLOOKUP(D413,'Precios Equipos'!$C$1:$F$2047,3,0),"")</f>
        <v/>
      </c>
      <c r="H413" s="561" t="str">
        <f t="shared" si="57"/>
        <v/>
      </c>
      <c r="I413" s="1087"/>
      <c r="J413" s="1088"/>
      <c r="K413" s="539"/>
      <c r="O413" s="468"/>
    </row>
    <row r="414" spans="2:17" x14ac:dyDescent="0.25">
      <c r="B414" s="493"/>
      <c r="C414" s="526">
        <v>1</v>
      </c>
      <c r="D414" s="468" t="str">
        <f>+'Precios Equipos'!$C$55</f>
        <v>Interruptor Riel Din 2x25A. S202M 20kA en 250VDC, ABB</v>
      </c>
      <c r="F414" s="495"/>
      <c r="G414" s="561">
        <f>IFERROR(VLOOKUP(D414,'Precios Equipos'!$C$1:$F$2047,3,0),"")</f>
        <v>382</v>
      </c>
      <c r="H414" s="561">
        <f t="shared" si="57"/>
        <v>382</v>
      </c>
      <c r="I414" s="1087"/>
      <c r="J414" s="1088"/>
      <c r="K414" s="539"/>
      <c r="O414" s="468"/>
      <c r="Q414" s="465">
        <f>+C414*$C$399</f>
        <v>1</v>
      </c>
    </row>
    <row r="415" spans="2:17" x14ac:dyDescent="0.25">
      <c r="B415" s="493"/>
      <c r="C415" s="526">
        <v>1</v>
      </c>
      <c r="D415" s="468" t="str">
        <f>+'Precios Equipos'!$C$60</f>
        <v>Protector de sobretension SPD DC 2P, 1000V DC, CLAMPER/DC SURGE PROTECCION</v>
      </c>
      <c r="F415" s="495"/>
      <c r="G415" s="561">
        <f>IFERROR(VLOOKUP(D415,'Precios Equipos'!$C$1:$F$2047,3,0),"")</f>
        <v>405</v>
      </c>
      <c r="H415" s="561">
        <f t="shared" si="57"/>
        <v>405</v>
      </c>
      <c r="I415" s="1087"/>
      <c r="J415" s="1088"/>
      <c r="K415" s="539"/>
      <c r="O415" s="468"/>
      <c r="Q415" s="465">
        <f>+C415*$C$399</f>
        <v>1</v>
      </c>
    </row>
    <row r="416" spans="2:17" x14ac:dyDescent="0.25">
      <c r="B416" s="493"/>
      <c r="C416" s="526"/>
      <c r="D416" s="494"/>
      <c r="F416" s="495"/>
      <c r="G416" s="561" t="str">
        <f>IFERROR(VLOOKUP(D416,'Precios Equipos'!$C$1:$F$2047,3,0),"")</f>
        <v/>
      </c>
      <c r="H416" s="561" t="str">
        <f t="shared" si="57"/>
        <v/>
      </c>
      <c r="I416" s="477"/>
      <c r="K416" s="539"/>
      <c r="O416" s="468"/>
    </row>
    <row r="417" spans="1:17" x14ac:dyDescent="0.25">
      <c r="B417" s="493"/>
      <c r="C417" s="526"/>
      <c r="D417" s="620" t="s">
        <v>87</v>
      </c>
      <c r="F417" s="495"/>
      <c r="G417" s="561" t="str">
        <f>IFERROR(VLOOKUP(D417,'Precios Equipos'!$C$1:$F$2047,3,0),"")</f>
        <v/>
      </c>
      <c r="H417" s="561" t="str">
        <f t="shared" si="56"/>
        <v/>
      </c>
      <c r="I417" s="477"/>
      <c r="K417" s="539"/>
      <c r="O417" s="468"/>
    </row>
    <row r="418" spans="1:17" x14ac:dyDescent="0.25">
      <c r="B418" s="493"/>
      <c r="C418" s="526">
        <v>1</v>
      </c>
      <c r="D418" s="494" t="s">
        <v>49</v>
      </c>
      <c r="F418" s="495"/>
      <c r="G418" s="561"/>
      <c r="H418" s="561">
        <f>M408</f>
        <v>129</v>
      </c>
      <c r="I418" s="561">
        <f>+H418</f>
        <v>129</v>
      </c>
      <c r="J418" s="924">
        <f>+I418/H421</f>
        <v>0.12684365781710916</v>
      </c>
      <c r="K418" s="539"/>
      <c r="O418" s="468"/>
    </row>
    <row r="419" spans="1:17" x14ac:dyDescent="0.25">
      <c r="B419" s="493"/>
      <c r="C419" s="526">
        <v>1</v>
      </c>
      <c r="D419" s="494" t="s">
        <v>51</v>
      </c>
      <c r="F419" s="495"/>
      <c r="G419" s="561"/>
      <c r="H419" s="577"/>
      <c r="I419" s="539"/>
      <c r="J419" s="974"/>
      <c r="K419" s="539"/>
      <c r="O419" s="468"/>
    </row>
    <row r="420" spans="1:17" x14ac:dyDescent="0.25">
      <c r="B420" s="493"/>
      <c r="C420" s="526">
        <v>1</v>
      </c>
      <c r="D420" s="467" t="s">
        <v>20</v>
      </c>
      <c r="F420" s="495"/>
      <c r="G420" s="561"/>
      <c r="H420" s="561"/>
      <c r="I420" s="539"/>
      <c r="J420" s="974"/>
      <c r="K420" s="539"/>
      <c r="O420" s="468"/>
    </row>
    <row r="421" spans="1:17" x14ac:dyDescent="0.25">
      <c r="B421" s="493"/>
      <c r="C421" s="526">
        <v>1</v>
      </c>
      <c r="D421" s="467" t="s">
        <v>52</v>
      </c>
      <c r="F421" s="495"/>
      <c r="G421" s="553" t="s">
        <v>97</v>
      </c>
      <c r="H421" s="561">
        <f>SUM(H402:H420)</f>
        <v>1017</v>
      </c>
      <c r="I421" s="477"/>
      <c r="K421" s="539"/>
      <c r="O421" s="468"/>
    </row>
    <row r="422" spans="1:17" x14ac:dyDescent="0.25">
      <c r="B422" s="493"/>
      <c r="C422" s="526">
        <v>1</v>
      </c>
      <c r="D422" s="467" t="s">
        <v>900</v>
      </c>
      <c r="F422" s="495"/>
      <c r="G422" s="553" t="s">
        <v>105</v>
      </c>
      <c r="H422" s="561">
        <f>H421*$M$152</f>
        <v>203.4</v>
      </c>
      <c r="I422" s="477"/>
      <c r="K422" s="539"/>
      <c r="O422" s="468"/>
    </row>
    <row r="423" spans="1:17" x14ac:dyDescent="0.25">
      <c r="B423" s="521"/>
      <c r="C423" s="527" t="s">
        <v>17</v>
      </c>
      <c r="D423" s="522" t="s">
        <v>48</v>
      </c>
      <c r="E423" s="523"/>
      <c r="F423" s="524"/>
      <c r="G423" s="553" t="s">
        <v>452</v>
      </c>
      <c r="H423" s="561">
        <f>H421+H422</f>
        <v>1220.4000000000001</v>
      </c>
      <c r="I423" s="477"/>
      <c r="J423" s="924">
        <f>SUM(J401:J420)</f>
        <v>1</v>
      </c>
      <c r="K423" s="539"/>
      <c r="O423" s="468"/>
    </row>
    <row r="424" spans="1:17" x14ac:dyDescent="0.25">
      <c r="I424" s="477"/>
      <c r="K424" s="539"/>
      <c r="O424" s="468"/>
    </row>
    <row r="425" spans="1:17" x14ac:dyDescent="0.25">
      <c r="B425" s="514" t="s">
        <v>6</v>
      </c>
      <c r="C425" s="515" t="s">
        <v>0</v>
      </c>
      <c r="D425" s="525" t="s">
        <v>8</v>
      </c>
      <c r="E425" s="516" t="s">
        <v>4</v>
      </c>
      <c r="F425" s="516" t="s">
        <v>3</v>
      </c>
      <c r="I425" s="477"/>
      <c r="K425" s="539"/>
      <c r="O425" s="468"/>
    </row>
    <row r="426" spans="1:17" x14ac:dyDescent="0.25">
      <c r="A426" s="463">
        <v>154</v>
      </c>
      <c r="B426" s="1077">
        <f>B40</f>
        <v>3.0499999999999989</v>
      </c>
      <c r="C426" s="1077">
        <f>C40</f>
        <v>2</v>
      </c>
      <c r="D426" s="1097" t="str">
        <f>D40</f>
        <v>TABLEROS DE POTENCIA TIPO 05 (incluye aire acondicionado)</v>
      </c>
      <c r="E426" s="517">
        <f>H450</f>
        <v>2125.1999999999998</v>
      </c>
      <c r="F426" s="518">
        <f>+E426*C426</f>
        <v>4250.3999999999996</v>
      </c>
      <c r="G426" s="553" t="s">
        <v>450</v>
      </c>
      <c r="H426" s="553" t="s">
        <v>1</v>
      </c>
      <c r="I426" s="477"/>
      <c r="K426" s="539"/>
      <c r="O426" s="468"/>
    </row>
    <row r="427" spans="1:17" x14ac:dyDescent="0.25">
      <c r="B427" s="1078"/>
      <c r="C427" s="1078"/>
      <c r="D427" s="1097"/>
      <c r="E427" s="519" t="s">
        <v>50</v>
      </c>
      <c r="F427" s="520" t="s">
        <v>50</v>
      </c>
      <c r="G427" s="553" t="s">
        <v>50</v>
      </c>
      <c r="H427" s="553" t="s">
        <v>50</v>
      </c>
      <c r="I427" s="477"/>
      <c r="K427" s="539"/>
      <c r="O427" s="468"/>
    </row>
    <row r="428" spans="1:17" ht="16.5" thickBot="1" x14ac:dyDescent="0.3">
      <c r="B428" s="490"/>
      <c r="C428" s="526"/>
      <c r="D428" s="463"/>
      <c r="E428" s="491"/>
      <c r="F428" s="492"/>
      <c r="G428" s="561" t="str">
        <f>IFERROR(VLOOKUP(D428,'Precios Equipos'!$C$1:$F$2047,3,0),"")</f>
        <v/>
      </c>
      <c r="H428" s="561" t="str">
        <f t="shared" ref="H428:H444" si="58">IFERROR(G428*C428,"")</f>
        <v/>
      </c>
      <c r="I428" s="477"/>
      <c r="K428" s="539"/>
      <c r="O428" s="468"/>
    </row>
    <row r="429" spans="1:17" ht="16.5" thickBot="1" x14ac:dyDescent="0.3">
      <c r="B429" s="493"/>
      <c r="C429" s="526">
        <v>1</v>
      </c>
      <c r="D429" s="500" t="str">
        <f>+'Precios Equipos'!$C$194</f>
        <v>Gabinete Autosoportado 2100x1000(2 Puertas)x700mm. (Alto x ancho x profundidad)</v>
      </c>
      <c r="F429" s="495"/>
      <c r="G429" s="561">
        <f>IFERROR(VLOOKUP(D429,'Precios Equipos'!$C$1:$F$2047,3,0),"")</f>
        <v>13</v>
      </c>
      <c r="H429" s="561">
        <f t="shared" si="58"/>
        <v>13</v>
      </c>
      <c r="I429" s="561">
        <f>+H429</f>
        <v>13</v>
      </c>
      <c r="J429" s="924">
        <f>+I429/H448</f>
        <v>7.3404856013551669E-3</v>
      </c>
      <c r="K429" s="539"/>
      <c r="L429" s="540" t="s">
        <v>451</v>
      </c>
      <c r="M429" s="541"/>
      <c r="O429" s="468"/>
      <c r="Q429" s="465">
        <f>+C429*$C$426</f>
        <v>2</v>
      </c>
    </row>
    <row r="430" spans="1:17" ht="16.5" thickBot="1" x14ac:dyDescent="0.3">
      <c r="B430" s="493"/>
      <c r="C430" s="526"/>
      <c r="D430" s="494"/>
      <c r="F430" s="495"/>
      <c r="G430" s="561" t="str">
        <f>IFERROR(VLOOKUP(D430,'Precios Equipos'!$C$1:$F$2047,3,0),"")</f>
        <v/>
      </c>
      <c r="H430" s="561" t="str">
        <f t="shared" si="58"/>
        <v/>
      </c>
      <c r="I430" s="477"/>
      <c r="K430" s="539"/>
      <c r="L430" s="542" t="s">
        <v>88</v>
      </c>
      <c r="M430" s="543" t="s">
        <v>85</v>
      </c>
      <c r="O430" s="468"/>
    </row>
    <row r="431" spans="1:17" x14ac:dyDescent="0.25">
      <c r="B431" s="493"/>
      <c r="C431" s="526"/>
      <c r="D431" s="620" t="s">
        <v>788</v>
      </c>
      <c r="E431" s="467"/>
      <c r="F431" s="495"/>
      <c r="G431" s="561" t="str">
        <f>IFERROR(VLOOKUP(D431,'Precios Equipos'!$C$1:$F$2047,3,0),"")</f>
        <v/>
      </c>
      <c r="H431" s="561" t="str">
        <f t="shared" si="58"/>
        <v/>
      </c>
      <c r="I431" s="477"/>
      <c r="K431" s="539"/>
      <c r="L431" s="544" t="str">
        <f>+'Precios Equipos'!C146</f>
        <v>M. DE OBRA (TIPO 1 AL 6) MONTAJE AIRE ACONDICIONADO Y ACCESORIOS</v>
      </c>
      <c r="M431" s="545">
        <f>IFERROR(VLOOKUP(L431,'Precios Equipos'!$C$11:$F$208,3,0),0)</f>
        <v>6</v>
      </c>
      <c r="O431" s="468"/>
    </row>
    <row r="432" spans="1:17" x14ac:dyDescent="0.25">
      <c r="B432" s="493"/>
      <c r="C432" s="526">
        <v>2</v>
      </c>
      <c r="D432" s="494" t="str">
        <f>+'Precios Equipos'!C99</f>
        <v>Inversor Bidireccional 2 KVA</v>
      </c>
      <c r="E432" s="550" t="s">
        <v>575</v>
      </c>
      <c r="F432" s="495"/>
      <c r="G432" s="561">
        <f>IFERROR(VLOOKUP(D432,'Precios Equipos'!$C$1:$F$2047,3,0),"")</f>
        <v>6</v>
      </c>
      <c r="H432" s="561">
        <f t="shared" si="58"/>
        <v>12</v>
      </c>
      <c r="I432" s="1087">
        <f>SUM(H432:H442)</f>
        <v>1662</v>
      </c>
      <c r="J432" s="1088">
        <f>+I432/H448</f>
        <v>0.93845285149632973</v>
      </c>
      <c r="K432" s="539"/>
      <c r="L432" s="544" t="str">
        <f>+'Precios Equipos'!C205</f>
        <v>Diseño Ingenieria Tableros Autosoportados</v>
      </c>
      <c r="M432" s="545">
        <f>IFERROR(VLOOKUP(L432,'Precios Equipos'!$C$11:$F$208,3,0),0)</f>
        <v>63</v>
      </c>
      <c r="O432" s="468"/>
      <c r="Q432" s="465">
        <f>+C432*$C$426</f>
        <v>4</v>
      </c>
    </row>
    <row r="433" spans="2:17" x14ac:dyDescent="0.25">
      <c r="B433" s="493"/>
      <c r="C433" s="526"/>
      <c r="D433" s="494"/>
      <c r="E433" s="467"/>
      <c r="F433" s="495"/>
      <c r="G433" s="561" t="str">
        <f>IFERROR(VLOOKUP(D433,'Precios Equipos'!$C$1:$F$2047,3,0),"")</f>
        <v/>
      </c>
      <c r="H433" s="561" t="str">
        <f t="shared" si="58"/>
        <v/>
      </c>
      <c r="I433" s="1087"/>
      <c r="J433" s="1088"/>
      <c r="K433" s="539"/>
      <c r="L433" s="922" t="str">
        <f>+'Precios Equipos'!$C$111</f>
        <v>SISTEMA DE BARRAS 08-10 POLOS</v>
      </c>
      <c r="M433" s="545">
        <f>IFERROR(VLOOKUP(L433,'Precios Equipos'!$C$11:$F$208,3,0),0)</f>
        <v>23</v>
      </c>
    </row>
    <row r="434" spans="2:17" ht="16.5" thickBot="1" x14ac:dyDescent="0.3">
      <c r="B434" s="493"/>
      <c r="C434" s="526"/>
      <c r="D434" s="620" t="s">
        <v>549</v>
      </c>
      <c r="E434" s="467"/>
      <c r="F434" s="495"/>
      <c r="G434" s="561" t="str">
        <f>IFERROR(VLOOKUP(D434,'Precios Equipos'!$C$1:$F$2047,3,0),"")</f>
        <v/>
      </c>
      <c r="H434" s="561" t="str">
        <f t="shared" si="58"/>
        <v/>
      </c>
      <c r="I434" s="1087"/>
      <c r="J434" s="1088"/>
      <c r="K434" s="539"/>
      <c r="L434" s="923" t="str">
        <f>+'Precios Equipos'!$C$133</f>
        <v>CABLEADO 2 DIFERENCIALES, 2P</v>
      </c>
      <c r="M434" s="545">
        <f>IFERROR(VLOOKUP(L434,'Precios Equipos'!$C$11:$F$208,3,0),0)</f>
        <v>4</v>
      </c>
    </row>
    <row r="435" spans="2:17" ht="16.5" thickBot="1" x14ac:dyDescent="0.3">
      <c r="B435" s="493"/>
      <c r="C435" s="526">
        <v>1</v>
      </c>
      <c r="D435" s="494" t="str">
        <f>+'Precios Equipos'!C88</f>
        <v>Centro de Control y Monitoreo de Microgridador de carga 450V/100A</v>
      </c>
      <c r="E435" s="550" t="s">
        <v>575</v>
      </c>
      <c r="F435" s="495"/>
      <c r="G435" s="561">
        <f>IFERROR(VLOOKUP(D435,'Precios Equipos'!$C$1:$F$2047,3,0),"")</f>
        <v>24</v>
      </c>
      <c r="H435" s="561">
        <f t="shared" si="58"/>
        <v>24</v>
      </c>
      <c r="I435" s="1087"/>
      <c r="J435" s="1088"/>
      <c r="K435" s="539"/>
      <c r="L435" s="546" t="s">
        <v>89</v>
      </c>
      <c r="M435" s="560">
        <f>SUM(M431:M434)</f>
        <v>96</v>
      </c>
      <c r="Q435" s="465">
        <f>+C435*$C$426</f>
        <v>2</v>
      </c>
    </row>
    <row r="436" spans="2:17" x14ac:dyDescent="0.25">
      <c r="B436" s="493"/>
      <c r="C436" s="526"/>
      <c r="D436" s="494"/>
      <c r="E436" s="550"/>
      <c r="F436" s="495"/>
      <c r="G436" s="561" t="str">
        <f>IFERROR(VLOOKUP(D436,'Precios Equipos'!$C$1:$F$2047,3,0),"")</f>
        <v/>
      </c>
      <c r="H436" s="561" t="str">
        <f t="shared" ref="H436:H443" si="59">IFERROR(G436*C436,"")</f>
        <v/>
      </c>
      <c r="I436" s="1087"/>
      <c r="J436" s="1088"/>
      <c r="K436" s="539"/>
    </row>
    <row r="437" spans="2:17" x14ac:dyDescent="0.25">
      <c r="B437" s="493"/>
      <c r="C437" s="526"/>
      <c r="D437" s="620" t="s">
        <v>813</v>
      </c>
      <c r="E437" s="550"/>
      <c r="F437" s="495"/>
      <c r="G437" s="561" t="str">
        <f>IFERROR(VLOOKUP(D437,'Precios Equipos'!$C$1:$F$2047,3,0),"")</f>
        <v/>
      </c>
      <c r="H437" s="561" t="str">
        <f t="shared" si="59"/>
        <v/>
      </c>
      <c r="I437" s="1087"/>
      <c r="J437" s="1088"/>
      <c r="K437" s="539"/>
    </row>
    <row r="438" spans="2:17" x14ac:dyDescent="0.25">
      <c r="B438" s="493"/>
      <c r="C438" s="526">
        <v>2</v>
      </c>
      <c r="D438" s="494" t="str">
        <f>+'Precios Equipos'!$C$91</f>
        <v>Aire Acondicionado 300W</v>
      </c>
      <c r="E438" s="550"/>
      <c r="F438" s="495"/>
      <c r="G438" s="561">
        <f>IFERROR(VLOOKUP(D438,'Precios Equipos'!$C$1:$F$2047,3,0),"")</f>
        <v>26</v>
      </c>
      <c r="H438" s="561">
        <f t="shared" si="59"/>
        <v>52</v>
      </c>
      <c r="I438" s="1087"/>
      <c r="J438" s="1088"/>
      <c r="K438" s="539"/>
      <c r="Q438" s="465">
        <f>+C438*$C$426</f>
        <v>4</v>
      </c>
    </row>
    <row r="439" spans="2:17" x14ac:dyDescent="0.25">
      <c r="B439" s="493"/>
      <c r="C439" s="526"/>
      <c r="D439" s="494"/>
      <c r="F439" s="495"/>
      <c r="G439" s="561" t="str">
        <f>IFERROR(VLOOKUP(D439,'Precios Equipos'!$C$1:$F$2047,3,0),"")</f>
        <v/>
      </c>
      <c r="H439" s="561" t="str">
        <f t="shared" si="59"/>
        <v/>
      </c>
      <c r="I439" s="1087"/>
      <c r="J439" s="1088"/>
      <c r="K439" s="539"/>
      <c r="O439" s="468"/>
    </row>
    <row r="440" spans="2:17" x14ac:dyDescent="0.25">
      <c r="B440" s="493"/>
      <c r="C440" s="526"/>
      <c r="D440" s="620" t="s">
        <v>819</v>
      </c>
      <c r="F440" s="495"/>
      <c r="G440" s="561" t="str">
        <f>IFERROR(VLOOKUP(D440,'Precios Equipos'!$C$1:$F$2047,3,0),"")</f>
        <v/>
      </c>
      <c r="H440" s="561" t="str">
        <f t="shared" si="59"/>
        <v/>
      </c>
      <c r="I440" s="1087"/>
      <c r="J440" s="1088"/>
      <c r="K440" s="539"/>
      <c r="O440" s="468"/>
    </row>
    <row r="441" spans="2:17" x14ac:dyDescent="0.25">
      <c r="B441" s="493"/>
      <c r="C441" s="526">
        <v>2</v>
      </c>
      <c r="D441" s="468" t="str">
        <f>+'Precios Equipos'!$C$55</f>
        <v>Interruptor Riel Din 2x25A. S202M 20kA en 250VDC, ABB</v>
      </c>
      <c r="F441" s="495"/>
      <c r="G441" s="561">
        <f>IFERROR(VLOOKUP(D441,'Precios Equipos'!$C$1:$F$2047,3,0),"")</f>
        <v>382</v>
      </c>
      <c r="H441" s="561">
        <f t="shared" si="59"/>
        <v>764</v>
      </c>
      <c r="I441" s="1087"/>
      <c r="J441" s="1088"/>
      <c r="K441" s="539"/>
      <c r="O441" s="468"/>
      <c r="Q441" s="465">
        <f>+C441*$C$426</f>
        <v>4</v>
      </c>
    </row>
    <row r="442" spans="2:17" x14ac:dyDescent="0.25">
      <c r="B442" s="493"/>
      <c r="C442" s="526">
        <v>2</v>
      </c>
      <c r="D442" s="468" t="str">
        <f>+'Precios Equipos'!$C$60</f>
        <v>Protector de sobretension SPD DC 2P, 1000V DC, CLAMPER/DC SURGE PROTECCION</v>
      </c>
      <c r="F442" s="495"/>
      <c r="G442" s="561">
        <f>IFERROR(VLOOKUP(D442,'Precios Equipos'!$C$1:$F$2047,3,0),"")</f>
        <v>405</v>
      </c>
      <c r="H442" s="561">
        <f t="shared" si="59"/>
        <v>810</v>
      </c>
      <c r="I442" s="1087"/>
      <c r="J442" s="1088"/>
      <c r="K442" s="539"/>
      <c r="O442" s="468"/>
      <c r="Q442" s="465">
        <f>+C442*$C$426</f>
        <v>4</v>
      </c>
    </row>
    <row r="443" spans="2:17" x14ac:dyDescent="0.25">
      <c r="B443" s="493"/>
      <c r="C443" s="526"/>
      <c r="D443" s="494"/>
      <c r="F443" s="495"/>
      <c r="G443" s="561" t="str">
        <f>IFERROR(VLOOKUP(D443,'Precios Equipos'!$C$1:$F$2047,3,0),"")</f>
        <v/>
      </c>
      <c r="H443" s="561" t="str">
        <f t="shared" si="59"/>
        <v/>
      </c>
      <c r="I443" s="477"/>
      <c r="K443" s="539"/>
      <c r="O443" s="468"/>
    </row>
    <row r="444" spans="2:17" x14ac:dyDescent="0.25">
      <c r="B444" s="493"/>
      <c r="C444" s="526"/>
      <c r="D444" s="620" t="s">
        <v>87</v>
      </c>
      <c r="F444" s="495"/>
      <c r="G444" s="561" t="str">
        <f>IFERROR(VLOOKUP(D444,'Precios Equipos'!$C$1:$F$2047,3,0),"")</f>
        <v/>
      </c>
      <c r="H444" s="561" t="str">
        <f t="shared" si="58"/>
        <v/>
      </c>
      <c r="I444" s="477"/>
      <c r="K444" s="539"/>
      <c r="O444" s="468"/>
    </row>
    <row r="445" spans="2:17" x14ac:dyDescent="0.25">
      <c r="B445" s="493"/>
      <c r="C445" s="526">
        <v>1</v>
      </c>
      <c r="D445" s="494" t="s">
        <v>49</v>
      </c>
      <c r="F445" s="495"/>
      <c r="G445" s="561"/>
      <c r="H445" s="561">
        <f>M435</f>
        <v>96</v>
      </c>
      <c r="I445" s="561">
        <f>+H445</f>
        <v>96</v>
      </c>
      <c r="J445" s="924">
        <f>+I445/H448</f>
        <v>5.4206662902315079E-2</v>
      </c>
      <c r="K445" s="539"/>
      <c r="O445" s="468"/>
    </row>
    <row r="446" spans="2:17" x14ac:dyDescent="0.25">
      <c r="B446" s="493"/>
      <c r="C446" s="526">
        <v>1</v>
      </c>
      <c r="D446" s="494" t="s">
        <v>51</v>
      </c>
      <c r="F446" s="495"/>
      <c r="G446" s="561"/>
      <c r="H446" s="561"/>
      <c r="I446" s="539"/>
      <c r="J446" s="974"/>
      <c r="K446" s="539"/>
      <c r="O446" s="468"/>
    </row>
    <row r="447" spans="2:17" x14ac:dyDescent="0.25">
      <c r="B447" s="493"/>
      <c r="C447" s="526">
        <v>1</v>
      </c>
      <c r="D447" s="467" t="s">
        <v>20</v>
      </c>
      <c r="F447" s="495"/>
      <c r="G447" s="561"/>
      <c r="H447" s="561"/>
      <c r="I447" s="539"/>
      <c r="J447" s="974"/>
      <c r="K447" s="539"/>
      <c r="O447" s="468"/>
    </row>
    <row r="448" spans="2:17" x14ac:dyDescent="0.25">
      <c r="B448" s="493"/>
      <c r="C448" s="526">
        <v>1</v>
      </c>
      <c r="D448" s="467" t="s">
        <v>52</v>
      </c>
      <c r="F448" s="495"/>
      <c r="G448" s="553" t="s">
        <v>97</v>
      </c>
      <c r="H448" s="561">
        <f>SUM(H429:H447)</f>
        <v>1771</v>
      </c>
      <c r="I448" s="477"/>
      <c r="K448" s="539"/>
      <c r="O448" s="468"/>
    </row>
    <row r="449" spans="1:17" x14ac:dyDescent="0.25">
      <c r="B449" s="493"/>
      <c r="C449" s="526">
        <v>1</v>
      </c>
      <c r="D449" s="467" t="s">
        <v>900</v>
      </c>
      <c r="F449" s="495"/>
      <c r="G449" s="553" t="s">
        <v>105</v>
      </c>
      <c r="H449" s="561">
        <f>H448*$M$152</f>
        <v>354.20000000000005</v>
      </c>
      <c r="I449" s="477"/>
      <c r="K449" s="539"/>
      <c r="O449" s="468"/>
    </row>
    <row r="450" spans="1:17" x14ac:dyDescent="0.25">
      <c r="B450" s="521"/>
      <c r="C450" s="527" t="s">
        <v>17</v>
      </c>
      <c r="D450" s="522" t="s">
        <v>48</v>
      </c>
      <c r="E450" s="523"/>
      <c r="F450" s="524"/>
      <c r="G450" s="553" t="s">
        <v>452</v>
      </c>
      <c r="H450" s="561">
        <f>H448+H449</f>
        <v>2125.1999999999998</v>
      </c>
      <c r="I450" s="477"/>
      <c r="J450" s="924">
        <f>SUM(J428:J448)</f>
        <v>1</v>
      </c>
      <c r="K450" s="539"/>
      <c r="O450" s="468"/>
    </row>
    <row r="451" spans="1:17" x14ac:dyDescent="0.25">
      <c r="B451" s="493"/>
      <c r="F451" s="495"/>
      <c r="K451" s="539"/>
      <c r="L451" s="467"/>
      <c r="M451" s="467"/>
      <c r="N451" s="467"/>
      <c r="O451" s="467"/>
      <c r="P451" s="467"/>
    </row>
    <row r="452" spans="1:17" s="467" customFormat="1" x14ac:dyDescent="0.2">
      <c r="A452" s="463"/>
      <c r="B452" s="555" t="s">
        <v>6</v>
      </c>
      <c r="C452" s="515" t="s">
        <v>0</v>
      </c>
      <c r="D452" s="606" t="s">
        <v>8</v>
      </c>
      <c r="E452" s="556" t="s">
        <v>4</v>
      </c>
      <c r="F452" s="556" t="s">
        <v>3</v>
      </c>
      <c r="G452" s="477"/>
      <c r="H452" s="477"/>
      <c r="I452" s="477"/>
      <c r="J452" s="925"/>
      <c r="K452" s="539"/>
      <c r="Q452" s="465"/>
    </row>
    <row r="453" spans="1:17" s="467" customFormat="1" x14ac:dyDescent="0.25">
      <c r="A453" s="463">
        <v>155</v>
      </c>
      <c r="B453" s="1077">
        <f>B41</f>
        <v>3.0599999999999987</v>
      </c>
      <c r="C453" s="1077">
        <f>C41</f>
        <v>3</v>
      </c>
      <c r="D453" s="1077" t="str">
        <f>D41</f>
        <v>TABLEROS DE POTENCIA TIPO 06 (incluye aire acondicionado)</v>
      </c>
      <c r="E453" s="557">
        <f>H474</f>
        <v>1337.3040000000001</v>
      </c>
      <c r="F453" s="557">
        <f>+E453*C453</f>
        <v>4011.9120000000003</v>
      </c>
      <c r="G453" s="553" t="s">
        <v>450</v>
      </c>
      <c r="H453" s="553" t="s">
        <v>1</v>
      </c>
      <c r="I453" s="477"/>
      <c r="J453" s="925"/>
      <c r="K453" s="539"/>
      <c r="L453" s="468"/>
      <c r="M453" s="468"/>
      <c r="N453" s="468"/>
      <c r="O453" s="468"/>
      <c r="P453" s="468"/>
      <c r="Q453" s="465"/>
    </row>
    <row r="454" spans="1:17" s="467" customFormat="1" ht="16.5" thickBot="1" x14ac:dyDescent="0.3">
      <c r="A454" s="463"/>
      <c r="B454" s="1078"/>
      <c r="C454" s="1078"/>
      <c r="D454" s="1078"/>
      <c r="E454" s="534" t="s">
        <v>50</v>
      </c>
      <c r="F454" s="534" t="s">
        <v>50</v>
      </c>
      <c r="G454" s="553" t="s">
        <v>50</v>
      </c>
      <c r="H454" s="553" t="s">
        <v>50</v>
      </c>
      <c r="I454" s="477"/>
      <c r="J454" s="925"/>
      <c r="K454" s="539"/>
      <c r="L454" s="468"/>
      <c r="M454" s="468"/>
      <c r="N454" s="468"/>
      <c r="O454" s="468"/>
      <c r="P454" s="468"/>
      <c r="Q454" s="465"/>
    </row>
    <row r="455" spans="1:17" ht="16.5" thickBot="1" x14ac:dyDescent="0.3">
      <c r="B455" s="490"/>
      <c r="C455" s="526"/>
      <c r="D455" s="463"/>
      <c r="E455" s="491"/>
      <c r="F455" s="492"/>
      <c r="G455" s="561" t="str">
        <f>IFERROR(VLOOKUP(D455,'Precios Equipos'!$C$1:$F$2047,3,0),"")</f>
        <v/>
      </c>
      <c r="H455" s="561" t="str">
        <f t="shared" ref="H455:H468" si="60">IFERROR(G455*C455,"")</f>
        <v/>
      </c>
      <c r="I455" s="477"/>
      <c r="K455" s="539"/>
      <c r="L455" s="540" t="s">
        <v>451</v>
      </c>
      <c r="M455" s="541"/>
      <c r="O455" s="468"/>
    </row>
    <row r="456" spans="1:17" ht="16.5" thickBot="1" x14ac:dyDescent="0.3">
      <c r="B456" s="493"/>
      <c r="C456" s="526">
        <v>1</v>
      </c>
      <c r="D456" s="500" t="str">
        <f>+'Precios Equipos'!$C$194</f>
        <v>Gabinete Autosoportado 2100x1000(2 Puertas)x700mm. (Alto x ancho x profundidad)</v>
      </c>
      <c r="F456" s="495"/>
      <c r="G456" s="561">
        <f>IFERROR(VLOOKUP(D456,'Precios Equipos'!$C$1:$F$2047,3,0),"")</f>
        <v>13</v>
      </c>
      <c r="H456" s="561">
        <f t="shared" si="60"/>
        <v>13</v>
      </c>
      <c r="I456" s="561">
        <f>+H456</f>
        <v>13</v>
      </c>
      <c r="J456" s="924">
        <f>+I456/H472</f>
        <v>1.1665260853179232E-2</v>
      </c>
      <c r="K456" s="539"/>
      <c r="L456" s="542" t="s">
        <v>88</v>
      </c>
      <c r="M456" s="543" t="s">
        <v>85</v>
      </c>
      <c r="O456" s="468"/>
      <c r="Q456" s="465">
        <f>+C456*$C$453</f>
        <v>3</v>
      </c>
    </row>
    <row r="457" spans="1:17" x14ac:dyDescent="0.25">
      <c r="B457" s="493"/>
      <c r="C457" s="526"/>
      <c r="D457" s="494"/>
      <c r="F457" s="495"/>
      <c r="G457" s="561" t="str">
        <f>IFERROR(VLOOKUP(D457,'Precios Equipos'!$C$1:$F$2047,3,0),"")</f>
        <v/>
      </c>
      <c r="H457" s="561" t="str">
        <f t="shared" si="60"/>
        <v/>
      </c>
      <c r="I457" s="477"/>
      <c r="K457" s="539"/>
      <c r="L457" s="544" t="str">
        <f>+'Precios Equipos'!C146</f>
        <v>M. DE OBRA (TIPO 1 AL 6) MONTAJE AIRE ACONDICIONADO Y ACCESORIOS</v>
      </c>
      <c r="M457" s="545">
        <f>IFERROR(VLOOKUP(L457,'Precios Equipos'!$C$11:$F$208,3,0),0)</f>
        <v>6</v>
      </c>
      <c r="O457" s="468"/>
    </row>
    <row r="458" spans="1:17" x14ac:dyDescent="0.25">
      <c r="B458" s="493"/>
      <c r="C458" s="526"/>
      <c r="D458" s="620" t="s">
        <v>788</v>
      </c>
      <c r="E458" s="467"/>
      <c r="F458" s="495"/>
      <c r="G458" s="561" t="str">
        <f>IFERROR(VLOOKUP(D458,'Precios Equipos'!$C$1:$F$2047,3,0),"")</f>
        <v/>
      </c>
      <c r="H458" s="561" t="str">
        <f t="shared" si="60"/>
        <v/>
      </c>
      <c r="I458" s="477"/>
      <c r="K458" s="539"/>
      <c r="L458" s="544" t="str">
        <f>+'Precios Equipos'!C205</f>
        <v>Diseño Ingenieria Tableros Autosoportados</v>
      </c>
      <c r="M458" s="545">
        <f>IFERROR(VLOOKUP(L458,'Precios Equipos'!$C$11:$F$208,3,0),0)</f>
        <v>63</v>
      </c>
      <c r="O458" s="468"/>
    </row>
    <row r="459" spans="1:17" x14ac:dyDescent="0.25">
      <c r="B459" s="493"/>
      <c r="C459" s="526">
        <v>2</v>
      </c>
      <c r="D459" s="494" t="str">
        <f>+'Precios Equipos'!C100</f>
        <v>Inversor Bidireccional 3 KVA</v>
      </c>
      <c r="E459" s="550" t="s">
        <v>575</v>
      </c>
      <c r="F459" s="497"/>
      <c r="G459" s="561">
        <f>IFERROR(VLOOKUP(D459,'Precios Equipos'!$C$1:$F$2047,3,0),"")</f>
        <v>21</v>
      </c>
      <c r="H459" s="561">
        <f t="shared" si="60"/>
        <v>42</v>
      </c>
      <c r="I459" s="1087">
        <f>SUM(H459:H466)</f>
        <v>1005.4200000000001</v>
      </c>
      <c r="J459" s="1088">
        <f>+I459/H472</f>
        <v>0.90219127438488178</v>
      </c>
      <c r="K459" s="539"/>
      <c r="L459" s="922" t="str">
        <f>+'Precios Equipos'!$C$111</f>
        <v>SISTEMA DE BARRAS 08-10 POLOS</v>
      </c>
      <c r="M459" s="545">
        <f>IFERROR(VLOOKUP(L459,'Precios Equipos'!$C$11:$F$208,3,0),0)</f>
        <v>23</v>
      </c>
      <c r="Q459" s="465">
        <f>+C459*$C$453</f>
        <v>6</v>
      </c>
    </row>
    <row r="460" spans="1:17" ht="16.5" thickBot="1" x14ac:dyDescent="0.3">
      <c r="B460" s="493"/>
      <c r="C460" s="526"/>
      <c r="D460" s="494"/>
      <c r="E460" s="467"/>
      <c r="F460" s="495"/>
      <c r="G460" s="561" t="str">
        <f>IFERROR(VLOOKUP(D460,'Precios Equipos'!$C$1:$F$2047,3,0),"")</f>
        <v/>
      </c>
      <c r="H460" s="561" t="str">
        <f t="shared" si="60"/>
        <v/>
      </c>
      <c r="I460" s="1087"/>
      <c r="J460" s="1088"/>
      <c r="K460" s="539"/>
      <c r="L460" s="923" t="str">
        <f>+'Precios Equipos'!$C$133</f>
        <v>CABLEADO 2 DIFERENCIALES, 2P</v>
      </c>
      <c r="M460" s="545">
        <f>IFERROR(VLOOKUP(L460,'Precios Equipos'!$C$11:$F$208,3,0),0)</f>
        <v>4</v>
      </c>
    </row>
    <row r="461" spans="1:17" ht="16.5" thickBot="1" x14ac:dyDescent="0.3">
      <c r="B461" s="493"/>
      <c r="C461" s="526"/>
      <c r="D461" s="620" t="s">
        <v>813</v>
      </c>
      <c r="E461" s="467"/>
      <c r="F461" s="495"/>
      <c r="G461" s="561" t="str">
        <f>IFERROR(VLOOKUP(D461,'Precios Equipos'!$C$1:$F$2047,3,0),"")</f>
        <v/>
      </c>
      <c r="H461" s="561" t="str">
        <f t="shared" si="60"/>
        <v/>
      </c>
      <c r="I461" s="1087"/>
      <c r="J461" s="1088"/>
      <c r="K461" s="539"/>
      <c r="L461" s="546" t="s">
        <v>89</v>
      </c>
      <c r="M461" s="560">
        <f>SUM(M457:M460)</f>
        <v>96</v>
      </c>
    </row>
    <row r="462" spans="1:17" x14ac:dyDescent="0.25">
      <c r="B462" s="493"/>
      <c r="C462" s="526">
        <v>2</v>
      </c>
      <c r="D462" s="494" t="str">
        <f>+'Precios Equipos'!$C$91</f>
        <v>Aire Acondicionado 300W</v>
      </c>
      <c r="E462" s="467"/>
      <c r="F462" s="495"/>
      <c r="G462" s="561">
        <f>IFERROR(VLOOKUP(D462,'Precios Equipos'!$C$1:$F$2047,3,0),"")</f>
        <v>26</v>
      </c>
      <c r="H462" s="561">
        <f t="shared" si="60"/>
        <v>52</v>
      </c>
      <c r="I462" s="1087"/>
      <c r="J462" s="1088"/>
      <c r="K462" s="539"/>
      <c r="Q462" s="465">
        <f>+C462*$C$453</f>
        <v>6</v>
      </c>
    </row>
    <row r="463" spans="1:17" x14ac:dyDescent="0.25">
      <c r="B463" s="493"/>
      <c r="C463" s="526"/>
      <c r="D463" s="494"/>
      <c r="E463" s="467"/>
      <c r="F463" s="495"/>
      <c r="G463" s="561" t="str">
        <f>IFERROR(VLOOKUP(D463,'Precios Equipos'!$C$1:$F$2047,3,0),"")</f>
        <v/>
      </c>
      <c r="H463" s="561" t="str">
        <f t="shared" ref="H463:H464" si="61">IFERROR(G463*C463,"")</f>
        <v/>
      </c>
      <c r="I463" s="1087"/>
      <c r="J463" s="1088"/>
      <c r="K463" s="539"/>
      <c r="L463" s="593"/>
      <c r="M463" s="594"/>
    </row>
    <row r="464" spans="1:17" x14ac:dyDescent="0.25">
      <c r="B464" s="493"/>
      <c r="C464" s="526"/>
      <c r="D464" s="620"/>
      <c r="E464" s="467"/>
      <c r="F464" s="495"/>
      <c r="G464" s="561" t="str">
        <f>IFERROR(VLOOKUP(D464,'Precios Equipos'!$C$1:$F$2047,3,0),"")</f>
        <v/>
      </c>
      <c r="H464" s="561" t="str">
        <f t="shared" si="61"/>
        <v/>
      </c>
      <c r="I464" s="1087"/>
      <c r="J464" s="1088"/>
      <c r="K464" s="539"/>
      <c r="L464" s="593"/>
      <c r="M464" s="594"/>
    </row>
    <row r="465" spans="1:17" x14ac:dyDescent="0.25">
      <c r="B465" s="493"/>
      <c r="C465" s="526"/>
      <c r="D465" s="494"/>
      <c r="E465" s="467"/>
      <c r="F465" s="495"/>
      <c r="G465" s="561">
        <v>199.21</v>
      </c>
      <c r="H465" s="561">
        <v>398.42</v>
      </c>
      <c r="I465" s="1087"/>
      <c r="J465" s="1088"/>
      <c r="K465" s="539"/>
      <c r="L465" s="593"/>
      <c r="M465" s="594"/>
      <c r="Q465" s="465">
        <f>+C465*$C$453</f>
        <v>0</v>
      </c>
    </row>
    <row r="466" spans="1:17" x14ac:dyDescent="0.25">
      <c r="B466" s="493"/>
      <c r="C466" s="526"/>
      <c r="D466" s="494"/>
      <c r="E466" s="467"/>
      <c r="F466" s="495"/>
      <c r="G466" s="561">
        <v>256.5</v>
      </c>
      <c r="H466" s="561">
        <v>513</v>
      </c>
      <c r="I466" s="1087"/>
      <c r="J466" s="1088"/>
      <c r="K466" s="539"/>
      <c r="L466" s="593"/>
      <c r="M466" s="594"/>
      <c r="Q466" s="465">
        <f>+C466*$C$453</f>
        <v>0</v>
      </c>
    </row>
    <row r="467" spans="1:17" x14ac:dyDescent="0.25">
      <c r="B467" s="493"/>
      <c r="C467" s="526"/>
      <c r="D467" s="494"/>
      <c r="E467" s="467"/>
      <c r="F467" s="495"/>
      <c r="G467" s="561"/>
      <c r="H467" s="561"/>
      <c r="I467" s="477"/>
      <c r="K467" s="539"/>
      <c r="L467" s="593"/>
      <c r="M467" s="594"/>
    </row>
    <row r="468" spans="1:17" x14ac:dyDescent="0.25">
      <c r="B468" s="493"/>
      <c r="C468" s="526"/>
      <c r="D468" s="620" t="s">
        <v>87</v>
      </c>
      <c r="F468" s="495"/>
      <c r="G468" s="561" t="str">
        <f>IFERROR(VLOOKUP(D468,'Precios Equipos'!$C$1:$F$2047,3,0),"")</f>
        <v/>
      </c>
      <c r="H468" s="561" t="str">
        <f t="shared" si="60"/>
        <v/>
      </c>
      <c r="I468" s="477"/>
      <c r="K468" s="539"/>
      <c r="O468" s="468"/>
    </row>
    <row r="469" spans="1:17" x14ac:dyDescent="0.25">
      <c r="B469" s="493"/>
      <c r="C469" s="526">
        <v>1</v>
      </c>
      <c r="D469" s="494" t="s">
        <v>49</v>
      </c>
      <c r="F469" s="495"/>
      <c r="G469" s="561"/>
      <c r="H469" s="561">
        <f>M461</f>
        <v>96</v>
      </c>
      <c r="I469" s="561">
        <f>+H469</f>
        <v>96</v>
      </c>
      <c r="J469" s="924">
        <f>+I469/H472</f>
        <v>8.6143464761938945E-2</v>
      </c>
      <c r="K469" s="539"/>
      <c r="O469" s="468"/>
    </row>
    <row r="470" spans="1:17" x14ac:dyDescent="0.25">
      <c r="B470" s="493"/>
      <c r="C470" s="526">
        <v>1</v>
      </c>
      <c r="D470" s="494" t="s">
        <v>51</v>
      </c>
      <c r="F470" s="495"/>
      <c r="G470" s="561"/>
      <c r="H470" s="561"/>
      <c r="I470" s="539"/>
      <c r="J470" s="974"/>
      <c r="K470" s="539"/>
      <c r="O470" s="468"/>
    </row>
    <row r="471" spans="1:17" x14ac:dyDescent="0.25">
      <c r="B471" s="493"/>
      <c r="C471" s="526">
        <v>1</v>
      </c>
      <c r="D471" s="467" t="s">
        <v>20</v>
      </c>
      <c r="F471" s="495"/>
      <c r="G471" s="561"/>
      <c r="H471" s="561"/>
      <c r="I471" s="539"/>
      <c r="J471" s="974"/>
      <c r="K471" s="539"/>
      <c r="O471" s="468"/>
    </row>
    <row r="472" spans="1:17" x14ac:dyDescent="0.25">
      <c r="B472" s="493"/>
      <c r="C472" s="526">
        <v>1</v>
      </c>
      <c r="D472" s="467" t="s">
        <v>52</v>
      </c>
      <c r="F472" s="495"/>
      <c r="G472" s="553" t="s">
        <v>97</v>
      </c>
      <c r="H472" s="561">
        <f>SUM(H456:H471)</f>
        <v>1114.42</v>
      </c>
      <c r="I472" s="477"/>
      <c r="K472" s="539"/>
      <c r="O472" s="468"/>
    </row>
    <row r="473" spans="1:17" x14ac:dyDescent="0.25">
      <c r="B473" s="493"/>
      <c r="C473" s="526">
        <v>1</v>
      </c>
      <c r="D473" s="467" t="s">
        <v>900</v>
      </c>
      <c r="F473" s="495"/>
      <c r="G473" s="553" t="s">
        <v>105</v>
      </c>
      <c r="H473" s="561">
        <f>H472*$M$152</f>
        <v>222.88400000000001</v>
      </c>
      <c r="I473" s="477"/>
      <c r="K473" s="539"/>
      <c r="O473" s="468"/>
    </row>
    <row r="474" spans="1:17" x14ac:dyDescent="0.25">
      <c r="B474" s="521"/>
      <c r="C474" s="527" t="s">
        <v>17</v>
      </c>
      <c r="D474" s="522" t="s">
        <v>48</v>
      </c>
      <c r="E474" s="523"/>
      <c r="F474" s="524"/>
      <c r="G474" s="553" t="s">
        <v>452</v>
      </c>
      <c r="H474" s="561">
        <f>H472+H473</f>
        <v>1337.3040000000001</v>
      </c>
      <c r="I474" s="477"/>
      <c r="J474" s="924">
        <f>SUM(J455:J472)</f>
        <v>0.99999999999999989</v>
      </c>
      <c r="K474" s="539"/>
      <c r="O474" s="468"/>
    </row>
    <row r="475" spans="1:17" x14ac:dyDescent="0.25">
      <c r="I475" s="477"/>
      <c r="K475" s="539"/>
      <c r="O475" s="468"/>
    </row>
    <row r="476" spans="1:17" x14ac:dyDescent="0.25">
      <c r="B476" s="514" t="s">
        <v>6</v>
      </c>
      <c r="C476" s="515" t="s">
        <v>0</v>
      </c>
      <c r="D476" s="606" t="s">
        <v>8</v>
      </c>
      <c r="E476" s="516" t="s">
        <v>4</v>
      </c>
      <c r="F476" s="516" t="s">
        <v>3</v>
      </c>
      <c r="G476" s="477"/>
      <c r="H476" s="477"/>
      <c r="I476" s="477"/>
      <c r="K476" s="539"/>
      <c r="O476" s="468"/>
    </row>
    <row r="477" spans="1:17" x14ac:dyDescent="0.25">
      <c r="A477" s="463">
        <v>156</v>
      </c>
      <c r="B477" s="1077">
        <f>B42</f>
        <v>3.0699999999999985</v>
      </c>
      <c r="C477" s="1077">
        <f>C42</f>
        <v>3</v>
      </c>
      <c r="D477" s="1077" t="str">
        <f>D42</f>
        <v>TABLEROS DE POTENCIA TIPO 07 (incluye aire acondicionado)</v>
      </c>
      <c r="E477" s="518">
        <f>H499</f>
        <v>2576.2560000000003</v>
      </c>
      <c r="F477" s="518">
        <f>+E477*C477</f>
        <v>7728.7680000000009</v>
      </c>
      <c r="G477" s="553" t="s">
        <v>450</v>
      </c>
      <c r="H477" s="553" t="s">
        <v>1</v>
      </c>
      <c r="I477" s="477"/>
      <c r="K477" s="539"/>
      <c r="O477" s="468"/>
    </row>
    <row r="478" spans="1:17" ht="16.5" thickBot="1" x14ac:dyDescent="0.3">
      <c r="B478" s="1078"/>
      <c r="C478" s="1078"/>
      <c r="D478" s="1078"/>
      <c r="E478" s="520" t="s">
        <v>50</v>
      </c>
      <c r="F478" s="520" t="s">
        <v>50</v>
      </c>
      <c r="G478" s="553" t="s">
        <v>50</v>
      </c>
      <c r="H478" s="553" t="s">
        <v>50</v>
      </c>
      <c r="I478" s="477"/>
      <c r="K478" s="539"/>
      <c r="O478" s="468"/>
    </row>
    <row r="479" spans="1:17" ht="16.5" thickBot="1" x14ac:dyDescent="0.3">
      <c r="B479" s="490"/>
      <c r="C479" s="526"/>
      <c r="D479" s="463"/>
      <c r="E479" s="491"/>
      <c r="F479" s="492"/>
      <c r="G479" s="561" t="str">
        <f>IFERROR(VLOOKUP(D479,'Precios Equipos'!$C$1:$F$2047,3,0),"")</f>
        <v/>
      </c>
      <c r="H479" s="561" t="str">
        <f t="shared" ref="H479:H492" si="62">IFERROR(G479*C479,"")</f>
        <v/>
      </c>
      <c r="I479" s="477"/>
      <c r="K479" s="539"/>
      <c r="L479" s="540" t="s">
        <v>451</v>
      </c>
      <c r="M479" s="541"/>
      <c r="O479" s="468"/>
    </row>
    <row r="480" spans="1:17" ht="16.5" thickBot="1" x14ac:dyDescent="0.3">
      <c r="B480" s="493"/>
      <c r="C480" s="526">
        <v>1</v>
      </c>
      <c r="D480" s="500" t="str">
        <f>+'Precios Equipos'!$C$195</f>
        <v>Gabinete Autosoportado 2200x1000(2 Puertas)x700mm. (Alto x ancho x profundidad)</v>
      </c>
      <c r="F480" s="495"/>
      <c r="G480" s="561">
        <f>IFERROR(VLOOKUP(D480,'Precios Equipos'!$C$1:$F$2047,3,0),"")</f>
        <v>4</v>
      </c>
      <c r="H480" s="561">
        <f t="shared" si="62"/>
        <v>4</v>
      </c>
      <c r="I480" s="561">
        <f>+H480</f>
        <v>4</v>
      </c>
      <c r="J480" s="924">
        <f>+I480/H497</f>
        <v>1.8631688776270679E-3</v>
      </c>
      <c r="K480" s="539"/>
      <c r="L480" s="542" t="s">
        <v>88</v>
      </c>
      <c r="M480" s="543" t="s">
        <v>85</v>
      </c>
      <c r="O480" s="468"/>
      <c r="Q480" s="465">
        <f>+C480*$C$477</f>
        <v>3</v>
      </c>
    </row>
    <row r="481" spans="2:17" x14ac:dyDescent="0.25">
      <c r="B481" s="493"/>
      <c r="C481" s="526"/>
      <c r="D481" s="494"/>
      <c r="F481" s="495"/>
      <c r="G481" s="561" t="str">
        <f>IFERROR(VLOOKUP(D481,'Precios Equipos'!$C$1:$F$2047,3,0),"")</f>
        <v/>
      </c>
      <c r="H481" s="561" t="str">
        <f t="shared" si="62"/>
        <v/>
      </c>
      <c r="I481" s="477"/>
      <c r="K481" s="539"/>
      <c r="L481" s="544" t="str">
        <f>+'Precios Equipos'!C147</f>
        <v>M. DE OBRA (TIPO 7 y 8) MONTAJE AIRE ACONDICIONADO Y ACCESORIOS</v>
      </c>
      <c r="M481" s="545">
        <f>IFERROR(VLOOKUP(L481,'Precios Equipos'!$C$11:$F$208,3,0),0)</f>
        <v>2</v>
      </c>
      <c r="O481" s="468"/>
    </row>
    <row r="482" spans="2:17" x14ac:dyDescent="0.25">
      <c r="B482" s="493"/>
      <c r="C482" s="526"/>
      <c r="D482" s="620" t="s">
        <v>788</v>
      </c>
      <c r="E482" s="467"/>
      <c r="F482" s="495"/>
      <c r="G482" s="561" t="str">
        <f>IFERROR(VLOOKUP(D482,'Precios Equipos'!$C$1:$F$2047,3,0),"")</f>
        <v/>
      </c>
      <c r="H482" s="561" t="str">
        <f t="shared" si="62"/>
        <v/>
      </c>
      <c r="I482" s="477"/>
      <c r="K482" s="539"/>
      <c r="L482" s="544" t="str">
        <f>+'Precios Equipos'!C205</f>
        <v>Diseño Ingenieria Tableros Autosoportados</v>
      </c>
      <c r="M482" s="545">
        <f>IFERROR(VLOOKUP(L482,'Precios Equipos'!$C$11:$F$208,3,0),0)</f>
        <v>63</v>
      </c>
    </row>
    <row r="483" spans="2:17" x14ac:dyDescent="0.25">
      <c r="B483" s="493"/>
      <c r="C483" s="526">
        <v>2</v>
      </c>
      <c r="D483" s="494" t="str">
        <f>+'Precios Equipos'!C101</f>
        <v>Inversor Bidireccional 5 KVA</v>
      </c>
      <c r="E483" s="550" t="s">
        <v>575</v>
      </c>
      <c r="F483" s="497"/>
      <c r="G483" s="561">
        <f>IFERROR(VLOOKUP(D483,'Precios Equipos'!$C$1:$F$2047,3,0),"")</f>
        <v>42</v>
      </c>
      <c r="H483" s="561">
        <f t="shared" si="62"/>
        <v>84</v>
      </c>
      <c r="I483" s="1087">
        <f>SUM(H483:H490)</f>
        <v>2050.88</v>
      </c>
      <c r="J483" s="1088">
        <f>+I483/H497</f>
        <v>0.9552839469369504</v>
      </c>
      <c r="K483" s="539"/>
      <c r="L483" s="922" t="str">
        <f>+'Precios Equipos'!$C$111</f>
        <v>SISTEMA DE BARRAS 08-10 POLOS</v>
      </c>
      <c r="M483" s="545">
        <f>IFERROR(VLOOKUP(L483,'Precios Equipos'!$C$11:$F$208,3,0),0)</f>
        <v>23</v>
      </c>
      <c r="Q483" s="465">
        <f>+C483*$C$477</f>
        <v>6</v>
      </c>
    </row>
    <row r="484" spans="2:17" ht="16.5" thickBot="1" x14ac:dyDescent="0.3">
      <c r="B484" s="493"/>
      <c r="C484" s="526"/>
      <c r="D484" s="494"/>
      <c r="F484" s="495"/>
      <c r="G484" s="561" t="str">
        <f>IFERROR(VLOOKUP(D484,'Precios Equipos'!$C$1:$F$2047,3,0),"")</f>
        <v/>
      </c>
      <c r="H484" s="561" t="str">
        <f t="shared" si="62"/>
        <v/>
      </c>
      <c r="I484" s="1087"/>
      <c r="J484" s="1088"/>
      <c r="K484" s="539"/>
      <c r="L484" s="923" t="str">
        <f>+'Precios Equipos'!$C$133</f>
        <v>CABLEADO 2 DIFERENCIALES, 2P</v>
      </c>
      <c r="M484" s="545">
        <f>IFERROR(VLOOKUP(L484,'Precios Equipos'!$C$11:$F$208,3,0),0)</f>
        <v>4</v>
      </c>
      <c r="O484" s="468"/>
    </row>
    <row r="485" spans="2:17" ht="16.5" thickBot="1" x14ac:dyDescent="0.3">
      <c r="B485" s="493"/>
      <c r="C485" s="526"/>
      <c r="D485" s="620" t="s">
        <v>813</v>
      </c>
      <c r="F485" s="495"/>
      <c r="G485" s="561" t="str">
        <f>IFERROR(VLOOKUP(D485,'Precios Equipos'!$C$1:$F$2047,3,0),"")</f>
        <v/>
      </c>
      <c r="H485" s="561" t="str">
        <f t="shared" si="62"/>
        <v/>
      </c>
      <c r="I485" s="1087"/>
      <c r="J485" s="1088"/>
      <c r="K485" s="539"/>
      <c r="L485" s="546" t="s">
        <v>89</v>
      </c>
      <c r="M485" s="560">
        <f>SUM(M481:M484)</f>
        <v>92</v>
      </c>
      <c r="O485" s="468"/>
    </row>
    <row r="486" spans="2:17" x14ac:dyDescent="0.25">
      <c r="B486" s="493"/>
      <c r="C486" s="526">
        <v>2</v>
      </c>
      <c r="D486" s="494" t="str">
        <f>+'Precios Equipos'!$C$92</f>
        <v>Aire Acondicionado 500W</v>
      </c>
      <c r="F486" s="495"/>
      <c r="G486" s="561">
        <f>IFERROR(VLOOKUP(D486,'Precios Equipos'!$C$1:$F$2047,3,0),"")</f>
        <v>16</v>
      </c>
      <c r="H486" s="561">
        <f t="shared" si="62"/>
        <v>32</v>
      </c>
      <c r="I486" s="1087"/>
      <c r="J486" s="1088"/>
      <c r="K486" s="539"/>
      <c r="O486" s="468"/>
      <c r="Q486" s="465">
        <f>+C486*$C$477</f>
        <v>6</v>
      </c>
    </row>
    <row r="487" spans="2:17" x14ac:dyDescent="0.25">
      <c r="B487" s="493"/>
      <c r="C487" s="526"/>
      <c r="D487" s="494"/>
      <c r="F487" s="495"/>
      <c r="G487" s="561" t="str">
        <f>IFERROR(VLOOKUP(D487,'Precios Equipos'!$C$1:$F$2047,3,0),"")</f>
        <v/>
      </c>
      <c r="H487" s="561" t="str">
        <f t="shared" ref="H487:H488" si="63">IFERROR(G487*C487,"")</f>
        <v/>
      </c>
      <c r="I487" s="1087"/>
      <c r="J487" s="1088"/>
      <c r="K487" s="539"/>
      <c r="L487" s="593"/>
      <c r="M487" s="594"/>
      <c r="O487" s="468"/>
    </row>
    <row r="488" spans="2:17" x14ac:dyDescent="0.25">
      <c r="B488" s="493"/>
      <c r="C488" s="526"/>
      <c r="D488" s="620"/>
      <c r="F488" s="495"/>
      <c r="G488" s="561" t="str">
        <f>IFERROR(VLOOKUP(D488,'Precios Equipos'!$C$1:$F$2047,3,0),"")</f>
        <v/>
      </c>
      <c r="H488" s="561" t="str">
        <f t="shared" si="63"/>
        <v/>
      </c>
      <c r="I488" s="1087"/>
      <c r="J488" s="1088"/>
      <c r="K488" s="539"/>
      <c r="L488" s="593"/>
      <c r="M488" s="594"/>
      <c r="O488" s="468"/>
    </row>
    <row r="489" spans="2:17" x14ac:dyDescent="0.25">
      <c r="B489" s="493"/>
      <c r="C489" s="526"/>
      <c r="D489" s="494"/>
      <c r="F489" s="495"/>
      <c r="G489" s="561">
        <v>710.94</v>
      </c>
      <c r="H489" s="561">
        <v>1421.88</v>
      </c>
      <c r="I489" s="1087"/>
      <c r="J489" s="1088"/>
      <c r="K489" s="539"/>
      <c r="L489" s="593"/>
      <c r="M489" s="594"/>
      <c r="O489" s="468"/>
      <c r="Q489" s="465">
        <f>+C489*$C$477</f>
        <v>0</v>
      </c>
    </row>
    <row r="490" spans="2:17" x14ac:dyDescent="0.25">
      <c r="B490" s="493"/>
      <c r="C490" s="526"/>
      <c r="D490" s="494"/>
      <c r="F490" s="495"/>
      <c r="G490" s="561">
        <v>256.5</v>
      </c>
      <c r="H490" s="561">
        <v>513</v>
      </c>
      <c r="I490" s="1087"/>
      <c r="J490" s="1088"/>
      <c r="K490" s="539"/>
      <c r="L490" s="593"/>
      <c r="M490" s="594"/>
      <c r="O490" s="468"/>
      <c r="Q490" s="465">
        <f>+C490*$C$477</f>
        <v>0</v>
      </c>
    </row>
    <row r="491" spans="2:17" x14ac:dyDescent="0.25">
      <c r="B491" s="493"/>
      <c r="C491" s="526"/>
      <c r="D491" s="494"/>
      <c r="F491" s="495"/>
      <c r="G491" s="561"/>
      <c r="H491" s="561"/>
      <c r="I491" s="477"/>
      <c r="K491" s="539"/>
      <c r="L491" s="593"/>
      <c r="M491" s="594"/>
      <c r="O491" s="468"/>
    </row>
    <row r="492" spans="2:17" x14ac:dyDescent="0.25">
      <c r="B492" s="493"/>
      <c r="C492" s="526"/>
      <c r="D492" s="620" t="s">
        <v>87</v>
      </c>
      <c r="F492" s="495"/>
      <c r="G492" s="561" t="str">
        <f>IFERROR(VLOOKUP(D492,'Precios Equipos'!$C$1:$F$2047,3,0),"")</f>
        <v/>
      </c>
      <c r="H492" s="561" t="str">
        <f t="shared" si="62"/>
        <v/>
      </c>
      <c r="I492" s="477"/>
      <c r="K492" s="539"/>
      <c r="O492" s="468"/>
    </row>
    <row r="493" spans="2:17" x14ac:dyDescent="0.25">
      <c r="B493" s="493"/>
      <c r="C493" s="526">
        <v>1</v>
      </c>
      <c r="D493" s="494" t="s">
        <v>49</v>
      </c>
      <c r="F493" s="495"/>
      <c r="G493" s="561"/>
      <c r="H493" s="561">
        <f>M485</f>
        <v>92</v>
      </c>
      <c r="I493" s="561">
        <f>+H493</f>
        <v>92</v>
      </c>
      <c r="J493" s="924">
        <f>+I493/H497</f>
        <v>4.2852884185422567E-2</v>
      </c>
      <c r="K493" s="539"/>
      <c r="O493" s="468"/>
    </row>
    <row r="494" spans="2:17" x14ac:dyDescent="0.25">
      <c r="B494" s="493"/>
      <c r="C494" s="526">
        <v>1</v>
      </c>
      <c r="D494" s="494" t="s">
        <v>51</v>
      </c>
      <c r="F494" s="495"/>
      <c r="G494" s="561"/>
      <c r="H494" s="561"/>
      <c r="I494" s="477"/>
      <c r="K494" s="539"/>
      <c r="O494" s="468"/>
    </row>
    <row r="495" spans="2:17" x14ac:dyDescent="0.25">
      <c r="B495" s="493"/>
      <c r="C495" s="526">
        <v>1</v>
      </c>
      <c r="D495" s="467" t="s">
        <v>20</v>
      </c>
      <c r="F495" s="495"/>
      <c r="G495" s="561"/>
      <c r="H495" s="561"/>
      <c r="I495" s="539"/>
      <c r="J495" s="974"/>
      <c r="K495" s="539"/>
      <c r="O495" s="468"/>
    </row>
    <row r="496" spans="2:17" x14ac:dyDescent="0.25">
      <c r="B496" s="493"/>
      <c r="C496" s="526">
        <v>1</v>
      </c>
      <c r="D496" s="467" t="s">
        <v>52</v>
      </c>
      <c r="F496" s="495"/>
      <c r="G496" s="561"/>
      <c r="H496" s="561"/>
      <c r="I496" s="539"/>
      <c r="J496" s="974"/>
      <c r="K496" s="539"/>
      <c r="O496" s="468"/>
    </row>
    <row r="497" spans="1:17" x14ac:dyDescent="0.25">
      <c r="B497" s="493"/>
      <c r="C497" s="526">
        <v>1</v>
      </c>
      <c r="D497" s="467" t="s">
        <v>900</v>
      </c>
      <c r="F497" s="495"/>
      <c r="G497" s="553" t="s">
        <v>97</v>
      </c>
      <c r="H497" s="561">
        <f>SUM(H480:H496)</f>
        <v>2146.88</v>
      </c>
      <c r="I497" s="477"/>
      <c r="J497" s="924">
        <f>SUM(J478:J495)</f>
        <v>1</v>
      </c>
      <c r="K497" s="539"/>
      <c r="O497" s="468"/>
    </row>
    <row r="498" spans="1:17" x14ac:dyDescent="0.25">
      <c r="B498" s="493"/>
      <c r="C498" s="526" t="s">
        <v>17</v>
      </c>
      <c r="D498" s="467" t="s">
        <v>48</v>
      </c>
      <c r="F498" s="495"/>
      <c r="G498" s="553" t="s">
        <v>105</v>
      </c>
      <c r="H498" s="561">
        <f>H497*$M$152</f>
        <v>429.37600000000003</v>
      </c>
      <c r="I498" s="477"/>
      <c r="K498" s="539"/>
      <c r="O498" s="468"/>
    </row>
    <row r="499" spans="1:17" x14ac:dyDescent="0.25">
      <c r="B499" s="521"/>
      <c r="C499" s="527"/>
      <c r="D499" s="522"/>
      <c r="E499" s="523"/>
      <c r="F499" s="524"/>
      <c r="G499" s="553" t="s">
        <v>452</v>
      </c>
      <c r="H499" s="561">
        <f>H497+H498</f>
        <v>2576.2560000000003</v>
      </c>
      <c r="I499" s="477"/>
      <c r="K499" s="539"/>
      <c r="O499" s="468"/>
    </row>
    <row r="500" spans="1:17" x14ac:dyDescent="0.25">
      <c r="I500" s="477"/>
      <c r="K500" s="539"/>
      <c r="O500" s="468"/>
    </row>
    <row r="501" spans="1:17" x14ac:dyDescent="0.25">
      <c r="B501" s="514" t="s">
        <v>6</v>
      </c>
      <c r="C501" s="515" t="s">
        <v>0</v>
      </c>
      <c r="D501" s="606" t="s">
        <v>8</v>
      </c>
      <c r="E501" s="516" t="s">
        <v>4</v>
      </c>
      <c r="F501" s="516" t="s">
        <v>3</v>
      </c>
      <c r="G501" s="724"/>
      <c r="H501" s="728"/>
      <c r="I501" s="477"/>
      <c r="K501" s="539"/>
      <c r="O501" s="468"/>
    </row>
    <row r="502" spans="1:17" x14ac:dyDescent="0.25">
      <c r="A502" s="463">
        <v>168</v>
      </c>
      <c r="B502" s="1077">
        <f>B43</f>
        <v>3.0799999999999983</v>
      </c>
      <c r="C502" s="1077">
        <f>C43</f>
        <v>1</v>
      </c>
      <c r="D502" s="1077" t="str">
        <f>D43</f>
        <v>TABLEROS DE POTENCIA TIPO 08 (incluye aire acondicionado)</v>
      </c>
      <c r="E502" s="518">
        <f>H527</f>
        <v>2146.8000000000002</v>
      </c>
      <c r="F502" s="518">
        <f>+E502*C502</f>
        <v>2146.8000000000002</v>
      </c>
      <c r="G502" s="553" t="s">
        <v>450</v>
      </c>
      <c r="H502" s="553" t="s">
        <v>1</v>
      </c>
      <c r="I502" s="477"/>
      <c r="K502" s="539"/>
      <c r="O502" s="468"/>
    </row>
    <row r="503" spans="1:17" x14ac:dyDescent="0.25">
      <c r="B503" s="1078"/>
      <c r="C503" s="1078"/>
      <c r="D503" s="1078"/>
      <c r="E503" s="520" t="s">
        <v>50</v>
      </c>
      <c r="F503" s="520" t="s">
        <v>50</v>
      </c>
      <c r="G503" s="553" t="s">
        <v>50</v>
      </c>
      <c r="H503" s="553" t="s">
        <v>50</v>
      </c>
      <c r="I503" s="477"/>
      <c r="K503" s="539"/>
      <c r="O503" s="468"/>
    </row>
    <row r="504" spans="1:17" ht="16.5" thickBot="1" x14ac:dyDescent="0.3">
      <c r="B504" s="490"/>
      <c r="C504" s="526"/>
      <c r="D504" s="463"/>
      <c r="E504" s="491"/>
      <c r="F504" s="492"/>
      <c r="G504" s="561" t="str">
        <f>IFERROR(VLOOKUP(D504,'Precios Equipos'!$C$1:$F$2047,3,0),"")</f>
        <v/>
      </c>
      <c r="H504" s="561" t="str">
        <f t="shared" ref="H504:H521" si="64">IFERROR(G504*C504,"")</f>
        <v/>
      </c>
      <c r="I504" s="477"/>
      <c r="K504" s="539"/>
      <c r="O504" s="468"/>
    </row>
    <row r="505" spans="1:17" ht="16.5" thickBot="1" x14ac:dyDescent="0.3">
      <c r="B505" s="493"/>
      <c r="C505" s="526">
        <v>1</v>
      </c>
      <c r="D505" s="500" t="str">
        <f>+'Precios Equipos'!$C$195</f>
        <v>Gabinete Autosoportado 2200x1000(2 Puertas)x700mm. (Alto x ancho x profundidad)</v>
      </c>
      <c r="F505" s="495"/>
      <c r="G505" s="561">
        <f>IFERROR(VLOOKUP(D505,'Precios Equipos'!$C$1:$F$2047,3,0),"")</f>
        <v>4</v>
      </c>
      <c r="H505" s="561">
        <f t="shared" si="64"/>
        <v>4</v>
      </c>
      <c r="I505" s="561">
        <f>+H505</f>
        <v>4</v>
      </c>
      <c r="J505" s="924">
        <f>+I505/H525</f>
        <v>2.2358859698155395E-3</v>
      </c>
      <c r="K505" s="539"/>
      <c r="L505" s="540" t="s">
        <v>451</v>
      </c>
      <c r="M505" s="541"/>
      <c r="O505" s="468"/>
      <c r="Q505" s="465">
        <f>+C505*$C$502</f>
        <v>1</v>
      </c>
    </row>
    <row r="506" spans="1:17" ht="16.5" thickBot="1" x14ac:dyDescent="0.3">
      <c r="B506" s="493"/>
      <c r="C506" s="526"/>
      <c r="D506" s="494"/>
      <c r="F506" s="495"/>
      <c r="G506" s="561" t="str">
        <f>IFERROR(VLOOKUP(D506,'Precios Equipos'!$C$1:$F$2047,3,0),"")</f>
        <v/>
      </c>
      <c r="H506" s="561" t="str">
        <f t="shared" si="64"/>
        <v/>
      </c>
      <c r="I506" s="477"/>
      <c r="K506" s="539"/>
      <c r="L506" s="542" t="s">
        <v>88</v>
      </c>
      <c r="M506" s="543" t="s">
        <v>85</v>
      </c>
      <c r="O506" s="468"/>
    </row>
    <row r="507" spans="1:17" x14ac:dyDescent="0.25">
      <c r="B507" s="493"/>
      <c r="C507" s="526"/>
      <c r="D507" s="620" t="s">
        <v>788</v>
      </c>
      <c r="E507" s="467"/>
      <c r="F507" s="495"/>
      <c r="G507" s="561" t="str">
        <f>IFERROR(VLOOKUP(D507,'Precios Equipos'!$C$1:$F$2047,3,0),"")</f>
        <v/>
      </c>
      <c r="H507" s="561" t="str">
        <f t="shared" si="64"/>
        <v/>
      </c>
      <c r="I507" s="477"/>
      <c r="K507" s="539"/>
      <c r="L507" s="544" t="str">
        <f>+'Precios Equipos'!C147</f>
        <v>M. DE OBRA (TIPO 7 y 8) MONTAJE AIRE ACONDICIONADO Y ACCESORIOS</v>
      </c>
      <c r="M507" s="545">
        <f>IFERROR(VLOOKUP(L507,'Precios Equipos'!$C$11:$F$208,3,0),0)</f>
        <v>2</v>
      </c>
      <c r="O507" s="468"/>
    </row>
    <row r="508" spans="1:17" x14ac:dyDescent="0.25">
      <c r="B508" s="493"/>
      <c r="C508" s="526">
        <v>3</v>
      </c>
      <c r="D508" s="494" t="str">
        <f>+'Precios Equipos'!C100</f>
        <v>Inversor Bidireccional 3 KVA</v>
      </c>
      <c r="E508" s="550" t="s">
        <v>575</v>
      </c>
      <c r="F508" s="497"/>
      <c r="G508" s="561">
        <f>IFERROR(VLOOKUP(D508,'Precios Equipos'!$C$1:$F$2047,3,0),"")</f>
        <v>21</v>
      </c>
      <c r="H508" s="561">
        <f t="shared" si="64"/>
        <v>63</v>
      </c>
      <c r="I508" s="1087">
        <f>SUM(H508:H518)</f>
        <v>1693</v>
      </c>
      <c r="J508" s="1088">
        <f>+I508/H525</f>
        <v>0.94633873672442703</v>
      </c>
      <c r="K508" s="539"/>
      <c r="L508" s="544" t="str">
        <f>+'Precios Equipos'!C205</f>
        <v>Diseño Ingenieria Tableros Autosoportados</v>
      </c>
      <c r="M508" s="545">
        <f>IFERROR(VLOOKUP(L508,'Precios Equipos'!$C$11:$F$208,3,0),0)</f>
        <v>63</v>
      </c>
      <c r="Q508" s="465">
        <f>+C508*$C$502</f>
        <v>3</v>
      </c>
    </row>
    <row r="509" spans="1:17" x14ac:dyDescent="0.25">
      <c r="B509" s="493"/>
      <c r="C509" s="526"/>
      <c r="D509" s="494"/>
      <c r="E509" s="550"/>
      <c r="F509" s="497"/>
      <c r="G509" s="561" t="str">
        <f>IFERROR(VLOOKUP(D509,'Precios Equipos'!$C$1:$F$2047,3,0),"")</f>
        <v/>
      </c>
      <c r="H509" s="561" t="str">
        <f t="shared" si="64"/>
        <v/>
      </c>
      <c r="I509" s="1087"/>
      <c r="J509" s="1088"/>
      <c r="K509" s="539"/>
      <c r="L509" s="922" t="str">
        <f>+'Precios Equipos'!$C$111</f>
        <v>SISTEMA DE BARRAS 08-10 POLOS</v>
      </c>
      <c r="M509" s="545">
        <f>IFERROR(VLOOKUP(L509,'Precios Equipos'!$C$11:$F$208,3,0),0)</f>
        <v>23</v>
      </c>
    </row>
    <row r="510" spans="1:17" ht="16.5" thickBot="1" x14ac:dyDescent="0.3">
      <c r="B510" s="493"/>
      <c r="C510" s="526"/>
      <c r="D510" s="620" t="s">
        <v>549</v>
      </c>
      <c r="E510" s="550"/>
      <c r="F510" s="497"/>
      <c r="G510" s="561" t="str">
        <f>IFERROR(VLOOKUP(D510,'Precios Equipos'!$C$1:$F$2047,3,0),"")</f>
        <v/>
      </c>
      <c r="H510" s="561" t="str">
        <f t="shared" si="64"/>
        <v/>
      </c>
      <c r="I510" s="1087"/>
      <c r="J510" s="1088"/>
      <c r="K510" s="539"/>
      <c r="L510" s="923" t="str">
        <f>+'Precios Equipos'!$C$133</f>
        <v>CABLEADO 2 DIFERENCIALES, 2P</v>
      </c>
      <c r="M510" s="545">
        <f>IFERROR(VLOOKUP(L510,'Precios Equipos'!$C$11:$F$208,3,0),0)</f>
        <v>4</v>
      </c>
    </row>
    <row r="511" spans="1:17" ht="16.5" thickBot="1" x14ac:dyDescent="0.3">
      <c r="B511" s="493"/>
      <c r="C511" s="526">
        <v>1</v>
      </c>
      <c r="D511" s="494" t="str">
        <f>+'Precios Equipos'!C88</f>
        <v>Centro de Control y Monitoreo de Microgridador de carga 450V/100A</v>
      </c>
      <c r="E511" s="550" t="s">
        <v>575</v>
      </c>
      <c r="F511" s="497"/>
      <c r="G511" s="561">
        <f>IFERROR(VLOOKUP(D511,'Precios Equipos'!$C$1:$F$2047,3,0),"")</f>
        <v>24</v>
      </c>
      <c r="H511" s="561">
        <f t="shared" si="64"/>
        <v>24</v>
      </c>
      <c r="I511" s="1087"/>
      <c r="J511" s="1088"/>
      <c r="K511" s="539"/>
      <c r="L511" s="546" t="s">
        <v>89</v>
      </c>
      <c r="M511" s="560">
        <f>SUM(M507:M510)</f>
        <v>92</v>
      </c>
      <c r="O511" s="468"/>
      <c r="Q511" s="465">
        <f>+C511*$C$502</f>
        <v>1</v>
      </c>
    </row>
    <row r="512" spans="1:17" x14ac:dyDescent="0.25">
      <c r="B512" s="493"/>
      <c r="C512" s="526"/>
      <c r="D512" s="494"/>
      <c r="F512" s="495"/>
      <c r="G512" s="561" t="str">
        <f>IFERROR(VLOOKUP(D512,'Precios Equipos'!$C$1:$F$2047,3,0),"")</f>
        <v/>
      </c>
      <c r="H512" s="561" t="str">
        <f t="shared" si="64"/>
        <v/>
      </c>
      <c r="I512" s="1087"/>
      <c r="J512" s="1088"/>
      <c r="K512" s="539"/>
      <c r="O512" s="468"/>
    </row>
    <row r="513" spans="2:17" x14ac:dyDescent="0.25">
      <c r="B513" s="493"/>
      <c r="C513" s="526"/>
      <c r="D513" s="620" t="s">
        <v>813</v>
      </c>
      <c r="F513" s="495"/>
      <c r="G513" s="561" t="str">
        <f>IFERROR(VLOOKUP(D513,'Precios Equipos'!$C$1:$F$2047,3,0),"")</f>
        <v/>
      </c>
      <c r="H513" s="561" t="str">
        <f t="shared" si="64"/>
        <v/>
      </c>
      <c r="I513" s="1087"/>
      <c r="J513" s="1088"/>
      <c r="K513" s="539"/>
      <c r="O513" s="468"/>
    </row>
    <row r="514" spans="2:17" x14ac:dyDescent="0.25">
      <c r="B514" s="493"/>
      <c r="C514" s="526">
        <v>2</v>
      </c>
      <c r="D514" s="494" t="str">
        <f>+'Precios Equipos'!$C$92</f>
        <v>Aire Acondicionado 500W</v>
      </c>
      <c r="F514" s="495"/>
      <c r="G514" s="561">
        <f>IFERROR(VLOOKUP(D514,'Precios Equipos'!$C$1:$F$2047,3,0),"")</f>
        <v>16</v>
      </c>
      <c r="H514" s="561">
        <f t="shared" si="64"/>
        <v>32</v>
      </c>
      <c r="I514" s="1087"/>
      <c r="J514" s="1088"/>
      <c r="K514" s="539"/>
      <c r="O514" s="468"/>
      <c r="Q514" s="465">
        <f>+C514*$C$502</f>
        <v>2</v>
      </c>
    </row>
    <row r="515" spans="2:17" x14ac:dyDescent="0.25">
      <c r="B515" s="493"/>
      <c r="C515" s="526"/>
      <c r="D515" s="494"/>
      <c r="F515" s="495"/>
      <c r="G515" s="561" t="str">
        <f>IFERROR(VLOOKUP(D515,'Precios Equipos'!$C$1:$F$2047,3,0),"")</f>
        <v/>
      </c>
      <c r="H515" s="561" t="str">
        <f t="shared" ref="H515:H520" si="65">IFERROR(G515*C515,"")</f>
        <v/>
      </c>
      <c r="I515" s="1087"/>
      <c r="J515" s="1088"/>
      <c r="K515" s="539"/>
      <c r="O515" s="468"/>
    </row>
    <row r="516" spans="2:17" x14ac:dyDescent="0.25">
      <c r="B516" s="493"/>
      <c r="C516" s="526"/>
      <c r="D516" s="620" t="s">
        <v>819</v>
      </c>
      <c r="F516" s="495"/>
      <c r="G516" s="561" t="str">
        <f>IFERROR(VLOOKUP(D516,'Precios Equipos'!$C$1:$F$2047,3,0),"")</f>
        <v/>
      </c>
      <c r="H516" s="561" t="str">
        <f t="shared" si="65"/>
        <v/>
      </c>
      <c r="I516" s="1087"/>
      <c r="J516" s="1088"/>
      <c r="K516" s="539"/>
      <c r="O516" s="468"/>
    </row>
    <row r="517" spans="2:17" x14ac:dyDescent="0.25">
      <c r="B517" s="493"/>
      <c r="C517" s="526">
        <v>2</v>
      </c>
      <c r="D517" s="468" t="str">
        <f>+'Precios Equipos'!$C$55</f>
        <v>Interruptor Riel Din 2x25A. S202M 20kA en 250VDC, ABB</v>
      </c>
      <c r="F517" s="495"/>
      <c r="G517" s="561">
        <f>IFERROR(VLOOKUP(D517,'Precios Equipos'!$C$1:$F$2047,3,0),"")</f>
        <v>382</v>
      </c>
      <c r="H517" s="561">
        <f t="shared" si="65"/>
        <v>764</v>
      </c>
      <c r="I517" s="1087"/>
      <c r="J517" s="1088"/>
      <c r="K517" s="539"/>
      <c r="O517" s="468"/>
      <c r="Q517" s="465">
        <f>+C517*$C$502</f>
        <v>2</v>
      </c>
    </row>
    <row r="518" spans="2:17" x14ac:dyDescent="0.25">
      <c r="B518" s="493"/>
      <c r="C518" s="526">
        <v>2</v>
      </c>
      <c r="D518" s="468" t="str">
        <f>+'Precios Equipos'!$C$60</f>
        <v>Protector de sobretension SPD DC 2P, 1000V DC, CLAMPER/DC SURGE PROTECCION</v>
      </c>
      <c r="F518" s="495"/>
      <c r="G518" s="561">
        <f>IFERROR(VLOOKUP(D518,'Precios Equipos'!$C$1:$F$2047,3,0),"")</f>
        <v>405</v>
      </c>
      <c r="H518" s="561">
        <f t="shared" si="65"/>
        <v>810</v>
      </c>
      <c r="I518" s="1087"/>
      <c r="J518" s="1088"/>
      <c r="K518" s="539"/>
      <c r="O518" s="468"/>
      <c r="Q518" s="465">
        <f>+C518*$C$502</f>
        <v>2</v>
      </c>
    </row>
    <row r="519" spans="2:17" x14ac:dyDescent="0.25">
      <c r="B519" s="493"/>
      <c r="C519" s="526"/>
      <c r="D519" s="494"/>
      <c r="F519" s="495"/>
      <c r="G519" s="561" t="str">
        <f>IFERROR(VLOOKUP(D519,'Precios Equipos'!$C$1:$F$2047,3,0),"")</f>
        <v/>
      </c>
      <c r="H519" s="561" t="str">
        <f t="shared" si="65"/>
        <v/>
      </c>
      <c r="I519" s="477"/>
      <c r="K519" s="539"/>
      <c r="O519" s="468"/>
    </row>
    <row r="520" spans="2:17" x14ac:dyDescent="0.25">
      <c r="B520" s="493"/>
      <c r="C520" s="526"/>
      <c r="D520" s="620" t="s">
        <v>87</v>
      </c>
      <c r="F520" s="495"/>
      <c r="G520" s="561" t="str">
        <f>IFERROR(VLOOKUP(D520,'Precios Equipos'!$C$1:$F$2047,3,0),"")</f>
        <v/>
      </c>
      <c r="H520" s="561" t="str">
        <f t="shared" si="65"/>
        <v/>
      </c>
      <c r="I520" s="477"/>
      <c r="K520" s="539"/>
      <c r="O520" s="468"/>
    </row>
    <row r="521" spans="2:17" x14ac:dyDescent="0.25">
      <c r="B521" s="493"/>
      <c r="C521" s="526">
        <v>1</v>
      </c>
      <c r="D521" s="494" t="s">
        <v>54</v>
      </c>
      <c r="F521" s="495"/>
      <c r="G521" s="561" t="str">
        <f>IFERROR(VLOOKUP(D521,'Precios Equipos'!$C$1:$F$2047,3,0),"")</f>
        <v/>
      </c>
      <c r="H521" s="561" t="str">
        <f t="shared" si="64"/>
        <v/>
      </c>
      <c r="I521" s="477"/>
      <c r="K521" s="539"/>
      <c r="O521" s="468"/>
    </row>
    <row r="522" spans="2:17" x14ac:dyDescent="0.25">
      <c r="B522" s="493"/>
      <c r="C522" s="526">
        <v>1</v>
      </c>
      <c r="D522" s="494" t="s">
        <v>55</v>
      </c>
      <c r="F522" s="495"/>
      <c r="G522" s="479"/>
      <c r="H522" s="561">
        <f>M511</f>
        <v>92</v>
      </c>
      <c r="I522" s="561">
        <f>+H522</f>
        <v>92</v>
      </c>
      <c r="J522" s="924">
        <f>+I522/H525</f>
        <v>5.1425377305757407E-2</v>
      </c>
      <c r="K522" s="539"/>
      <c r="O522" s="468"/>
    </row>
    <row r="523" spans="2:17" x14ac:dyDescent="0.25">
      <c r="B523" s="493"/>
      <c r="C523" s="526">
        <v>1</v>
      </c>
      <c r="D523" s="494" t="s">
        <v>96</v>
      </c>
      <c r="F523" s="495"/>
      <c r="G523" s="479"/>
      <c r="H523" s="561"/>
      <c r="I523" s="539"/>
      <c r="J523" s="974"/>
      <c r="K523" s="539"/>
      <c r="O523" s="468"/>
    </row>
    <row r="524" spans="2:17" x14ac:dyDescent="0.25">
      <c r="B524" s="493"/>
      <c r="C524" s="526">
        <v>1</v>
      </c>
      <c r="D524" s="467" t="s">
        <v>20</v>
      </c>
      <c r="F524" s="495"/>
      <c r="G524" s="479"/>
      <c r="H524" s="561"/>
      <c r="I524" s="539"/>
      <c r="J524" s="974"/>
      <c r="K524" s="539"/>
      <c r="O524" s="468"/>
    </row>
    <row r="525" spans="2:17" x14ac:dyDescent="0.25">
      <c r="B525" s="493"/>
      <c r="C525" s="526">
        <v>1</v>
      </c>
      <c r="D525" s="467" t="s">
        <v>58</v>
      </c>
      <c r="F525" s="495"/>
      <c r="G525" s="553" t="s">
        <v>97</v>
      </c>
      <c r="H525" s="561">
        <f>SUM(H504:H524)</f>
        <v>1789</v>
      </c>
      <c r="I525" s="477"/>
      <c r="K525" s="539"/>
      <c r="O525" s="468"/>
    </row>
    <row r="526" spans="2:17" x14ac:dyDescent="0.25">
      <c r="B526" s="493"/>
      <c r="C526" s="526">
        <v>1</v>
      </c>
      <c r="D526" s="467" t="s">
        <v>900</v>
      </c>
      <c r="F526" s="495"/>
      <c r="G526" s="553" t="s">
        <v>105</v>
      </c>
      <c r="H526" s="561">
        <f>H525*$M$152</f>
        <v>357.8</v>
      </c>
      <c r="I526" s="477"/>
      <c r="K526" s="539"/>
      <c r="O526" s="468"/>
    </row>
    <row r="527" spans="2:17" x14ac:dyDescent="0.25">
      <c r="B527" s="521"/>
      <c r="C527" s="527" t="s">
        <v>17</v>
      </c>
      <c r="D527" s="522" t="s">
        <v>48</v>
      </c>
      <c r="E527" s="523"/>
      <c r="F527" s="524"/>
      <c r="G527" s="553" t="s">
        <v>452</v>
      </c>
      <c r="H527" s="561">
        <f>SUM(H525+H526)</f>
        <v>2146.8000000000002</v>
      </c>
      <c r="I527" s="477"/>
      <c r="J527" s="924">
        <f>SUM(J503:J525)</f>
        <v>0.99999999999999989</v>
      </c>
      <c r="K527" s="539"/>
      <c r="O527" s="468"/>
    </row>
    <row r="528" spans="2:17" x14ac:dyDescent="0.25">
      <c r="G528" s="477"/>
      <c r="H528" s="477"/>
      <c r="I528" s="477"/>
      <c r="K528" s="539"/>
      <c r="O528" s="468"/>
    </row>
    <row r="529" spans="1:17" x14ac:dyDescent="0.25">
      <c r="B529" s="514" t="s">
        <v>6</v>
      </c>
      <c r="C529" s="515" t="s">
        <v>0</v>
      </c>
      <c r="D529" s="556" t="s">
        <v>8</v>
      </c>
      <c r="E529" s="597" t="s">
        <v>4</v>
      </c>
      <c r="F529" s="516" t="s">
        <v>3</v>
      </c>
      <c r="G529" s="477"/>
      <c r="H529" s="477"/>
      <c r="I529" s="477"/>
      <c r="K529" s="539"/>
      <c r="O529" s="468"/>
    </row>
    <row r="530" spans="1:17" x14ac:dyDescent="0.25">
      <c r="A530" s="463">
        <v>149</v>
      </c>
      <c r="B530" s="1077">
        <f>B44</f>
        <v>3.0899999999999981</v>
      </c>
      <c r="C530" s="1077">
        <f>C44</f>
        <v>3</v>
      </c>
      <c r="D530" s="1091" t="str">
        <f>D44</f>
        <v>TABLEROS DE POTENCIA TIPO 09 (incluye aire acondicionado)</v>
      </c>
      <c r="E530" s="517">
        <f>H556</f>
        <v>3139.2</v>
      </c>
      <c r="F530" s="518">
        <f>+E530*C530</f>
        <v>9417.5999999999985</v>
      </c>
      <c r="G530" s="553" t="s">
        <v>450</v>
      </c>
      <c r="H530" s="553" t="s">
        <v>1</v>
      </c>
      <c r="I530" s="477"/>
      <c r="K530" s="539"/>
      <c r="O530" s="468"/>
    </row>
    <row r="531" spans="1:17" x14ac:dyDescent="0.25">
      <c r="B531" s="1078"/>
      <c r="C531" s="1078"/>
      <c r="D531" s="1092"/>
      <c r="E531" s="519" t="s">
        <v>50</v>
      </c>
      <c r="F531" s="520" t="s">
        <v>50</v>
      </c>
      <c r="G531" s="553" t="s">
        <v>50</v>
      </c>
      <c r="H531" s="553" t="s">
        <v>50</v>
      </c>
      <c r="I531" s="477"/>
      <c r="K531" s="539"/>
      <c r="O531" s="468"/>
    </row>
    <row r="532" spans="1:17" ht="16.5" thickBot="1" x14ac:dyDescent="0.3">
      <c r="B532" s="490"/>
      <c r="C532" s="526"/>
      <c r="D532" s="463"/>
      <c r="E532" s="491"/>
      <c r="F532" s="492"/>
      <c r="G532" s="561" t="str">
        <f>IFERROR(VLOOKUP(D532,'Precios Equipos'!$C$1:$F$2047,3,0),"")</f>
        <v/>
      </c>
      <c r="H532" s="561" t="str">
        <f t="shared" ref="H532:H549" si="66">IFERROR(G532*C532,"")</f>
        <v/>
      </c>
      <c r="I532" s="477"/>
      <c r="K532" s="539"/>
      <c r="O532" s="468"/>
    </row>
    <row r="533" spans="1:17" ht="16.5" thickBot="1" x14ac:dyDescent="0.3">
      <c r="B533" s="493"/>
      <c r="C533" s="526">
        <v>1</v>
      </c>
      <c r="D533" s="500" t="str">
        <f>+'Precios Equipos'!C196</f>
        <v>Gabinete Autosoportado 2200x1200(2 Puertas)x700mm. (Alto x ancho x profundidad)</v>
      </c>
      <c r="F533" s="495"/>
      <c r="G533" s="561">
        <f>IFERROR(VLOOKUP(D533,'Precios Equipos'!$C$1:$F$2047,3,0),"")</f>
        <v>20</v>
      </c>
      <c r="H533" s="561">
        <f t="shared" si="66"/>
        <v>20</v>
      </c>
      <c r="I533" s="561">
        <f>+H533</f>
        <v>20</v>
      </c>
      <c r="J533" s="924">
        <f>+I533/H554</f>
        <v>7.6452599388379203E-3</v>
      </c>
      <c r="K533" s="539"/>
      <c r="L533" s="540" t="s">
        <v>451</v>
      </c>
      <c r="M533" s="541"/>
      <c r="O533" s="468"/>
      <c r="Q533" s="465">
        <f>+C533*$C$530</f>
        <v>3</v>
      </c>
    </row>
    <row r="534" spans="1:17" ht="16.5" thickBot="1" x14ac:dyDescent="0.3">
      <c r="B534" s="493"/>
      <c r="C534" s="526"/>
      <c r="D534" s="494"/>
      <c r="F534" s="495"/>
      <c r="G534" s="561" t="str">
        <f>IFERROR(VLOOKUP(D534,'Precios Equipos'!$C$1:$F$2047,3,0),"")</f>
        <v/>
      </c>
      <c r="H534" s="561" t="str">
        <f t="shared" si="66"/>
        <v/>
      </c>
      <c r="I534" s="477"/>
      <c r="K534" s="539"/>
      <c r="L534" s="542" t="s">
        <v>88</v>
      </c>
      <c r="M534" s="543" t="s">
        <v>85</v>
      </c>
    </row>
    <row r="535" spans="1:17" x14ac:dyDescent="0.25">
      <c r="B535" s="493"/>
      <c r="C535" s="526"/>
      <c r="D535" s="620" t="s">
        <v>788</v>
      </c>
      <c r="E535" s="467"/>
      <c r="F535" s="495"/>
      <c r="G535" s="561" t="str">
        <f>IFERROR(VLOOKUP(D535,'Precios Equipos'!$C$1:$F$2047,3,0),"")</f>
        <v/>
      </c>
      <c r="H535" s="561" t="str">
        <f t="shared" si="66"/>
        <v/>
      </c>
      <c r="I535" s="477"/>
      <c r="K535" s="539"/>
      <c r="L535" s="544" t="str">
        <f>+'Precios Equipos'!C148</f>
        <v>M. DE OBRA (TIPO 9 y 14) MONTAJE AIRE ACONDICIONADO Y ACCESORIOS</v>
      </c>
      <c r="M535" s="545">
        <f>IFERROR(VLOOKUP(L535,'Precios Equipos'!$C$11:$F$208,3,0),0)</f>
        <v>17</v>
      </c>
    </row>
    <row r="536" spans="1:17" x14ac:dyDescent="0.25">
      <c r="B536" s="493"/>
      <c r="C536" s="526">
        <v>3</v>
      </c>
      <c r="D536" s="494" t="str">
        <f>+'Precios Equipos'!C100</f>
        <v>Inversor Bidireccional 3 KVA</v>
      </c>
      <c r="E536" s="550" t="s">
        <v>575</v>
      </c>
      <c r="F536" s="495"/>
      <c r="G536" s="561">
        <f>IFERROR(VLOOKUP(D536,'Precios Equipos'!$C$1:$F$2047,3,0),"")</f>
        <v>21</v>
      </c>
      <c r="H536" s="561">
        <f t="shared" si="66"/>
        <v>63</v>
      </c>
      <c r="I536" s="1087">
        <f>SUM(H536:H546)</f>
        <v>2490</v>
      </c>
      <c r="J536" s="1088">
        <f>+I536/H554</f>
        <v>0.95183486238532111</v>
      </c>
      <c r="K536" s="539"/>
      <c r="L536" s="544" t="str">
        <f>+'Precios Equipos'!C205</f>
        <v>Diseño Ingenieria Tableros Autosoportados</v>
      </c>
      <c r="M536" s="545">
        <f>IFERROR(VLOOKUP(L536,'Precios Equipos'!$C$11:$F$208,3,0),0)</f>
        <v>63</v>
      </c>
      <c r="Q536" s="465">
        <f>+C536*$C$530</f>
        <v>9</v>
      </c>
    </row>
    <row r="537" spans="1:17" x14ac:dyDescent="0.25">
      <c r="B537" s="493"/>
      <c r="C537" s="526"/>
      <c r="D537" s="494"/>
      <c r="E537" s="550"/>
      <c r="F537" s="495"/>
      <c r="G537" s="561" t="str">
        <f>IFERROR(VLOOKUP(D537,'Precios Equipos'!$C$1:$F$2047,3,0),"")</f>
        <v/>
      </c>
      <c r="H537" s="561" t="str">
        <f t="shared" si="66"/>
        <v/>
      </c>
      <c r="I537" s="1087"/>
      <c r="J537" s="1088"/>
      <c r="K537" s="539"/>
      <c r="L537" s="922" t="str">
        <f>+'Precios Equipos'!$C$111</f>
        <v>SISTEMA DE BARRAS 08-10 POLOS</v>
      </c>
      <c r="M537" s="545">
        <f>IFERROR(VLOOKUP(L537,'Precios Equipos'!$C$11:$F$208,3,0),0)</f>
        <v>23</v>
      </c>
      <c r="O537" s="468"/>
    </row>
    <row r="538" spans="1:17" ht="16.5" thickBot="1" x14ac:dyDescent="0.3">
      <c r="B538" s="493"/>
      <c r="C538" s="526"/>
      <c r="D538" s="620" t="s">
        <v>549</v>
      </c>
      <c r="E538" s="550"/>
      <c r="F538" s="495"/>
      <c r="G538" s="561" t="str">
        <f>IFERROR(VLOOKUP(D538,'Precios Equipos'!$C$1:$F$2047,3,0),"")</f>
        <v/>
      </c>
      <c r="H538" s="561" t="str">
        <f t="shared" si="66"/>
        <v/>
      </c>
      <c r="I538" s="1087"/>
      <c r="J538" s="1088"/>
      <c r="K538" s="539"/>
      <c r="L538" s="923" t="str">
        <f>+'Precios Equipos'!C134</f>
        <v>CABLEADO 3 DIFERENCIALES, 2P</v>
      </c>
      <c r="M538" s="545">
        <f>IFERROR(VLOOKUP(L538,'Precios Equipos'!$C$11:$F$208,3,0),0)</f>
        <v>3</v>
      </c>
      <c r="O538" s="468"/>
    </row>
    <row r="539" spans="1:17" ht="16.5" thickBot="1" x14ac:dyDescent="0.3">
      <c r="B539" s="493"/>
      <c r="C539" s="526">
        <v>1</v>
      </c>
      <c r="D539" s="494" t="str">
        <f>+'Precios Equipos'!C89</f>
        <v>Centro de Control y Monitoreo de Microgridador de carga 450V/200A</v>
      </c>
      <c r="E539" s="550" t="s">
        <v>575</v>
      </c>
      <c r="F539" s="495"/>
      <c r="G539" s="561">
        <f>IFERROR(VLOOKUP(D539,'Precios Equipos'!$C$1:$F$2047,3,0),"")</f>
        <v>34</v>
      </c>
      <c r="H539" s="561">
        <f t="shared" si="66"/>
        <v>34</v>
      </c>
      <c r="I539" s="1087"/>
      <c r="J539" s="1088"/>
      <c r="K539" s="539"/>
      <c r="L539" s="546" t="s">
        <v>89</v>
      </c>
      <c r="M539" s="560">
        <f>SUM(M535:M538)</f>
        <v>106</v>
      </c>
      <c r="O539" s="468"/>
      <c r="Q539" s="465">
        <f>+C539*$C$530</f>
        <v>3</v>
      </c>
    </row>
    <row r="540" spans="1:17" x14ac:dyDescent="0.25">
      <c r="B540" s="493"/>
      <c r="C540" s="526"/>
      <c r="D540" s="494"/>
      <c r="F540" s="495"/>
      <c r="G540" s="561" t="str">
        <f>IFERROR(VLOOKUP(D540,'Precios Equipos'!$C$1:$F$2047,3,0),"")</f>
        <v/>
      </c>
      <c r="H540" s="561" t="str">
        <f t="shared" si="66"/>
        <v/>
      </c>
      <c r="I540" s="1087"/>
      <c r="J540" s="1088"/>
      <c r="K540" s="539"/>
    </row>
    <row r="541" spans="1:17" x14ac:dyDescent="0.25">
      <c r="B541" s="493"/>
      <c r="C541" s="526"/>
      <c r="D541" s="620" t="s">
        <v>813</v>
      </c>
      <c r="F541" s="495"/>
      <c r="G541" s="561" t="str">
        <f>IFERROR(VLOOKUP(D541,'Precios Equipos'!$C$1:$F$2047,3,0),"")</f>
        <v/>
      </c>
      <c r="H541" s="561" t="str">
        <f t="shared" si="66"/>
        <v/>
      </c>
      <c r="I541" s="1087"/>
      <c r="J541" s="1088"/>
      <c r="K541" s="539"/>
    </row>
    <row r="542" spans="1:17" x14ac:dyDescent="0.25">
      <c r="B542" s="493"/>
      <c r="C542" s="526">
        <v>2</v>
      </c>
      <c r="D542" s="494" t="str">
        <f>+'Precios Equipos'!$C$92</f>
        <v>Aire Acondicionado 500W</v>
      </c>
      <c r="F542" s="495"/>
      <c r="G542" s="561">
        <f>IFERROR(VLOOKUP(D542,'Precios Equipos'!$C$1:$F$2047,3,0),"")</f>
        <v>16</v>
      </c>
      <c r="H542" s="561">
        <f t="shared" si="66"/>
        <v>32</v>
      </c>
      <c r="I542" s="1087"/>
      <c r="J542" s="1088"/>
      <c r="K542" s="539"/>
      <c r="Q542" s="465">
        <f>+C542*$C$530</f>
        <v>6</v>
      </c>
    </row>
    <row r="543" spans="1:17" x14ac:dyDescent="0.25">
      <c r="B543" s="493"/>
      <c r="C543" s="526"/>
      <c r="D543" s="494"/>
      <c r="F543" s="495"/>
      <c r="G543" s="561" t="str">
        <f>IFERROR(VLOOKUP(D543,'Precios Equipos'!$C$1:$F$2047,3,0),"")</f>
        <v/>
      </c>
      <c r="H543" s="561" t="str">
        <f t="shared" ref="H543:H548" si="67">IFERROR(G543*C543,"")</f>
        <v/>
      </c>
      <c r="I543" s="1087"/>
      <c r="J543" s="1088"/>
      <c r="K543" s="539"/>
    </row>
    <row r="544" spans="1:17" x14ac:dyDescent="0.25">
      <c r="B544" s="493"/>
      <c r="C544" s="526"/>
      <c r="D544" s="620" t="s">
        <v>819</v>
      </c>
      <c r="F544" s="495"/>
      <c r="G544" s="561" t="str">
        <f>IFERROR(VLOOKUP(D544,'Precios Equipos'!$C$1:$F$2047,3,0),"")</f>
        <v/>
      </c>
      <c r="H544" s="561" t="str">
        <f t="shared" si="67"/>
        <v/>
      </c>
      <c r="I544" s="1087"/>
      <c r="J544" s="1088"/>
      <c r="K544" s="539"/>
    </row>
    <row r="545" spans="1:17" x14ac:dyDescent="0.25">
      <c r="B545" s="493"/>
      <c r="C545" s="526">
        <v>3</v>
      </c>
      <c r="D545" s="468" t="str">
        <f>+'Precios Equipos'!$C$55</f>
        <v>Interruptor Riel Din 2x25A. S202M 20kA en 250VDC, ABB</v>
      </c>
      <c r="F545" s="495"/>
      <c r="G545" s="561">
        <f>IFERROR(VLOOKUP(D545,'Precios Equipos'!$C$1:$F$2047,3,0),"")</f>
        <v>382</v>
      </c>
      <c r="H545" s="561">
        <f t="shared" si="67"/>
        <v>1146</v>
      </c>
      <c r="I545" s="1087"/>
      <c r="J545" s="1088"/>
      <c r="K545" s="539"/>
      <c r="Q545" s="465">
        <f>+C545*$C$530</f>
        <v>9</v>
      </c>
    </row>
    <row r="546" spans="1:17" x14ac:dyDescent="0.25">
      <c r="B546" s="493"/>
      <c r="C546" s="526">
        <v>3</v>
      </c>
      <c r="D546" s="468" t="str">
        <f>+'Precios Equipos'!$C$60</f>
        <v>Protector de sobretension SPD DC 2P, 1000V DC, CLAMPER/DC SURGE PROTECCION</v>
      </c>
      <c r="F546" s="495"/>
      <c r="G546" s="561">
        <f>IFERROR(VLOOKUP(D546,'Precios Equipos'!$C$1:$F$2047,3,0),"")</f>
        <v>405</v>
      </c>
      <c r="H546" s="561">
        <f t="shared" si="67"/>
        <v>1215</v>
      </c>
      <c r="I546" s="1087"/>
      <c r="J546" s="1088"/>
      <c r="K546" s="539"/>
      <c r="Q546" s="465">
        <f>+C546*$C$530</f>
        <v>9</v>
      </c>
    </row>
    <row r="547" spans="1:17" x14ac:dyDescent="0.25">
      <c r="B547" s="493"/>
      <c r="C547" s="526"/>
      <c r="D547" s="494"/>
      <c r="F547" s="495"/>
      <c r="G547" s="561" t="str">
        <f>IFERROR(VLOOKUP(D547,'Precios Equipos'!$C$1:$F$2047,3,0),"")</f>
        <v/>
      </c>
      <c r="H547" s="561" t="str">
        <f t="shared" si="67"/>
        <v/>
      </c>
      <c r="I547" s="477"/>
      <c r="K547" s="539"/>
    </row>
    <row r="548" spans="1:17" x14ac:dyDescent="0.25">
      <c r="B548" s="493"/>
      <c r="C548" s="526"/>
      <c r="D548" s="620" t="s">
        <v>87</v>
      </c>
      <c r="F548" s="495"/>
      <c r="G548" s="561" t="str">
        <f>IFERROR(VLOOKUP(D548,'Precios Equipos'!$C$1:$F$2047,3,0),"")</f>
        <v/>
      </c>
      <c r="H548" s="561" t="str">
        <f t="shared" si="67"/>
        <v/>
      </c>
      <c r="I548" s="477"/>
      <c r="K548" s="539"/>
      <c r="O548" s="468"/>
    </row>
    <row r="549" spans="1:17" x14ac:dyDescent="0.25">
      <c r="B549" s="493"/>
      <c r="C549" s="526">
        <v>1</v>
      </c>
      <c r="D549" s="494" t="s">
        <v>54</v>
      </c>
      <c r="F549" s="495"/>
      <c r="G549" s="561" t="str">
        <f>IFERROR(VLOOKUP(D549,'Precios Equipos'!$C$1:$F$2047,3,0),"")</f>
        <v/>
      </c>
      <c r="H549" s="561" t="str">
        <f t="shared" si="66"/>
        <v/>
      </c>
      <c r="I549" s="477"/>
      <c r="K549" s="539"/>
      <c r="O549" s="468"/>
    </row>
    <row r="550" spans="1:17" x14ac:dyDescent="0.25">
      <c r="B550" s="493"/>
      <c r="C550" s="526">
        <v>1</v>
      </c>
      <c r="D550" s="494" t="s">
        <v>49</v>
      </c>
      <c r="F550" s="495"/>
      <c r="G550" s="479"/>
      <c r="H550" s="577">
        <f>M539</f>
        <v>106</v>
      </c>
      <c r="I550" s="561">
        <f>+H550</f>
        <v>106</v>
      </c>
      <c r="J550" s="924">
        <f>+I550/H554</f>
        <v>4.0519877675840976E-2</v>
      </c>
      <c r="K550" s="539"/>
      <c r="O550" s="468"/>
    </row>
    <row r="551" spans="1:17" x14ac:dyDescent="0.25">
      <c r="B551" s="493"/>
      <c r="C551" s="526">
        <v>1</v>
      </c>
      <c r="D551" s="494" t="s">
        <v>56</v>
      </c>
      <c r="F551" s="495"/>
      <c r="G551" s="479"/>
      <c r="H551" s="577"/>
      <c r="I551" s="539"/>
      <c r="J551" s="974"/>
      <c r="K551" s="539"/>
      <c r="O551" s="468"/>
    </row>
    <row r="552" spans="1:17" x14ac:dyDescent="0.25">
      <c r="B552" s="493"/>
      <c r="C552" s="526">
        <v>1</v>
      </c>
      <c r="D552" s="494" t="s">
        <v>57</v>
      </c>
      <c r="F552" s="495"/>
      <c r="G552" s="479"/>
      <c r="H552" s="561"/>
      <c r="I552" s="539"/>
      <c r="J552" s="974"/>
      <c r="K552" s="539"/>
      <c r="O552" s="468"/>
    </row>
    <row r="553" spans="1:17" x14ac:dyDescent="0.25">
      <c r="B553" s="493"/>
      <c r="C553" s="526">
        <v>1</v>
      </c>
      <c r="D553" s="467" t="s">
        <v>20</v>
      </c>
      <c r="F553" s="495"/>
      <c r="G553" s="479"/>
      <c r="H553" s="479"/>
      <c r="I553" s="477"/>
      <c r="K553" s="539"/>
      <c r="O553" s="468"/>
    </row>
    <row r="554" spans="1:17" x14ac:dyDescent="0.25">
      <c r="B554" s="493"/>
      <c r="C554" s="526">
        <v>1</v>
      </c>
      <c r="D554" s="467" t="s">
        <v>52</v>
      </c>
      <c r="F554" s="495"/>
      <c r="G554" s="553" t="s">
        <v>97</v>
      </c>
      <c r="H554" s="561">
        <f>SUM(H533:H552)</f>
        <v>2616</v>
      </c>
      <c r="I554" s="477"/>
      <c r="K554" s="539"/>
      <c r="O554" s="468"/>
    </row>
    <row r="555" spans="1:17" x14ac:dyDescent="0.25">
      <c r="B555" s="493"/>
      <c r="C555" s="526">
        <v>1</v>
      </c>
      <c r="D555" s="467" t="s">
        <v>900</v>
      </c>
      <c r="F555" s="495"/>
      <c r="G555" s="553" t="s">
        <v>105</v>
      </c>
      <c r="H555" s="561">
        <f>H554*$M$152</f>
        <v>523.20000000000005</v>
      </c>
      <c r="I555" s="477"/>
      <c r="K555" s="539"/>
      <c r="O555" s="468"/>
    </row>
    <row r="556" spans="1:17" x14ac:dyDescent="0.25">
      <c r="B556" s="521"/>
      <c r="C556" s="527" t="s">
        <v>17</v>
      </c>
      <c r="D556" s="522" t="s">
        <v>48</v>
      </c>
      <c r="E556" s="523"/>
      <c r="F556" s="524"/>
      <c r="G556" s="553" t="s">
        <v>452</v>
      </c>
      <c r="H556" s="561">
        <f>H554+H555</f>
        <v>3139.2</v>
      </c>
      <c r="I556" s="477"/>
      <c r="J556" s="924">
        <f>SUM(J533:J553)</f>
        <v>1</v>
      </c>
      <c r="K556" s="539"/>
      <c r="O556" s="468"/>
    </row>
    <row r="557" spans="1:17" x14ac:dyDescent="0.25">
      <c r="G557" s="477"/>
      <c r="H557" s="477"/>
      <c r="I557" s="477"/>
      <c r="K557" s="539"/>
      <c r="O557" s="468"/>
    </row>
    <row r="558" spans="1:17" x14ac:dyDescent="0.25">
      <c r="B558" s="514" t="s">
        <v>6</v>
      </c>
      <c r="C558" s="515" t="s">
        <v>0</v>
      </c>
      <c r="D558" s="555" t="s">
        <v>8</v>
      </c>
      <c r="E558" s="516" t="s">
        <v>4</v>
      </c>
      <c r="F558" s="516" t="s">
        <v>3</v>
      </c>
      <c r="G558" s="477"/>
      <c r="H558" s="477"/>
      <c r="I558" s="477"/>
      <c r="K558" s="539"/>
    </row>
    <row r="559" spans="1:17" x14ac:dyDescent="0.25">
      <c r="A559" s="463">
        <v>148</v>
      </c>
      <c r="B559" s="1098">
        <f>B45</f>
        <v>3.0999999999999979</v>
      </c>
      <c r="C559" s="1077">
        <f>C45</f>
        <v>1</v>
      </c>
      <c r="D559" s="1098" t="str">
        <f>D45</f>
        <v>TABLEROS DE POTENCIA TIPO 09.1 (incluye aire acondicionado)</v>
      </c>
      <c r="E559" s="518">
        <f>H584</f>
        <v>3139.2</v>
      </c>
      <c r="F559" s="518">
        <f>+E559*C559</f>
        <v>3139.2</v>
      </c>
      <c r="G559" s="553" t="s">
        <v>450</v>
      </c>
      <c r="H559" s="553" t="s">
        <v>1</v>
      </c>
      <c r="I559" s="477"/>
      <c r="K559" s="539"/>
    </row>
    <row r="560" spans="1:17" x14ac:dyDescent="0.25">
      <c r="B560" s="1078"/>
      <c r="C560" s="1078"/>
      <c r="D560" s="1078"/>
      <c r="E560" s="520" t="s">
        <v>50</v>
      </c>
      <c r="F560" s="520" t="s">
        <v>50</v>
      </c>
      <c r="G560" s="553" t="s">
        <v>50</v>
      </c>
      <c r="H560" s="553" t="s">
        <v>50</v>
      </c>
      <c r="I560" s="477"/>
      <c r="K560" s="539"/>
    </row>
    <row r="561" spans="2:17" x14ac:dyDescent="0.25">
      <c r="B561" s="490"/>
      <c r="C561" s="526"/>
      <c r="D561" s="463"/>
      <c r="E561" s="491"/>
      <c r="F561" s="492"/>
      <c r="G561" s="561" t="str">
        <f>IFERROR(VLOOKUP(D561,'Precios Equipos'!$C$1:$F$2047,3,0),"")</f>
        <v/>
      </c>
      <c r="H561" s="561" t="str">
        <f t="shared" ref="H561:H578" si="68">IFERROR(G561*C561,"")</f>
        <v/>
      </c>
      <c r="I561" s="477"/>
      <c r="K561" s="539"/>
    </row>
    <row r="562" spans="2:17" ht="16.5" thickBot="1" x14ac:dyDescent="0.3">
      <c r="B562" s="493"/>
      <c r="C562" s="526">
        <v>1</v>
      </c>
      <c r="D562" s="500" t="str">
        <f>+'Precios Equipos'!C$196</f>
        <v>Gabinete Autosoportado 2200x1200(2 Puertas)x700mm. (Alto x ancho x profundidad)</v>
      </c>
      <c r="F562" s="495"/>
      <c r="G562" s="561">
        <f>IFERROR(VLOOKUP(D562,'Precios Equipos'!$C$1:$F$2047,3,0),"")</f>
        <v>20</v>
      </c>
      <c r="H562" s="561">
        <f t="shared" si="68"/>
        <v>20</v>
      </c>
      <c r="I562" s="561">
        <f>+H562</f>
        <v>20</v>
      </c>
      <c r="J562" s="924">
        <f>+I562/H582</f>
        <v>7.6452599388379203E-3</v>
      </c>
      <c r="K562" s="539"/>
      <c r="Q562" s="465">
        <f>+C562*$C$559</f>
        <v>1</v>
      </c>
    </row>
    <row r="563" spans="2:17" ht="16.5" thickBot="1" x14ac:dyDescent="0.3">
      <c r="B563" s="493"/>
      <c r="C563" s="526"/>
      <c r="D563" s="494"/>
      <c r="F563" s="495"/>
      <c r="G563" s="561" t="str">
        <f>IFERROR(VLOOKUP(D563,'Precios Equipos'!$C$1:$F$2047,3,0),"")</f>
        <v/>
      </c>
      <c r="H563" s="561" t="str">
        <f t="shared" si="68"/>
        <v/>
      </c>
      <c r="I563" s="477"/>
      <c r="K563" s="539"/>
      <c r="L563" s="540" t="s">
        <v>451</v>
      </c>
      <c r="M563" s="541"/>
    </row>
    <row r="564" spans="2:17" ht="16.5" thickBot="1" x14ac:dyDescent="0.3">
      <c r="B564" s="493"/>
      <c r="C564" s="526"/>
      <c r="D564" s="620" t="s">
        <v>788</v>
      </c>
      <c r="E564" s="467"/>
      <c r="F564" s="495"/>
      <c r="G564" s="561" t="str">
        <f>IFERROR(VLOOKUP(D564,'Precios Equipos'!$C$1:$F$2047,3,0),"")</f>
        <v/>
      </c>
      <c r="H564" s="561" t="str">
        <f t="shared" si="68"/>
        <v/>
      </c>
      <c r="I564" s="477"/>
      <c r="K564" s="539"/>
      <c r="L564" s="542" t="s">
        <v>88</v>
      </c>
      <c r="M564" s="543" t="s">
        <v>85</v>
      </c>
    </row>
    <row r="565" spans="2:17" x14ac:dyDescent="0.25">
      <c r="B565" s="493"/>
      <c r="C565" s="526">
        <v>3</v>
      </c>
      <c r="D565" s="494" t="str">
        <f>+'Precios Equipos'!C100</f>
        <v>Inversor Bidireccional 3 KVA</v>
      </c>
      <c r="E565" s="550" t="s">
        <v>575</v>
      </c>
      <c r="F565" s="497"/>
      <c r="G565" s="561">
        <f>IFERROR(VLOOKUP(D565,'Precios Equipos'!$C$1:$F$2047,3,0),"")</f>
        <v>21</v>
      </c>
      <c r="H565" s="561">
        <f t="shared" si="68"/>
        <v>63</v>
      </c>
      <c r="I565" s="1087">
        <f>SUM(H565:H575)</f>
        <v>2490</v>
      </c>
      <c r="J565" s="1088">
        <f>+I565/H582</f>
        <v>0.95183486238532111</v>
      </c>
      <c r="K565" s="539"/>
      <c r="L565" s="544" t="str">
        <f>+'Precios Equipos'!C148</f>
        <v>M. DE OBRA (TIPO 9 y 14) MONTAJE AIRE ACONDICIONADO Y ACCESORIOS</v>
      </c>
      <c r="M565" s="545">
        <f>IFERROR(VLOOKUP(L565,'Precios Equipos'!$C$11:$F$208,3,0),0)</f>
        <v>17</v>
      </c>
      <c r="Q565" s="465">
        <f>+C565*$C$559</f>
        <v>3</v>
      </c>
    </row>
    <row r="566" spans="2:17" x14ac:dyDescent="0.25">
      <c r="B566" s="493"/>
      <c r="C566" s="526"/>
      <c r="D566" s="494"/>
      <c r="E566" s="550"/>
      <c r="F566" s="497"/>
      <c r="G566" s="561" t="str">
        <f>IFERROR(VLOOKUP(D566,'Precios Equipos'!$C$1:$F$2047,3,0),"")</f>
        <v/>
      </c>
      <c r="H566" s="561" t="str">
        <f t="shared" si="68"/>
        <v/>
      </c>
      <c r="I566" s="1087"/>
      <c r="J566" s="1088"/>
      <c r="K566" s="539"/>
      <c r="L566" s="544" t="str">
        <f>+'Precios Equipos'!$C$205</f>
        <v>Diseño Ingenieria Tableros Autosoportados</v>
      </c>
      <c r="M566" s="545">
        <f>IFERROR(VLOOKUP(L566,'Precios Equipos'!$C$11:$F$208,3,0),0)</f>
        <v>63</v>
      </c>
    </row>
    <row r="567" spans="2:17" x14ac:dyDescent="0.25">
      <c r="B567" s="493"/>
      <c r="C567" s="526"/>
      <c r="D567" s="620" t="s">
        <v>549</v>
      </c>
      <c r="E567" s="550"/>
      <c r="F567" s="497"/>
      <c r="G567" s="561" t="str">
        <f>IFERROR(VLOOKUP(D567,'Precios Equipos'!$C$1:$F$2047,3,0),"")</f>
        <v/>
      </c>
      <c r="H567" s="561" t="str">
        <f t="shared" si="68"/>
        <v/>
      </c>
      <c r="I567" s="1087"/>
      <c r="J567" s="1088"/>
      <c r="K567" s="539"/>
      <c r="L567" s="922" t="str">
        <f>+'Precios Equipos'!$C$111</f>
        <v>SISTEMA DE BARRAS 08-10 POLOS</v>
      </c>
      <c r="M567" s="545">
        <f>IFERROR(VLOOKUP(L567,'Precios Equipos'!$C$11:$F$208,3,0),0)</f>
        <v>23</v>
      </c>
    </row>
    <row r="568" spans="2:17" ht="16.5" thickBot="1" x14ac:dyDescent="0.3">
      <c r="B568" s="493"/>
      <c r="C568" s="526">
        <v>1</v>
      </c>
      <c r="D568" s="494" t="str">
        <f>+'Precios Equipos'!$C$89</f>
        <v>Centro de Control y Monitoreo de Microgridador de carga 450V/200A</v>
      </c>
      <c r="E568" s="550" t="s">
        <v>575</v>
      </c>
      <c r="F568" s="497"/>
      <c r="G568" s="561">
        <f>IFERROR(VLOOKUP(D568,'Precios Equipos'!$C$1:$F$2047,3,0),"")</f>
        <v>34</v>
      </c>
      <c r="H568" s="561">
        <f t="shared" si="68"/>
        <v>34</v>
      </c>
      <c r="I568" s="1087"/>
      <c r="J568" s="1088"/>
      <c r="K568" s="539"/>
      <c r="L568" s="923" t="str">
        <f>+'Precios Equipos'!$C$134</f>
        <v>CABLEADO 3 DIFERENCIALES, 2P</v>
      </c>
      <c r="M568" s="545">
        <f>IFERROR(VLOOKUP(L568,'Precios Equipos'!$C$11:$F$208,3,0),0)</f>
        <v>3</v>
      </c>
      <c r="O568" s="468"/>
      <c r="Q568" s="465">
        <f>+C568*$C$559</f>
        <v>1</v>
      </c>
    </row>
    <row r="569" spans="2:17" ht="16.5" thickBot="1" x14ac:dyDescent="0.3">
      <c r="B569" s="493"/>
      <c r="C569" s="526"/>
      <c r="D569" s="494"/>
      <c r="F569" s="495"/>
      <c r="G569" s="561" t="str">
        <f>IFERROR(VLOOKUP(D569,'Precios Equipos'!$C$1:$F$2047,3,0),"")</f>
        <v/>
      </c>
      <c r="H569" s="561" t="str">
        <f t="shared" si="68"/>
        <v/>
      </c>
      <c r="I569" s="1087"/>
      <c r="J569" s="1088"/>
      <c r="K569" s="539"/>
      <c r="L569" s="546" t="s">
        <v>89</v>
      </c>
      <c r="M569" s="560">
        <f>SUM(M565:M568)</f>
        <v>106</v>
      </c>
      <c r="O569" s="468"/>
    </row>
    <row r="570" spans="2:17" x14ac:dyDescent="0.25">
      <c r="B570" s="493"/>
      <c r="C570" s="526"/>
      <c r="D570" s="620" t="s">
        <v>813</v>
      </c>
      <c r="F570" s="495"/>
      <c r="G570" s="561" t="str">
        <f>IFERROR(VLOOKUP(D570,'Precios Equipos'!$C$1:$F$2047,3,0),"")</f>
        <v/>
      </c>
      <c r="H570" s="561" t="str">
        <f t="shared" si="68"/>
        <v/>
      </c>
      <c r="I570" s="1087"/>
      <c r="J570" s="1088"/>
      <c r="K570" s="539"/>
      <c r="O570" s="468"/>
    </row>
    <row r="571" spans="2:17" x14ac:dyDescent="0.25">
      <c r="B571" s="493"/>
      <c r="C571" s="526">
        <v>2</v>
      </c>
      <c r="D571" s="494" t="str">
        <f>+'Precios Equipos'!$C$92</f>
        <v>Aire Acondicionado 500W</v>
      </c>
      <c r="F571" s="495"/>
      <c r="G571" s="561">
        <f>IFERROR(VLOOKUP(D571,'Precios Equipos'!$C$1:$F$2047,3,0),"")</f>
        <v>16</v>
      </c>
      <c r="H571" s="561">
        <f t="shared" si="68"/>
        <v>32</v>
      </c>
      <c r="I571" s="1087"/>
      <c r="J571" s="1088"/>
      <c r="K571" s="539"/>
      <c r="O571" s="468"/>
      <c r="Q571" s="465">
        <f>+C571*$C$559</f>
        <v>2</v>
      </c>
    </row>
    <row r="572" spans="2:17" x14ac:dyDescent="0.25">
      <c r="B572" s="493"/>
      <c r="C572" s="526"/>
      <c r="D572" s="494"/>
      <c r="F572" s="495"/>
      <c r="G572" s="561" t="str">
        <f>IFERROR(VLOOKUP(D572,'Precios Equipos'!$C$1:$F$2047,3,0),"")</f>
        <v/>
      </c>
      <c r="H572" s="561" t="str">
        <f t="shared" ref="H572:H577" si="69">IFERROR(G572*C572,"")</f>
        <v/>
      </c>
      <c r="I572" s="1087"/>
      <c r="J572" s="1088"/>
      <c r="K572" s="539"/>
      <c r="O572" s="468"/>
    </row>
    <row r="573" spans="2:17" x14ac:dyDescent="0.25">
      <c r="B573" s="493"/>
      <c r="C573" s="526"/>
      <c r="D573" s="620" t="s">
        <v>819</v>
      </c>
      <c r="F573" s="495"/>
      <c r="G573" s="561" t="str">
        <f>IFERROR(VLOOKUP(D573,'Precios Equipos'!$C$1:$F$2047,3,0),"")</f>
        <v/>
      </c>
      <c r="H573" s="561" t="str">
        <f t="shared" si="69"/>
        <v/>
      </c>
      <c r="I573" s="1087"/>
      <c r="J573" s="1088"/>
      <c r="K573" s="539"/>
      <c r="O573" s="468"/>
    </row>
    <row r="574" spans="2:17" x14ac:dyDescent="0.25">
      <c r="B574" s="493"/>
      <c r="C574" s="526">
        <v>3</v>
      </c>
      <c r="D574" s="468" t="str">
        <f>+'Precios Equipos'!$C$55</f>
        <v>Interruptor Riel Din 2x25A. S202M 20kA en 250VDC, ABB</v>
      </c>
      <c r="F574" s="495"/>
      <c r="G574" s="561">
        <f>IFERROR(VLOOKUP(D574,'Precios Equipos'!$C$1:$F$2047,3,0),"")</f>
        <v>382</v>
      </c>
      <c r="H574" s="561">
        <f t="shared" si="69"/>
        <v>1146</v>
      </c>
      <c r="I574" s="1087"/>
      <c r="J574" s="1088"/>
      <c r="K574" s="539"/>
      <c r="O574" s="468"/>
      <c r="Q574" s="465">
        <f>+C574*$C$559</f>
        <v>3</v>
      </c>
    </row>
    <row r="575" spans="2:17" x14ac:dyDescent="0.25">
      <c r="B575" s="493"/>
      <c r="C575" s="526">
        <v>3</v>
      </c>
      <c r="D575" s="468" t="str">
        <f>+'Precios Equipos'!$C$60</f>
        <v>Protector de sobretension SPD DC 2P, 1000V DC, CLAMPER/DC SURGE PROTECCION</v>
      </c>
      <c r="F575" s="495"/>
      <c r="G575" s="561">
        <f>IFERROR(VLOOKUP(D575,'Precios Equipos'!$C$1:$F$2047,3,0),"")</f>
        <v>405</v>
      </c>
      <c r="H575" s="561">
        <f t="shared" si="69"/>
        <v>1215</v>
      </c>
      <c r="I575" s="1087"/>
      <c r="J575" s="1088"/>
      <c r="K575" s="539"/>
      <c r="O575" s="468"/>
      <c r="Q575" s="465">
        <f>+C575*$C$559</f>
        <v>3</v>
      </c>
    </row>
    <row r="576" spans="2:17" x14ac:dyDescent="0.25">
      <c r="B576" s="493"/>
      <c r="C576" s="526"/>
      <c r="D576" s="494"/>
      <c r="F576" s="495"/>
      <c r="G576" s="561" t="str">
        <f>IFERROR(VLOOKUP(D576,'Precios Equipos'!$C$1:$F$2047,3,0),"")</f>
        <v/>
      </c>
      <c r="H576" s="561" t="str">
        <f t="shared" si="69"/>
        <v/>
      </c>
      <c r="I576" s="477"/>
      <c r="K576" s="539"/>
      <c r="O576" s="468"/>
    </row>
    <row r="577" spans="1:17" x14ac:dyDescent="0.25">
      <c r="B577" s="493"/>
      <c r="C577" s="526"/>
      <c r="D577" s="620" t="s">
        <v>87</v>
      </c>
      <c r="F577" s="495"/>
      <c r="G577" s="561" t="str">
        <f>IFERROR(VLOOKUP(D577,'Precios Equipos'!$C$1:$F$2047,3,0),"")</f>
        <v/>
      </c>
      <c r="H577" s="561" t="str">
        <f t="shared" si="69"/>
        <v/>
      </c>
      <c r="I577" s="477"/>
      <c r="K577" s="539"/>
      <c r="O577" s="468"/>
    </row>
    <row r="578" spans="1:17" x14ac:dyDescent="0.25">
      <c r="B578" s="493"/>
      <c r="C578" s="526">
        <v>1</v>
      </c>
      <c r="D578" s="494" t="s">
        <v>49</v>
      </c>
      <c r="F578" s="495"/>
      <c r="G578" s="561" t="str">
        <f>IFERROR(VLOOKUP(D578,'Precios Equipos'!$C$1:$F$2047,3,0),"")</f>
        <v/>
      </c>
      <c r="H578" s="561" t="str">
        <f t="shared" si="68"/>
        <v/>
      </c>
      <c r="I578" s="477"/>
      <c r="K578" s="539"/>
      <c r="O578" s="468"/>
    </row>
    <row r="579" spans="1:17" x14ac:dyDescent="0.25">
      <c r="B579" s="493"/>
      <c r="C579" s="526">
        <v>1</v>
      </c>
      <c r="D579" s="494" t="s">
        <v>51</v>
      </c>
      <c r="F579" s="495"/>
      <c r="G579" s="479"/>
      <c r="H579" s="561">
        <f>M569</f>
        <v>106</v>
      </c>
      <c r="I579" s="561">
        <f>+H579</f>
        <v>106</v>
      </c>
      <c r="J579" s="924">
        <f>+I579/H582</f>
        <v>4.0519877675840976E-2</v>
      </c>
      <c r="K579" s="539"/>
      <c r="O579" s="468"/>
    </row>
    <row r="580" spans="1:17" x14ac:dyDescent="0.25">
      <c r="B580" s="493"/>
      <c r="C580" s="526">
        <v>1</v>
      </c>
      <c r="D580" s="467" t="s">
        <v>20</v>
      </c>
      <c r="F580" s="495"/>
      <c r="G580" s="479"/>
      <c r="H580" s="577"/>
      <c r="I580" s="539"/>
      <c r="J580" s="974"/>
      <c r="K580" s="539"/>
      <c r="O580" s="468"/>
    </row>
    <row r="581" spans="1:17" x14ac:dyDescent="0.25">
      <c r="B581" s="493"/>
      <c r="C581" s="526">
        <v>1</v>
      </c>
      <c r="D581" s="467" t="s">
        <v>52</v>
      </c>
      <c r="F581" s="495"/>
      <c r="G581" s="561"/>
      <c r="H581" s="577"/>
      <c r="I581" s="539"/>
      <c r="J581" s="974"/>
      <c r="K581" s="539"/>
      <c r="O581" s="468"/>
    </row>
    <row r="582" spans="1:17" x14ac:dyDescent="0.25">
      <c r="B582" s="493"/>
      <c r="C582" s="526">
        <v>1</v>
      </c>
      <c r="D582" s="467" t="s">
        <v>900</v>
      </c>
      <c r="F582" s="495"/>
      <c r="G582" s="553" t="s">
        <v>97</v>
      </c>
      <c r="H582" s="561">
        <f>SUM(H562:H581)</f>
        <v>2616</v>
      </c>
      <c r="I582" s="477"/>
      <c r="K582" s="539"/>
      <c r="O582" s="468"/>
    </row>
    <row r="583" spans="1:17" x14ac:dyDescent="0.25">
      <c r="B583" s="493"/>
      <c r="C583" s="526" t="s">
        <v>17</v>
      </c>
      <c r="D583" s="467" t="s">
        <v>48</v>
      </c>
      <c r="F583" s="495"/>
      <c r="G583" s="553" t="s">
        <v>105</v>
      </c>
      <c r="H583" s="561">
        <f>H582*$M$152</f>
        <v>523.20000000000005</v>
      </c>
      <c r="I583" s="477"/>
      <c r="K583" s="539"/>
      <c r="O583" s="468"/>
    </row>
    <row r="584" spans="1:17" x14ac:dyDescent="0.25">
      <c r="B584" s="521"/>
      <c r="C584" s="527"/>
      <c r="D584" s="522"/>
      <c r="E584" s="523"/>
      <c r="F584" s="524"/>
      <c r="G584" s="553" t="s">
        <v>452</v>
      </c>
      <c r="H584" s="561">
        <f>H582+H583</f>
        <v>3139.2</v>
      </c>
      <c r="I584" s="477"/>
      <c r="J584" s="924">
        <f>SUM(J561:J581)</f>
        <v>1</v>
      </c>
      <c r="K584" s="539"/>
      <c r="O584" s="468"/>
    </row>
    <row r="585" spans="1:17" x14ac:dyDescent="0.25">
      <c r="G585" s="477"/>
      <c r="H585" s="477"/>
      <c r="I585" s="477"/>
      <c r="K585" s="539"/>
      <c r="O585" s="468"/>
    </row>
    <row r="586" spans="1:17" x14ac:dyDescent="0.25">
      <c r="B586" s="514" t="s">
        <v>6</v>
      </c>
      <c r="C586" s="515" t="s">
        <v>0</v>
      </c>
      <c r="D586" s="556" t="s">
        <v>8</v>
      </c>
      <c r="E586" s="597" t="s">
        <v>4</v>
      </c>
      <c r="F586" s="516" t="s">
        <v>3</v>
      </c>
      <c r="G586" s="477"/>
      <c r="H586" s="477"/>
      <c r="I586" s="477"/>
      <c r="K586" s="539"/>
    </row>
    <row r="587" spans="1:17" x14ac:dyDescent="0.25">
      <c r="A587" s="463">
        <v>148</v>
      </c>
      <c r="B587" s="1077">
        <f>B46</f>
        <v>3.1099999999999977</v>
      </c>
      <c r="C587" s="1077">
        <f>C46</f>
        <v>2</v>
      </c>
      <c r="D587" s="1091" t="str">
        <f>D46</f>
        <v>TABLEROS DE POTENCIA TIPO 10 (incluye aire acondicionado)</v>
      </c>
      <c r="E587" s="517">
        <f>H612</f>
        <v>4165.2</v>
      </c>
      <c r="F587" s="518">
        <f>+E587*C587</f>
        <v>8330.4</v>
      </c>
      <c r="G587" s="553" t="s">
        <v>450</v>
      </c>
      <c r="H587" s="553" t="s">
        <v>1</v>
      </c>
      <c r="I587" s="477"/>
      <c r="K587" s="539"/>
    </row>
    <row r="588" spans="1:17" x14ac:dyDescent="0.25">
      <c r="B588" s="1078"/>
      <c r="C588" s="1078"/>
      <c r="D588" s="1092"/>
      <c r="E588" s="519" t="s">
        <v>50</v>
      </c>
      <c r="F588" s="520" t="s">
        <v>50</v>
      </c>
      <c r="G588" s="553" t="s">
        <v>50</v>
      </c>
      <c r="H588" s="553" t="s">
        <v>50</v>
      </c>
      <c r="I588" s="477"/>
      <c r="K588" s="539"/>
    </row>
    <row r="589" spans="1:17" x14ac:dyDescent="0.25">
      <c r="B589" s="490"/>
      <c r="C589" s="526"/>
      <c r="D589" s="463"/>
      <c r="E589" s="491"/>
      <c r="F589" s="492"/>
      <c r="G589" s="561" t="str">
        <f>IFERROR(VLOOKUP(D589,'Precios Equipos'!$C$1:$F$2047,3,0),"")</f>
        <v/>
      </c>
      <c r="H589" s="561" t="str">
        <f t="shared" ref="H589:H599" si="70">IFERROR(G589*C589,"")</f>
        <v/>
      </c>
      <c r="I589" s="477"/>
      <c r="K589" s="539"/>
    </row>
    <row r="590" spans="1:17" ht="16.5" thickBot="1" x14ac:dyDescent="0.3">
      <c r="B590" s="493"/>
      <c r="C590" s="526">
        <v>1</v>
      </c>
      <c r="D590" s="500" t="str">
        <f>+'Precios Equipos'!C197</f>
        <v>Gabinete Autosoportado 2400x1200(2 Puertas)x700mm. (Alto x ancho x profundidad)</v>
      </c>
      <c r="F590" s="495"/>
      <c r="G590" s="561">
        <f>IFERROR(VLOOKUP(D590,'Precios Equipos'!$C$1:$F$2047,3,0),"")</f>
        <v>17</v>
      </c>
      <c r="H590" s="561">
        <f t="shared" si="70"/>
        <v>17</v>
      </c>
      <c r="I590" s="561">
        <f>+H590</f>
        <v>17</v>
      </c>
      <c r="J590" s="924">
        <f>+I590/H610</f>
        <v>4.8977239988475946E-3</v>
      </c>
      <c r="K590" s="539"/>
      <c r="Q590" s="465">
        <f>+C590*$C$587</f>
        <v>2</v>
      </c>
    </row>
    <row r="591" spans="1:17" ht="16.5" thickBot="1" x14ac:dyDescent="0.3">
      <c r="B591" s="493"/>
      <c r="C591" s="526"/>
      <c r="D591" s="494"/>
      <c r="F591" s="495"/>
      <c r="G591" s="561" t="str">
        <f>IFERROR(VLOOKUP(D591,'Precios Equipos'!$C$1:$F$2047,3,0),"")</f>
        <v/>
      </c>
      <c r="H591" s="561" t="str">
        <f t="shared" si="70"/>
        <v/>
      </c>
      <c r="I591" s="477"/>
      <c r="K591" s="539"/>
      <c r="L591" s="540" t="s">
        <v>451</v>
      </c>
      <c r="M591" s="541"/>
    </row>
    <row r="592" spans="1:17" ht="16.5" thickBot="1" x14ac:dyDescent="0.3">
      <c r="B592" s="493"/>
      <c r="C592" s="526"/>
      <c r="D592" s="620" t="s">
        <v>788</v>
      </c>
      <c r="E592" s="467"/>
      <c r="F592" s="495"/>
      <c r="G592" s="561" t="str">
        <f>IFERROR(VLOOKUP(D592,'Precios Equipos'!$C$1:$F$2047,3,0),"")</f>
        <v/>
      </c>
      <c r="H592" s="561" t="str">
        <f t="shared" si="70"/>
        <v/>
      </c>
      <c r="I592" s="477"/>
      <c r="K592" s="539"/>
      <c r="L592" s="542" t="s">
        <v>88</v>
      </c>
      <c r="M592" s="543" t="s">
        <v>85</v>
      </c>
    </row>
    <row r="593" spans="2:17" x14ac:dyDescent="0.25">
      <c r="B593" s="493"/>
      <c r="C593" s="526">
        <v>3</v>
      </c>
      <c r="D593" s="494" t="str">
        <f>+'Precios Equipos'!$C$101</f>
        <v>Inversor Bidireccional 5 KVA</v>
      </c>
      <c r="E593" s="550" t="s">
        <v>575</v>
      </c>
      <c r="F593" s="497"/>
      <c r="G593" s="561">
        <f>IFERROR(VLOOKUP(D593,'Precios Equipos'!$C$1:$F$2047,3,0),"")</f>
        <v>42</v>
      </c>
      <c r="H593" s="561">
        <f t="shared" si="70"/>
        <v>126</v>
      </c>
      <c r="I593" s="1087">
        <f>SUM(H593:H603)</f>
        <v>3356</v>
      </c>
      <c r="J593" s="1088">
        <f>+I593/H610</f>
        <v>0.96686833765485447</v>
      </c>
      <c r="K593" s="539"/>
      <c r="L593" s="544"/>
      <c r="M593" s="545"/>
      <c r="Q593" s="465">
        <f>+C593*$C$587</f>
        <v>6</v>
      </c>
    </row>
    <row r="594" spans="2:17" x14ac:dyDescent="0.25">
      <c r="B594" s="493"/>
      <c r="C594" s="526"/>
      <c r="D594" s="494"/>
      <c r="E594" s="550"/>
      <c r="F594" s="497"/>
      <c r="G594" s="561" t="str">
        <f>IFERROR(VLOOKUP(D594,'Precios Equipos'!$C$1:$F$2047,3,0),"")</f>
        <v/>
      </c>
      <c r="H594" s="561" t="str">
        <f t="shared" si="70"/>
        <v/>
      </c>
      <c r="I594" s="1087"/>
      <c r="J594" s="1088"/>
      <c r="K594" s="539"/>
      <c r="L594" s="544" t="str">
        <f>+'Precios Equipos'!C149</f>
        <v>M. DE OBRA (TIPO 11, 12 y 13) MONTAJE AIRE ACONDICIONADO Y ACCESORIOS</v>
      </c>
      <c r="M594" s="545">
        <f>IFERROR(VLOOKUP(L594,'Precios Equipos'!$C$11:$F$208,3,0),0)</f>
        <v>6</v>
      </c>
    </row>
    <row r="595" spans="2:17" x14ac:dyDescent="0.25">
      <c r="B595" s="493"/>
      <c r="C595" s="526"/>
      <c r="D595" s="620" t="s">
        <v>549</v>
      </c>
      <c r="E595" s="550"/>
      <c r="F595" s="497"/>
      <c r="G595" s="561" t="str">
        <f>IFERROR(VLOOKUP(D595,'Precios Equipos'!$C$1:$F$2047,3,0),"")</f>
        <v/>
      </c>
      <c r="H595" s="561" t="str">
        <f t="shared" si="70"/>
        <v/>
      </c>
      <c r="I595" s="1087"/>
      <c r="J595" s="1088"/>
      <c r="K595" s="539"/>
      <c r="L595" s="544" t="str">
        <f>+'Precios Equipos'!$C$205</f>
        <v>Diseño Ingenieria Tableros Autosoportados</v>
      </c>
      <c r="M595" s="545">
        <f>IFERROR(VLOOKUP(L595,'Precios Equipos'!$C$11:$F$208,3,0),0)</f>
        <v>63</v>
      </c>
    </row>
    <row r="596" spans="2:17" x14ac:dyDescent="0.25">
      <c r="B596" s="493"/>
      <c r="C596" s="526">
        <v>1</v>
      </c>
      <c r="D596" s="494" t="str">
        <f>+'Precios Equipos'!$C$89</f>
        <v>Centro de Control y Monitoreo de Microgridador de carga 450V/200A</v>
      </c>
      <c r="E596" s="550" t="s">
        <v>575</v>
      </c>
      <c r="F596" s="497"/>
      <c r="G596" s="561">
        <f>IFERROR(VLOOKUP(D596,'Precios Equipos'!$C$1:$F$2047,3,0),"")</f>
        <v>34</v>
      </c>
      <c r="H596" s="561">
        <f t="shared" si="70"/>
        <v>34</v>
      </c>
      <c r="I596" s="1087"/>
      <c r="J596" s="1088"/>
      <c r="K596" s="539"/>
      <c r="L596" s="922" t="str">
        <f>+'Precios Equipos'!$C$111</f>
        <v>SISTEMA DE BARRAS 08-10 POLOS</v>
      </c>
      <c r="M596" s="545">
        <f>IFERROR(VLOOKUP(L596,'Precios Equipos'!$C$11:$F$208,3,0),0)</f>
        <v>23</v>
      </c>
      <c r="O596" s="468"/>
      <c r="Q596" s="465">
        <f>+C596*$C$587</f>
        <v>2</v>
      </c>
    </row>
    <row r="597" spans="2:17" ht="16.5" thickBot="1" x14ac:dyDescent="0.3">
      <c r="B597" s="493"/>
      <c r="C597" s="526"/>
      <c r="D597" s="494"/>
      <c r="F597" s="495"/>
      <c r="G597" s="561" t="str">
        <f>IFERROR(VLOOKUP(D597,'Precios Equipos'!$C$1:$F$2047,3,0),"")</f>
        <v/>
      </c>
      <c r="H597" s="561" t="str">
        <f t="shared" si="70"/>
        <v/>
      </c>
      <c r="I597" s="1087"/>
      <c r="J597" s="1088"/>
      <c r="K597" s="539"/>
      <c r="L597" s="923" t="str">
        <f>+'Precios Equipos'!$C$135</f>
        <v>CABLEADO 4 DIFERENCIALES, 2P</v>
      </c>
      <c r="M597" s="545">
        <f>IFERROR(VLOOKUP(L597,'Precios Equipos'!$C$11:$F$208,3,0),0)</f>
        <v>6</v>
      </c>
      <c r="O597" s="468"/>
    </row>
    <row r="598" spans="2:17" ht="16.5" thickBot="1" x14ac:dyDescent="0.3">
      <c r="B598" s="493"/>
      <c r="C598" s="526"/>
      <c r="D598" s="620" t="s">
        <v>813</v>
      </c>
      <c r="F598" s="495"/>
      <c r="G598" s="561" t="str">
        <f>IFERROR(VLOOKUP(D598,'Precios Equipos'!$C$1:$F$2047,3,0),"")</f>
        <v/>
      </c>
      <c r="H598" s="561" t="str">
        <f t="shared" si="70"/>
        <v/>
      </c>
      <c r="I598" s="1087"/>
      <c r="J598" s="1088"/>
      <c r="K598" s="539"/>
      <c r="L598" s="546" t="s">
        <v>89</v>
      </c>
      <c r="M598" s="560">
        <f>SUM(M593:M597)</f>
        <v>98</v>
      </c>
      <c r="O598" s="468"/>
    </row>
    <row r="599" spans="2:17" x14ac:dyDescent="0.25">
      <c r="B599" s="493"/>
      <c r="C599" s="526">
        <v>2</v>
      </c>
      <c r="D599" s="494" t="str">
        <f>+'Precios Equipos'!C93</f>
        <v>Aire Acondicionado 800W</v>
      </c>
      <c r="F599" s="495"/>
      <c r="G599" s="561">
        <f>IFERROR(VLOOKUP(D599,'Precios Equipos'!$C$1:$F$2047,3,0),"")</f>
        <v>24</v>
      </c>
      <c r="H599" s="561">
        <f t="shared" si="70"/>
        <v>48</v>
      </c>
      <c r="I599" s="1087"/>
      <c r="J599" s="1088"/>
      <c r="K599" s="539"/>
      <c r="O599" s="468"/>
      <c r="Q599" s="465">
        <f>+C599*$C$587</f>
        <v>4</v>
      </c>
    </row>
    <row r="600" spans="2:17" x14ac:dyDescent="0.25">
      <c r="B600" s="493"/>
      <c r="C600" s="526"/>
      <c r="D600" s="494"/>
      <c r="F600" s="495"/>
      <c r="G600" s="561" t="str">
        <f>IFERROR(VLOOKUP(D600,'Precios Equipos'!$C$1:$F$2047,3,0),"")</f>
        <v/>
      </c>
      <c r="H600" s="561" t="str">
        <f t="shared" ref="H600:H605" si="71">IFERROR(G600*C600,"")</f>
        <v/>
      </c>
      <c r="I600" s="1087"/>
      <c r="J600" s="1088"/>
      <c r="K600" s="539"/>
      <c r="O600" s="468"/>
    </row>
    <row r="601" spans="2:17" x14ac:dyDescent="0.25">
      <c r="B601" s="493"/>
      <c r="C601" s="526"/>
      <c r="D601" s="620" t="s">
        <v>819</v>
      </c>
      <c r="F601" s="495"/>
      <c r="G601" s="561" t="str">
        <f>IFERROR(VLOOKUP(D601,'Precios Equipos'!$C$1:$F$2047,3,0),"")</f>
        <v/>
      </c>
      <c r="H601" s="561" t="str">
        <f t="shared" si="71"/>
        <v/>
      </c>
      <c r="I601" s="1087"/>
      <c r="J601" s="1088"/>
      <c r="K601" s="539"/>
      <c r="O601" s="468"/>
    </row>
    <row r="602" spans="2:17" x14ac:dyDescent="0.25">
      <c r="B602" s="493"/>
      <c r="C602" s="526">
        <v>4</v>
      </c>
      <c r="D602" s="468" t="str">
        <f>+'Precios Equipos'!$C$55</f>
        <v>Interruptor Riel Din 2x25A. S202M 20kA en 250VDC, ABB</v>
      </c>
      <c r="F602" s="495"/>
      <c r="G602" s="561">
        <f>IFERROR(VLOOKUP(D602,'Precios Equipos'!$C$1:$F$2047,3,0),"")</f>
        <v>382</v>
      </c>
      <c r="H602" s="561">
        <f t="shared" si="71"/>
        <v>1528</v>
      </c>
      <c r="I602" s="1087"/>
      <c r="J602" s="1088"/>
      <c r="K602" s="539"/>
      <c r="O602" s="468"/>
      <c r="Q602" s="465">
        <f>+C602*$C$587</f>
        <v>8</v>
      </c>
    </row>
    <row r="603" spans="2:17" x14ac:dyDescent="0.25">
      <c r="B603" s="493"/>
      <c r="C603" s="526">
        <v>4</v>
      </c>
      <c r="D603" s="468" t="str">
        <f>+'Precios Equipos'!$C$60</f>
        <v>Protector de sobretension SPD DC 2P, 1000V DC, CLAMPER/DC SURGE PROTECCION</v>
      </c>
      <c r="F603" s="495"/>
      <c r="G603" s="561">
        <f>IFERROR(VLOOKUP(D603,'Precios Equipos'!$C$1:$F$2047,3,0),"")</f>
        <v>405</v>
      </c>
      <c r="H603" s="561">
        <f t="shared" si="71"/>
        <v>1620</v>
      </c>
      <c r="I603" s="1087"/>
      <c r="J603" s="1088"/>
      <c r="K603" s="539"/>
      <c r="O603" s="468"/>
      <c r="Q603" s="465">
        <f>+C603*$C$587</f>
        <v>8</v>
      </c>
    </row>
    <row r="604" spans="2:17" x14ac:dyDescent="0.25">
      <c r="B604" s="493"/>
      <c r="C604" s="526"/>
      <c r="D604" s="494"/>
      <c r="F604" s="495"/>
      <c r="G604" s="561" t="str">
        <f>IFERROR(VLOOKUP(D604,'Precios Equipos'!$C$1:$F$2047,3,0),"")</f>
        <v/>
      </c>
      <c r="H604" s="561" t="str">
        <f t="shared" si="71"/>
        <v/>
      </c>
      <c r="I604" s="477"/>
      <c r="K604" s="539"/>
      <c r="O604" s="468"/>
    </row>
    <row r="605" spans="2:17" x14ac:dyDescent="0.25">
      <c r="B605" s="493"/>
      <c r="C605" s="526"/>
      <c r="D605" s="620" t="s">
        <v>87</v>
      </c>
      <c r="F605" s="495"/>
      <c r="G605" s="561" t="str">
        <f>IFERROR(VLOOKUP(D605,'Precios Equipos'!$C$1:$F$2047,3,0),"")</f>
        <v/>
      </c>
      <c r="H605" s="561" t="str">
        <f t="shared" si="71"/>
        <v/>
      </c>
      <c r="I605" s="477"/>
      <c r="K605" s="539"/>
      <c r="O605" s="468"/>
    </row>
    <row r="606" spans="2:17" x14ac:dyDescent="0.25">
      <c r="B606" s="493"/>
      <c r="C606" s="526">
        <v>1</v>
      </c>
      <c r="D606" s="494" t="s">
        <v>49</v>
      </c>
      <c r="F606" s="495"/>
      <c r="G606" s="479"/>
      <c r="H606" s="479"/>
      <c r="I606" s="477"/>
      <c r="K606" s="539"/>
      <c r="O606" s="468"/>
    </row>
    <row r="607" spans="2:17" x14ac:dyDescent="0.25">
      <c r="B607" s="493"/>
      <c r="C607" s="526">
        <v>1</v>
      </c>
      <c r="D607" s="494" t="s">
        <v>51</v>
      </c>
      <c r="F607" s="495"/>
      <c r="G607" s="479"/>
      <c r="H607" s="561">
        <f>M598</f>
        <v>98</v>
      </c>
      <c r="I607" s="561">
        <f>+H607</f>
        <v>98</v>
      </c>
      <c r="J607" s="924">
        <f>+I607/H610</f>
        <v>2.8233938346297897E-2</v>
      </c>
      <c r="K607" s="539"/>
      <c r="O607" s="468"/>
    </row>
    <row r="608" spans="2:17" x14ac:dyDescent="0.25">
      <c r="B608" s="493"/>
      <c r="C608" s="526">
        <v>1</v>
      </c>
      <c r="D608" s="467" t="s">
        <v>20</v>
      </c>
      <c r="F608" s="495"/>
      <c r="G608" s="479"/>
      <c r="H608" s="577"/>
      <c r="I608" s="539"/>
      <c r="J608" s="974"/>
      <c r="K608" s="539"/>
      <c r="O608" s="468"/>
    </row>
    <row r="609" spans="1:17" x14ac:dyDescent="0.25">
      <c r="B609" s="493"/>
      <c r="C609" s="526">
        <v>1</v>
      </c>
      <c r="D609" s="467" t="s">
        <v>52</v>
      </c>
      <c r="F609" s="495"/>
      <c r="G609" s="561"/>
      <c r="H609" s="577"/>
      <c r="I609" s="539"/>
      <c r="J609" s="974"/>
      <c r="K609" s="539"/>
      <c r="O609" s="468"/>
    </row>
    <row r="610" spans="1:17" x14ac:dyDescent="0.25">
      <c r="B610" s="493"/>
      <c r="C610" s="526">
        <v>1</v>
      </c>
      <c r="D610" s="467" t="s">
        <v>900</v>
      </c>
      <c r="F610" s="495"/>
      <c r="G610" s="553" t="s">
        <v>97</v>
      </c>
      <c r="H610" s="561">
        <f>SUM(H590:H609)</f>
        <v>3471</v>
      </c>
      <c r="I610" s="477"/>
      <c r="K610" s="539"/>
      <c r="O610" s="468"/>
    </row>
    <row r="611" spans="1:17" x14ac:dyDescent="0.25">
      <c r="B611" s="493"/>
      <c r="C611" s="526" t="s">
        <v>17</v>
      </c>
      <c r="D611" s="467" t="s">
        <v>48</v>
      </c>
      <c r="F611" s="495"/>
      <c r="G611" s="553" t="s">
        <v>105</v>
      </c>
      <c r="H611" s="561">
        <f>H610*$M$152</f>
        <v>694.2</v>
      </c>
      <c r="I611" s="477"/>
      <c r="K611" s="539"/>
      <c r="O611" s="468"/>
    </row>
    <row r="612" spans="1:17" x14ac:dyDescent="0.25">
      <c r="B612" s="521"/>
      <c r="C612" s="527"/>
      <c r="D612" s="522"/>
      <c r="E612" s="523"/>
      <c r="F612" s="524"/>
      <c r="G612" s="553" t="s">
        <v>452</v>
      </c>
      <c r="H612" s="561">
        <f>H610+H611</f>
        <v>4165.2</v>
      </c>
      <c r="I612" s="477"/>
      <c r="J612" s="924">
        <f>SUM(J589:J609)</f>
        <v>1</v>
      </c>
      <c r="K612" s="539"/>
      <c r="O612" s="468"/>
    </row>
    <row r="613" spans="1:17" x14ac:dyDescent="0.25">
      <c r="G613" s="477"/>
      <c r="H613" s="477"/>
      <c r="I613" s="477"/>
      <c r="K613" s="539"/>
      <c r="O613" s="468"/>
    </row>
    <row r="614" spans="1:17" x14ac:dyDescent="0.25">
      <c r="B614" s="514" t="s">
        <v>6</v>
      </c>
      <c r="C614" s="515" t="s">
        <v>0</v>
      </c>
      <c r="D614" s="556" t="s">
        <v>8</v>
      </c>
      <c r="E614" s="597" t="s">
        <v>4</v>
      </c>
      <c r="F614" s="516" t="s">
        <v>3</v>
      </c>
      <c r="G614" s="477"/>
      <c r="H614" s="477"/>
      <c r="I614" s="477"/>
      <c r="K614" s="539"/>
      <c r="O614" s="468"/>
    </row>
    <row r="615" spans="1:17" x14ac:dyDescent="0.25">
      <c r="A615" s="463">
        <v>144</v>
      </c>
      <c r="B615" s="1077">
        <f>B47</f>
        <v>3.1199999999999974</v>
      </c>
      <c r="C615" s="1077">
        <f>C47</f>
        <v>2</v>
      </c>
      <c r="D615" s="1091" t="str">
        <f>D47</f>
        <v>TABLEROS DE POTENCIA TIPO 10.1 (incluye aire acondicionado)</v>
      </c>
      <c r="E615" s="517">
        <f>H639</f>
        <v>4165.2</v>
      </c>
      <c r="F615" s="518">
        <f>+E615*C615</f>
        <v>8330.4</v>
      </c>
      <c r="G615" s="553" t="s">
        <v>450</v>
      </c>
      <c r="H615" s="553" t="s">
        <v>1</v>
      </c>
      <c r="I615" s="477"/>
      <c r="K615" s="539"/>
      <c r="O615" s="468"/>
    </row>
    <row r="616" spans="1:17" x14ac:dyDescent="0.25">
      <c r="B616" s="1078"/>
      <c r="C616" s="1078"/>
      <c r="D616" s="1092"/>
      <c r="E616" s="519" t="s">
        <v>50</v>
      </c>
      <c r="F616" s="520" t="s">
        <v>50</v>
      </c>
      <c r="G616" s="553" t="s">
        <v>50</v>
      </c>
      <c r="H616" s="553" t="s">
        <v>50</v>
      </c>
      <c r="I616" s="477"/>
      <c r="K616" s="539"/>
    </row>
    <row r="617" spans="1:17" ht="16.5" thickBot="1" x14ac:dyDescent="0.3">
      <c r="B617" s="490"/>
      <c r="C617" s="526"/>
      <c r="D617" s="463"/>
      <c r="E617" s="491"/>
      <c r="F617" s="492"/>
      <c r="G617" s="561" t="str">
        <f>IFERROR(VLOOKUP(D617,'Precios Equipos'!$C$1:$F$2047,3,0),"")</f>
        <v/>
      </c>
      <c r="H617" s="561" t="str">
        <f t="shared" ref="H617:H633" si="72">IFERROR(G617*C617,"")</f>
        <v/>
      </c>
      <c r="I617" s="477"/>
      <c r="K617" s="539"/>
    </row>
    <row r="618" spans="1:17" ht="16.5" thickBot="1" x14ac:dyDescent="0.3">
      <c r="B618" s="493"/>
      <c r="C618" s="526">
        <v>1</v>
      </c>
      <c r="D618" s="500" t="str">
        <f>+'Precios Equipos'!$C$197</f>
        <v>Gabinete Autosoportado 2400x1200(2 Puertas)x700mm. (Alto x ancho x profundidad)</v>
      </c>
      <c r="F618" s="495"/>
      <c r="G618" s="561">
        <f>IFERROR(VLOOKUP(D618,'Precios Equipos'!$C$1:$F$2047,3,0),"")</f>
        <v>17</v>
      </c>
      <c r="H618" s="561">
        <f t="shared" si="72"/>
        <v>17</v>
      </c>
      <c r="I618" s="561">
        <f>+H618</f>
        <v>17</v>
      </c>
      <c r="J618" s="924">
        <f>+I618/H637</f>
        <v>4.8977239988475946E-3</v>
      </c>
      <c r="K618" s="539"/>
      <c r="L618" s="540" t="s">
        <v>451</v>
      </c>
      <c r="M618" s="541"/>
      <c r="Q618" s="465">
        <f>+C618*$C$615</f>
        <v>2</v>
      </c>
    </row>
    <row r="619" spans="1:17" ht="16.5" thickBot="1" x14ac:dyDescent="0.3">
      <c r="B619" s="493"/>
      <c r="C619" s="526"/>
      <c r="D619" s="494"/>
      <c r="F619" s="495"/>
      <c r="G619" s="561" t="str">
        <f>IFERROR(VLOOKUP(D619,'Precios Equipos'!$C$1:$F$2047,3,0),"")</f>
        <v/>
      </c>
      <c r="H619" s="561" t="str">
        <f t="shared" si="72"/>
        <v/>
      </c>
      <c r="I619" s="477"/>
      <c r="K619" s="539"/>
      <c r="L619" s="542" t="s">
        <v>88</v>
      </c>
      <c r="M619" s="543" t="s">
        <v>85</v>
      </c>
    </row>
    <row r="620" spans="1:17" x14ac:dyDescent="0.25">
      <c r="B620" s="493"/>
      <c r="C620" s="526"/>
      <c r="D620" s="620" t="s">
        <v>788</v>
      </c>
      <c r="E620" s="467"/>
      <c r="F620" s="495"/>
      <c r="G620" s="561" t="str">
        <f>IFERROR(VLOOKUP(D620,'Precios Equipos'!$C$1:$F$2047,3,0),"")</f>
        <v/>
      </c>
      <c r="H620" s="561" t="str">
        <f t="shared" si="72"/>
        <v/>
      </c>
      <c r="I620" s="477"/>
      <c r="K620" s="539"/>
      <c r="L620" s="544" t="str">
        <f>+'Precios Equipos'!C149</f>
        <v>M. DE OBRA (TIPO 11, 12 y 13) MONTAJE AIRE ACONDICIONADO Y ACCESORIOS</v>
      </c>
      <c r="M620" s="545">
        <f>IFERROR(VLOOKUP(L620,'Precios Equipos'!$C$11:$F$208,3,0),0)</f>
        <v>6</v>
      </c>
    </row>
    <row r="621" spans="1:17" x14ac:dyDescent="0.25">
      <c r="B621" s="493"/>
      <c r="C621" s="526">
        <v>3</v>
      </c>
      <c r="D621" s="494" t="str">
        <f>+'Precios Equipos'!C101</f>
        <v>Inversor Bidireccional 5 KVA</v>
      </c>
      <c r="E621" s="550" t="s">
        <v>575</v>
      </c>
      <c r="F621" s="495"/>
      <c r="G621" s="561">
        <f>IFERROR(VLOOKUP(D621,'Precios Equipos'!$C$1:$F$2047,3,0),"")</f>
        <v>42</v>
      </c>
      <c r="H621" s="561">
        <f t="shared" si="72"/>
        <v>126</v>
      </c>
      <c r="I621" s="561">
        <f>SUM(H621:H621)</f>
        <v>126</v>
      </c>
      <c r="J621" s="924">
        <f>+I621/H637</f>
        <v>3.6300777873811585E-2</v>
      </c>
      <c r="K621" s="539"/>
      <c r="L621" s="544" t="str">
        <f>+'Precios Equipos'!C205</f>
        <v>Diseño Ingenieria Tableros Autosoportados</v>
      </c>
      <c r="M621" s="545">
        <f>IFERROR(VLOOKUP(L621,'Precios Equipos'!$C$11:$F$208,3,0),0)</f>
        <v>63</v>
      </c>
      <c r="Q621" s="465">
        <f>+C621*$C$615</f>
        <v>6</v>
      </c>
    </row>
    <row r="622" spans="1:17" x14ac:dyDescent="0.25">
      <c r="B622" s="493"/>
      <c r="C622" s="526"/>
      <c r="D622" s="494"/>
      <c r="E622" s="550"/>
      <c r="F622" s="497"/>
      <c r="G622" s="561" t="str">
        <f>IFERROR(VLOOKUP(D622,'Precios Equipos'!$C$1:$F$2047,3,0),"")</f>
        <v/>
      </c>
      <c r="H622" s="561" t="str">
        <f t="shared" si="72"/>
        <v/>
      </c>
      <c r="I622" s="477"/>
      <c r="K622" s="539"/>
      <c r="L622" s="922" t="str">
        <f>+'Precios Equipos'!$C$111</f>
        <v>SISTEMA DE BARRAS 08-10 POLOS</v>
      </c>
      <c r="M622" s="545">
        <f>IFERROR(VLOOKUP(L622,'Precios Equipos'!$C$11:$F$208,3,0),0)</f>
        <v>23</v>
      </c>
    </row>
    <row r="623" spans="1:17" ht="16.5" thickBot="1" x14ac:dyDescent="0.3">
      <c r="B623" s="493"/>
      <c r="C623" s="526"/>
      <c r="D623" s="620" t="s">
        <v>549</v>
      </c>
      <c r="E623" s="550"/>
      <c r="F623" s="497"/>
      <c r="G623" s="561" t="str">
        <f>IFERROR(VLOOKUP(D623,'Precios Equipos'!$C$1:$F$2047,3,0),"")</f>
        <v/>
      </c>
      <c r="H623" s="561" t="str">
        <f t="shared" si="72"/>
        <v/>
      </c>
      <c r="I623" s="477"/>
      <c r="K623" s="539"/>
      <c r="L623" s="923" t="str">
        <f>+'Precios Equipos'!$C$135</f>
        <v>CABLEADO 4 DIFERENCIALES, 2P</v>
      </c>
      <c r="M623" s="545">
        <f>IFERROR(VLOOKUP(L623,'Precios Equipos'!$C$11:$F$208,3,0),0)</f>
        <v>6</v>
      </c>
    </row>
    <row r="624" spans="1:17" ht="16.5" thickBot="1" x14ac:dyDescent="0.3">
      <c r="B624" s="493"/>
      <c r="C624" s="526">
        <v>1</v>
      </c>
      <c r="D624" s="494" t="str">
        <f>+'Precios Equipos'!C89</f>
        <v>Centro de Control y Monitoreo de Microgridador de carga 450V/200A</v>
      </c>
      <c r="E624" s="550" t="s">
        <v>575</v>
      </c>
      <c r="F624" s="497"/>
      <c r="G624" s="561">
        <f>IFERROR(VLOOKUP(D624,'Precios Equipos'!$C$1:$F$2047,3,0),"")</f>
        <v>34</v>
      </c>
      <c r="H624" s="561">
        <f t="shared" si="72"/>
        <v>34</v>
      </c>
      <c r="I624" s="561">
        <f>SUM(H624:H624)</f>
        <v>34</v>
      </c>
      <c r="J624" s="924">
        <f>+I624/H637</f>
        <v>9.7954479976951891E-3</v>
      </c>
      <c r="K624" s="539"/>
      <c r="L624" s="546" t="s">
        <v>89</v>
      </c>
      <c r="M624" s="560">
        <f>SUM(M620:M623)</f>
        <v>98</v>
      </c>
      <c r="Q624" s="465">
        <f>+C624*$C$615</f>
        <v>2</v>
      </c>
    </row>
    <row r="625" spans="2:17" x14ac:dyDescent="0.25">
      <c r="B625" s="493"/>
      <c r="C625" s="526"/>
      <c r="D625" s="494"/>
      <c r="F625" s="495"/>
      <c r="G625" s="561" t="str">
        <f>IFERROR(VLOOKUP(D625,'Precios Equipos'!$C$1:$F$2047,3,0),"")</f>
        <v/>
      </c>
      <c r="H625" s="561" t="str">
        <f t="shared" si="72"/>
        <v/>
      </c>
      <c r="I625" s="477"/>
      <c r="K625" s="539"/>
      <c r="O625" s="468"/>
    </row>
    <row r="626" spans="2:17" x14ac:dyDescent="0.25">
      <c r="B626" s="493"/>
      <c r="C626" s="526"/>
      <c r="D626" s="620" t="s">
        <v>813</v>
      </c>
      <c r="F626" s="495"/>
      <c r="G626" s="561" t="str">
        <f>IFERROR(VLOOKUP(D626,'Precios Equipos'!$C$1:$F$2047,3,0),"")</f>
        <v/>
      </c>
      <c r="H626" s="561" t="str">
        <f t="shared" si="72"/>
        <v/>
      </c>
      <c r="I626" s="477"/>
      <c r="K626" s="539"/>
      <c r="O626" s="468"/>
    </row>
    <row r="627" spans="2:17" x14ac:dyDescent="0.25">
      <c r="B627" s="493"/>
      <c r="C627" s="526">
        <v>2</v>
      </c>
      <c r="D627" s="494" t="str">
        <f>+'Precios Equipos'!$C$93</f>
        <v>Aire Acondicionado 800W</v>
      </c>
      <c r="F627" s="495"/>
      <c r="G627" s="561">
        <f>IFERROR(VLOOKUP(D627,'Precios Equipos'!$C$1:$F$2047,3,0),"")</f>
        <v>24</v>
      </c>
      <c r="H627" s="561">
        <f t="shared" si="72"/>
        <v>48</v>
      </c>
      <c r="I627" s="477"/>
      <c r="K627" s="539"/>
      <c r="O627" s="468"/>
      <c r="Q627" s="465">
        <f>+C627*$C$615</f>
        <v>4</v>
      </c>
    </row>
    <row r="628" spans="2:17" x14ac:dyDescent="0.25">
      <c r="B628" s="493"/>
      <c r="C628" s="526"/>
      <c r="D628" s="494"/>
      <c r="F628" s="495"/>
      <c r="G628" s="561" t="str">
        <f>IFERROR(VLOOKUP(D628,'Precios Equipos'!$C$1:$F$2047,3,0),"")</f>
        <v/>
      </c>
      <c r="H628" s="561" t="str">
        <f t="shared" ref="H628:H632" si="73">IFERROR(G628*C628,"")</f>
        <v/>
      </c>
      <c r="I628" s="477"/>
      <c r="K628" s="539"/>
      <c r="O628" s="468"/>
    </row>
    <row r="629" spans="2:17" x14ac:dyDescent="0.25">
      <c r="B629" s="493"/>
      <c r="C629" s="526"/>
      <c r="D629" s="620" t="s">
        <v>819</v>
      </c>
      <c r="F629" s="495"/>
      <c r="G629" s="561" t="str">
        <f>IFERROR(VLOOKUP(D629,'Precios Equipos'!$C$1:$F$2047,3,0),"")</f>
        <v/>
      </c>
      <c r="H629" s="561" t="str">
        <f t="shared" si="73"/>
        <v/>
      </c>
      <c r="I629" s="477"/>
      <c r="K629" s="539"/>
      <c r="O629" s="468"/>
    </row>
    <row r="630" spans="2:17" x14ac:dyDescent="0.25">
      <c r="B630" s="493"/>
      <c r="C630" s="526">
        <v>4</v>
      </c>
      <c r="D630" s="468" t="str">
        <f>+'Precios Equipos'!$C$55</f>
        <v>Interruptor Riel Din 2x25A. S202M 20kA en 250VDC, ABB</v>
      </c>
      <c r="F630" s="495"/>
      <c r="G630" s="561">
        <f>IFERROR(VLOOKUP(D630,'Precios Equipos'!$C$1:$F$2047,3,0),"")</f>
        <v>382</v>
      </c>
      <c r="H630" s="561">
        <f t="shared" si="73"/>
        <v>1528</v>
      </c>
      <c r="I630" s="477"/>
      <c r="K630" s="539"/>
      <c r="O630" s="468"/>
      <c r="Q630" s="465">
        <f>+C630*$C$615</f>
        <v>8</v>
      </c>
    </row>
    <row r="631" spans="2:17" x14ac:dyDescent="0.25">
      <c r="B631" s="493"/>
      <c r="C631" s="526">
        <v>4</v>
      </c>
      <c r="D631" s="468" t="str">
        <f>+'Precios Equipos'!$C$60</f>
        <v>Protector de sobretension SPD DC 2P, 1000V DC, CLAMPER/DC SURGE PROTECCION</v>
      </c>
      <c r="F631" s="495"/>
      <c r="G631" s="561">
        <f>IFERROR(VLOOKUP(D631,'Precios Equipos'!$C$1:$F$2047,3,0),"")</f>
        <v>405</v>
      </c>
      <c r="H631" s="561">
        <f t="shared" si="73"/>
        <v>1620</v>
      </c>
      <c r="I631" s="477"/>
      <c r="K631" s="539"/>
      <c r="O631" s="468"/>
      <c r="Q631" s="465">
        <f>+C631*$C$615</f>
        <v>8</v>
      </c>
    </row>
    <row r="632" spans="2:17" x14ac:dyDescent="0.25">
      <c r="B632" s="493"/>
      <c r="C632" s="526"/>
      <c r="D632" s="494"/>
      <c r="F632" s="495"/>
      <c r="G632" s="561" t="str">
        <f>IFERROR(VLOOKUP(D632,'Precios Equipos'!$C$1:$F$2047,3,0),"")</f>
        <v/>
      </c>
      <c r="H632" s="561" t="str">
        <f t="shared" si="73"/>
        <v/>
      </c>
      <c r="I632" s="477"/>
      <c r="K632" s="539"/>
      <c r="O632" s="468"/>
    </row>
    <row r="633" spans="2:17" x14ac:dyDescent="0.25">
      <c r="B633" s="493"/>
      <c r="C633" s="526"/>
      <c r="D633" s="620" t="s">
        <v>87</v>
      </c>
      <c r="F633" s="495"/>
      <c r="G633" s="561" t="str">
        <f>IFERROR(VLOOKUP(D633,'Precios Equipos'!$C$1:$F$2047,3,0),"")</f>
        <v/>
      </c>
      <c r="H633" s="561" t="str">
        <f t="shared" si="72"/>
        <v/>
      </c>
      <c r="I633" s="477"/>
      <c r="K633" s="539"/>
      <c r="O633" s="468"/>
    </row>
    <row r="634" spans="2:17" x14ac:dyDescent="0.25">
      <c r="B634" s="493"/>
      <c r="C634" s="526">
        <v>1</v>
      </c>
      <c r="D634" s="494" t="s">
        <v>49</v>
      </c>
      <c r="F634" s="495"/>
      <c r="G634" s="561"/>
      <c r="H634" s="577">
        <f>M624</f>
        <v>98</v>
      </c>
      <c r="I634" s="561">
        <f>+H634</f>
        <v>98</v>
      </c>
      <c r="J634" s="924">
        <f>+I634/H637</f>
        <v>2.8233938346297897E-2</v>
      </c>
      <c r="K634" s="539"/>
      <c r="O634" s="468"/>
    </row>
    <row r="635" spans="2:17" x14ac:dyDescent="0.25">
      <c r="B635" s="493"/>
      <c r="C635" s="526">
        <v>1</v>
      </c>
      <c r="D635" s="494" t="s">
        <v>51</v>
      </c>
      <c r="F635" s="495"/>
      <c r="G635" s="479"/>
      <c r="H635" s="561">
        <f>O153</f>
        <v>0</v>
      </c>
      <c r="I635" s="1081">
        <f>+H635+H636</f>
        <v>0</v>
      </c>
      <c r="J635" s="1114">
        <f>+I635/H637</f>
        <v>0</v>
      </c>
      <c r="K635" s="539"/>
      <c r="O635" s="468"/>
    </row>
    <row r="636" spans="2:17" x14ac:dyDescent="0.25">
      <c r="B636" s="493"/>
      <c r="C636" s="526">
        <v>1</v>
      </c>
      <c r="D636" s="467" t="s">
        <v>20</v>
      </c>
      <c r="F636" s="495"/>
      <c r="G636" s="479"/>
      <c r="H636" s="561">
        <f>O154</f>
        <v>0</v>
      </c>
      <c r="I636" s="1083"/>
      <c r="J636" s="1115"/>
      <c r="K636" s="539"/>
      <c r="O636" s="468"/>
    </row>
    <row r="637" spans="2:17" x14ac:dyDescent="0.25">
      <c r="B637" s="493"/>
      <c r="C637" s="526">
        <v>1</v>
      </c>
      <c r="D637" s="467" t="s">
        <v>52</v>
      </c>
      <c r="F637" s="495"/>
      <c r="G637" s="553" t="s">
        <v>97</v>
      </c>
      <c r="H637" s="561">
        <f>SUM(H617:H636)</f>
        <v>3471</v>
      </c>
      <c r="I637" s="477"/>
      <c r="K637" s="539"/>
      <c r="O637" s="468"/>
    </row>
    <row r="638" spans="2:17" x14ac:dyDescent="0.25">
      <c r="B638" s="493"/>
      <c r="C638" s="526">
        <v>1</v>
      </c>
      <c r="D638" s="467" t="s">
        <v>900</v>
      </c>
      <c r="F638" s="495"/>
      <c r="G638" s="553" t="s">
        <v>105</v>
      </c>
      <c r="H638" s="561">
        <f>H637*$M$152</f>
        <v>694.2</v>
      </c>
      <c r="I638" s="477"/>
      <c r="K638" s="539"/>
      <c r="O638" s="468"/>
    </row>
    <row r="639" spans="2:17" x14ac:dyDescent="0.25">
      <c r="B639" s="521"/>
      <c r="C639" s="527" t="s">
        <v>17</v>
      </c>
      <c r="D639" s="522" t="s">
        <v>48</v>
      </c>
      <c r="E639" s="523"/>
      <c r="F639" s="524"/>
      <c r="G639" s="553" t="s">
        <v>452</v>
      </c>
      <c r="H639" s="553">
        <f>H637+H638</f>
        <v>4165.2</v>
      </c>
      <c r="I639" s="477"/>
      <c r="K639" s="539"/>
      <c r="O639" s="468"/>
    </row>
    <row r="640" spans="2:17" x14ac:dyDescent="0.25">
      <c r="G640" s="477"/>
      <c r="I640" s="477"/>
      <c r="K640" s="539"/>
      <c r="O640" s="468"/>
    </row>
    <row r="641" spans="1:17" x14ac:dyDescent="0.25">
      <c r="B641" s="514" t="s">
        <v>6</v>
      </c>
      <c r="C641" s="515" t="s">
        <v>0</v>
      </c>
      <c r="D641" s="556" t="s">
        <v>8</v>
      </c>
      <c r="E641" s="597" t="s">
        <v>4</v>
      </c>
      <c r="F641" s="516" t="s">
        <v>3</v>
      </c>
      <c r="G641" s="477"/>
      <c r="H641" s="477"/>
      <c r="I641" s="477"/>
      <c r="K641" s="539"/>
      <c r="O641" s="468"/>
    </row>
    <row r="642" spans="1:17" x14ac:dyDescent="0.25">
      <c r="A642" s="463">
        <v>145</v>
      </c>
      <c r="B642" s="1077">
        <f>B48</f>
        <v>3.1299999999999972</v>
      </c>
      <c r="C642" s="1077">
        <f>C48</f>
        <v>3</v>
      </c>
      <c r="D642" s="1091" t="str">
        <f>D48</f>
        <v>TABLEROS DE POTENCIA TIPO 11 (incluye aire acondicionado)</v>
      </c>
      <c r="E642" s="517">
        <f>H667</f>
        <v>5110.8</v>
      </c>
      <c r="F642" s="518">
        <f>+E642*C642</f>
        <v>15332.400000000001</v>
      </c>
      <c r="G642" s="553" t="s">
        <v>450</v>
      </c>
      <c r="H642" s="553" t="s">
        <v>1</v>
      </c>
      <c r="I642" s="477"/>
      <c r="K642" s="539"/>
      <c r="O642" s="468"/>
    </row>
    <row r="643" spans="1:17" x14ac:dyDescent="0.25">
      <c r="B643" s="1078"/>
      <c r="C643" s="1078"/>
      <c r="D643" s="1092"/>
      <c r="E643" s="519" t="s">
        <v>50</v>
      </c>
      <c r="F643" s="520" t="s">
        <v>50</v>
      </c>
      <c r="G643" s="553" t="s">
        <v>50</v>
      </c>
      <c r="H643" s="553" t="s">
        <v>50</v>
      </c>
      <c r="I643" s="477"/>
      <c r="K643" s="539"/>
      <c r="O643" s="468"/>
    </row>
    <row r="644" spans="1:17" x14ac:dyDescent="0.25">
      <c r="B644" s="490"/>
      <c r="C644" s="526"/>
      <c r="D644" s="463"/>
      <c r="E644" s="491"/>
      <c r="F644" s="492"/>
      <c r="G644" s="561" t="str">
        <f>IFERROR(VLOOKUP(D644,'Precios Equipos'!$C$1:$F$2047,3,0),"")</f>
        <v/>
      </c>
      <c r="H644" s="561" t="str">
        <f t="shared" ref="H644:H661" si="74">IFERROR(G644*C644,"")</f>
        <v/>
      </c>
      <c r="I644" s="477"/>
      <c r="K644" s="539"/>
      <c r="O644" s="468"/>
    </row>
    <row r="645" spans="1:17" x14ac:dyDescent="0.25">
      <c r="B645" s="493"/>
      <c r="C645" s="526">
        <v>1</v>
      </c>
      <c r="D645" s="500" t="str">
        <f>+'Precios Equipos'!$C$197</f>
        <v>Gabinete Autosoportado 2400x1200(2 Puertas)x700mm. (Alto x ancho x profundidad)</v>
      </c>
      <c r="F645" s="495"/>
      <c r="G645" s="561">
        <f>IFERROR(VLOOKUP(D645,'Precios Equipos'!$C$1:$F$2047,3,0),"")</f>
        <v>17</v>
      </c>
      <c r="H645" s="561">
        <f t="shared" si="74"/>
        <v>17</v>
      </c>
      <c r="I645" s="561">
        <f>+H645</f>
        <v>17</v>
      </c>
      <c r="J645" s="924">
        <f>+I645/H665</f>
        <v>3.9915473115754874E-3</v>
      </c>
      <c r="K645" s="539"/>
      <c r="O645" s="468"/>
      <c r="Q645" s="465">
        <f>+C645*$C$642</f>
        <v>3</v>
      </c>
    </row>
    <row r="646" spans="1:17" ht="16.5" thickBot="1" x14ac:dyDescent="0.3">
      <c r="B646" s="493"/>
      <c r="C646" s="526"/>
      <c r="D646" s="494"/>
      <c r="F646" s="495"/>
      <c r="G646" s="561" t="str">
        <f>IFERROR(VLOOKUP(D646,'Precios Equipos'!$C$1:$F$2047,3,0),"")</f>
        <v/>
      </c>
      <c r="H646" s="561" t="str">
        <f t="shared" si="74"/>
        <v/>
      </c>
      <c r="I646" s="477"/>
      <c r="K646" s="539"/>
      <c r="O646" s="468"/>
    </row>
    <row r="647" spans="1:17" ht="16.5" thickBot="1" x14ac:dyDescent="0.3">
      <c r="B647" s="493"/>
      <c r="C647" s="526"/>
      <c r="D647" s="620" t="s">
        <v>788</v>
      </c>
      <c r="E647" s="467"/>
      <c r="F647" s="495"/>
      <c r="G647" s="561" t="str">
        <f>IFERROR(VLOOKUP(D647,'Precios Equipos'!$C$1:$F$2047,3,0),"")</f>
        <v/>
      </c>
      <c r="H647" s="561" t="str">
        <f t="shared" si="74"/>
        <v/>
      </c>
      <c r="I647" s="477"/>
      <c r="K647" s="539"/>
      <c r="L647" s="540" t="s">
        <v>451</v>
      </c>
      <c r="M647" s="541"/>
      <c r="O647" s="468"/>
    </row>
    <row r="648" spans="1:17" ht="16.5" thickBot="1" x14ac:dyDescent="0.3">
      <c r="B648" s="493"/>
      <c r="C648" s="526">
        <v>3</v>
      </c>
      <c r="D648" s="494" t="str">
        <f>+'Precios Equipos'!C101</f>
        <v>Inversor Bidireccional 5 KVA</v>
      </c>
      <c r="E648" s="550" t="s">
        <v>575</v>
      </c>
      <c r="F648" s="495"/>
      <c r="G648" s="561">
        <f>IFERROR(VLOOKUP(D648,'Precios Equipos'!$C$1:$F$2047,3,0),"")</f>
        <v>42</v>
      </c>
      <c r="H648" s="561">
        <f t="shared" si="74"/>
        <v>126</v>
      </c>
      <c r="I648" s="561">
        <f>SUM(H648:H648)</f>
        <v>126</v>
      </c>
      <c r="J648" s="924">
        <f>+I648/H665</f>
        <v>2.9584409485794789E-2</v>
      </c>
      <c r="K648" s="539"/>
      <c r="L648" s="542" t="s">
        <v>88</v>
      </c>
      <c r="M648" s="543" t="s">
        <v>85</v>
      </c>
      <c r="Q648" s="465">
        <f>+C648*$C$642</f>
        <v>9</v>
      </c>
    </row>
    <row r="649" spans="1:17" x14ac:dyDescent="0.25">
      <c r="B649" s="493"/>
      <c r="C649" s="526"/>
      <c r="D649" s="494"/>
      <c r="E649" s="550"/>
      <c r="F649" s="497"/>
      <c r="G649" s="561" t="str">
        <f>IFERROR(VLOOKUP(D649,'Precios Equipos'!$C$1:$F$2047,3,0),"")</f>
        <v/>
      </c>
      <c r="H649" s="561" t="str">
        <f t="shared" si="74"/>
        <v/>
      </c>
      <c r="I649" s="477"/>
      <c r="K649" s="539"/>
      <c r="L649" s="920" t="str">
        <f>+'Precios Equipos'!C149</f>
        <v>M. DE OBRA (TIPO 11, 12 y 13) MONTAJE AIRE ACONDICIONADO Y ACCESORIOS</v>
      </c>
      <c r="M649" s="545">
        <f>IFERROR(VLOOKUP(L649,'Precios Equipos'!$C$11:$F$208,3,0),0)</f>
        <v>6</v>
      </c>
    </row>
    <row r="650" spans="1:17" x14ac:dyDescent="0.25">
      <c r="B650" s="493"/>
      <c r="C650" s="526"/>
      <c r="D650" s="620" t="s">
        <v>549</v>
      </c>
      <c r="E650" s="550"/>
      <c r="F650" s="497"/>
      <c r="G650" s="561" t="str">
        <f>IFERROR(VLOOKUP(D650,'Precios Equipos'!$C$1:$F$2047,3,0),"")</f>
        <v/>
      </c>
      <c r="H650" s="561" t="str">
        <f t="shared" si="74"/>
        <v/>
      </c>
      <c r="I650" s="477"/>
      <c r="K650" s="539"/>
      <c r="L650" s="920" t="str">
        <f>+'Precios Equipos'!C205</f>
        <v>Diseño Ingenieria Tableros Autosoportados</v>
      </c>
      <c r="M650" s="545">
        <f>IFERROR(VLOOKUP(L650,'Precios Equipos'!$C$11:$F$208,3,0),0)</f>
        <v>63</v>
      </c>
    </row>
    <row r="651" spans="1:17" x14ac:dyDescent="0.25">
      <c r="B651" s="493"/>
      <c r="C651" s="526">
        <v>1</v>
      </c>
      <c r="D651" s="494" t="str">
        <f>+'Precios Equipos'!C88</f>
        <v>Centro de Control y Monitoreo de Microgridador de carga 450V/100A</v>
      </c>
      <c r="E651" s="550" t="s">
        <v>575</v>
      </c>
      <c r="F651" s="497"/>
      <c r="G651" s="561">
        <f>IFERROR(VLOOKUP(D651,'Precios Equipos'!$C$1:$F$2047,3,0),"")</f>
        <v>24</v>
      </c>
      <c r="H651" s="561">
        <f t="shared" si="74"/>
        <v>24</v>
      </c>
      <c r="I651" s="1087">
        <f>SUM(H651:H659)</f>
        <v>4041</v>
      </c>
      <c r="J651" s="1088">
        <f>+I651/H665</f>
        <v>0.9488142756515614</v>
      </c>
      <c r="K651" s="539"/>
      <c r="L651" s="922" t="str">
        <f>+'Precios Equipos'!$C$113</f>
        <v>SISTEMA DE BARRAS 14-16 POLOS</v>
      </c>
      <c r="M651" s="545">
        <f>IFERROR(VLOOKUP(L651,'Precios Equipos'!$C$11:$F$208,3,0),0)</f>
        <v>6</v>
      </c>
      <c r="O651" s="468"/>
      <c r="Q651" s="465">
        <f>+C651*$C$642</f>
        <v>3</v>
      </c>
    </row>
    <row r="652" spans="1:17" ht="16.5" thickBot="1" x14ac:dyDescent="0.3">
      <c r="B652" s="493"/>
      <c r="C652" s="526">
        <v>1</v>
      </c>
      <c r="D652" s="494" t="str">
        <f>+'Precios Equipos'!C89</f>
        <v>Centro de Control y Monitoreo de Microgridador de carga 450V/200A</v>
      </c>
      <c r="E652" s="550" t="s">
        <v>575</v>
      </c>
      <c r="F652" s="497"/>
      <c r="G652" s="561">
        <f>IFERROR(VLOOKUP(D652,'Precios Equipos'!$C$1:$F$2047,3,0),"")</f>
        <v>34</v>
      </c>
      <c r="H652" s="561">
        <f t="shared" si="74"/>
        <v>34</v>
      </c>
      <c r="I652" s="1087"/>
      <c r="J652" s="1088"/>
      <c r="K652" s="539"/>
      <c r="L652" s="923" t="str">
        <f>+'Precios Equipos'!$C$136</f>
        <v>CABLEADO 5 DIFERENCIALES, 2P</v>
      </c>
      <c r="M652" s="545">
        <f>IFERROR(VLOOKUP(L652,'Precios Equipos'!$C$11:$F$208,3,0),0)</f>
        <v>0</v>
      </c>
      <c r="O652" s="468"/>
      <c r="Q652" s="465">
        <f>+C652*$C$642</f>
        <v>3</v>
      </c>
    </row>
    <row r="653" spans="1:17" ht="16.5" thickBot="1" x14ac:dyDescent="0.3">
      <c r="B653" s="493"/>
      <c r="C653" s="526"/>
      <c r="D653" s="494"/>
      <c r="F653" s="495"/>
      <c r="G653" s="561" t="str">
        <f>IFERROR(VLOOKUP(D653,'Precios Equipos'!$C$1:$F$2047,3,0),"")</f>
        <v/>
      </c>
      <c r="H653" s="561" t="str">
        <f t="shared" si="74"/>
        <v/>
      </c>
      <c r="I653" s="1087"/>
      <c r="J653" s="1088"/>
      <c r="K653" s="539"/>
      <c r="L653" s="546" t="s">
        <v>89</v>
      </c>
      <c r="M653" s="560">
        <f>SUM(M649:M652)</f>
        <v>75</v>
      </c>
      <c r="O653" s="468"/>
    </row>
    <row r="654" spans="1:17" x14ac:dyDescent="0.25">
      <c r="B654" s="493"/>
      <c r="C654" s="526"/>
      <c r="D654" s="620" t="s">
        <v>813</v>
      </c>
      <c r="F654" s="495"/>
      <c r="G654" s="561" t="str">
        <f>IFERROR(VLOOKUP(D654,'Precios Equipos'!$C$1:$F$2047,3,0),"")</f>
        <v/>
      </c>
      <c r="H654" s="561" t="str">
        <f t="shared" si="74"/>
        <v/>
      </c>
      <c r="I654" s="1087"/>
      <c r="J654" s="1088"/>
      <c r="K654" s="539"/>
      <c r="O654" s="468"/>
    </row>
    <row r="655" spans="1:17" x14ac:dyDescent="0.25">
      <c r="B655" s="493"/>
      <c r="C655" s="526">
        <v>2</v>
      </c>
      <c r="D655" s="494" t="str">
        <f>+'Precios Equipos'!$C$93</f>
        <v>Aire Acondicionado 800W</v>
      </c>
      <c r="F655" s="495"/>
      <c r="G655" s="561">
        <f>IFERROR(VLOOKUP(D655,'Precios Equipos'!$C$1:$F$2047,3,0),"")</f>
        <v>24</v>
      </c>
      <c r="H655" s="561">
        <f>IFERROR(G655*C655,"")</f>
        <v>48</v>
      </c>
      <c r="I655" s="1087"/>
      <c r="J655" s="1088"/>
      <c r="K655" s="539"/>
      <c r="O655" s="468"/>
      <c r="Q655" s="465">
        <f>+C655*$C$642</f>
        <v>6</v>
      </c>
    </row>
    <row r="656" spans="1:17" x14ac:dyDescent="0.25">
      <c r="B656" s="493"/>
      <c r="C656" s="526"/>
      <c r="D656" s="494"/>
      <c r="F656" s="495"/>
      <c r="G656" s="561" t="str">
        <f>IFERROR(VLOOKUP(D656,'Precios Equipos'!$C$1:$F$2047,3,0),"")</f>
        <v/>
      </c>
      <c r="H656" s="561" t="str">
        <f t="shared" ref="H656:H660" si="75">IFERROR(G656*C656,"")</f>
        <v/>
      </c>
      <c r="I656" s="1087"/>
      <c r="J656" s="1088"/>
      <c r="K656" s="539"/>
      <c r="O656" s="468"/>
    </row>
    <row r="657" spans="1:17" x14ac:dyDescent="0.25">
      <c r="B657" s="493"/>
      <c r="C657" s="526"/>
      <c r="D657" s="620" t="s">
        <v>819</v>
      </c>
      <c r="F657" s="495"/>
      <c r="G657" s="561" t="str">
        <f>IFERROR(VLOOKUP(D657,'Precios Equipos'!$C$1:$F$2047,3,0),"")</f>
        <v/>
      </c>
      <c r="H657" s="561" t="str">
        <f t="shared" si="75"/>
        <v/>
      </c>
      <c r="I657" s="1087"/>
      <c r="J657" s="1088"/>
      <c r="K657" s="539"/>
      <c r="O657" s="468"/>
    </row>
    <row r="658" spans="1:17" x14ac:dyDescent="0.25">
      <c r="B658" s="493"/>
      <c r="C658" s="526">
        <v>5</v>
      </c>
      <c r="D658" s="468" t="str">
        <f>+'Precios Equipos'!$C$55</f>
        <v>Interruptor Riel Din 2x25A. S202M 20kA en 250VDC, ABB</v>
      </c>
      <c r="F658" s="495"/>
      <c r="G658" s="561">
        <f>IFERROR(VLOOKUP(D658,'Precios Equipos'!$C$1:$F$2047,3,0),"")</f>
        <v>382</v>
      </c>
      <c r="H658" s="561">
        <f t="shared" si="75"/>
        <v>1910</v>
      </c>
      <c r="I658" s="1087"/>
      <c r="J658" s="1088"/>
      <c r="K658" s="539"/>
      <c r="O658" s="468"/>
      <c r="Q658" s="465">
        <f>+C658*$C$642</f>
        <v>15</v>
      </c>
    </row>
    <row r="659" spans="1:17" x14ac:dyDescent="0.25">
      <c r="B659" s="493"/>
      <c r="C659" s="526">
        <v>5</v>
      </c>
      <c r="D659" s="468" t="str">
        <f>+'Precios Equipos'!$C$60</f>
        <v>Protector de sobretension SPD DC 2P, 1000V DC, CLAMPER/DC SURGE PROTECCION</v>
      </c>
      <c r="F659" s="495"/>
      <c r="G659" s="561">
        <f>IFERROR(VLOOKUP(D659,'Precios Equipos'!$C$1:$F$2047,3,0),"")</f>
        <v>405</v>
      </c>
      <c r="H659" s="561">
        <f t="shared" si="75"/>
        <v>2025</v>
      </c>
      <c r="I659" s="1087"/>
      <c r="J659" s="1088"/>
      <c r="K659" s="539"/>
      <c r="O659" s="468"/>
      <c r="Q659" s="465">
        <f>+C659*$C$642</f>
        <v>15</v>
      </c>
    </row>
    <row r="660" spans="1:17" x14ac:dyDescent="0.25">
      <c r="B660" s="493"/>
      <c r="C660" s="526"/>
      <c r="D660" s="494"/>
      <c r="F660" s="495"/>
      <c r="G660" s="561" t="str">
        <f>IFERROR(VLOOKUP(D660,'Precios Equipos'!$C$1:$F$2047,3,0),"")</f>
        <v/>
      </c>
      <c r="H660" s="561" t="str">
        <f t="shared" si="75"/>
        <v/>
      </c>
      <c r="I660" s="477"/>
      <c r="K660" s="539"/>
      <c r="O660" s="468"/>
    </row>
    <row r="661" spans="1:17" x14ac:dyDescent="0.25">
      <c r="B661" s="493"/>
      <c r="C661" s="526"/>
      <c r="D661" s="620" t="s">
        <v>87</v>
      </c>
      <c r="F661" s="495"/>
      <c r="G661" s="561" t="str">
        <f>IFERROR(VLOOKUP(D661,'Precios Equipos'!$C$1:$F$2047,3,0),"")</f>
        <v/>
      </c>
      <c r="H661" s="561" t="str">
        <f t="shared" si="74"/>
        <v/>
      </c>
      <c r="I661" s="477"/>
      <c r="K661" s="539"/>
      <c r="O661" s="468"/>
    </row>
    <row r="662" spans="1:17" x14ac:dyDescent="0.25">
      <c r="B662" s="493"/>
      <c r="C662" s="526">
        <v>1</v>
      </c>
      <c r="D662" s="494" t="s">
        <v>49</v>
      </c>
      <c r="F662" s="495"/>
      <c r="G662" s="561"/>
      <c r="H662" s="561">
        <f>M653</f>
        <v>75</v>
      </c>
      <c r="I662" s="561">
        <f>+H662</f>
        <v>75</v>
      </c>
      <c r="J662" s="924">
        <f>+I662/H665</f>
        <v>1.7609767551068325E-2</v>
      </c>
      <c r="K662" s="539"/>
      <c r="O662" s="468"/>
    </row>
    <row r="663" spans="1:17" x14ac:dyDescent="0.25">
      <c r="B663" s="493"/>
      <c r="C663" s="526">
        <v>1</v>
      </c>
      <c r="D663" s="494" t="s">
        <v>51</v>
      </c>
      <c r="F663" s="495"/>
      <c r="G663" s="561"/>
      <c r="H663" s="577">
        <f>O153</f>
        <v>0</v>
      </c>
      <c r="I663" s="1087">
        <f>+H663+H664</f>
        <v>0</v>
      </c>
      <c r="J663" s="1088">
        <f>+I663/H665</f>
        <v>0</v>
      </c>
      <c r="K663" s="539"/>
      <c r="O663" s="468"/>
    </row>
    <row r="664" spans="1:17" x14ac:dyDescent="0.25">
      <c r="B664" s="493"/>
      <c r="C664" s="526">
        <v>1</v>
      </c>
      <c r="D664" s="467" t="s">
        <v>20</v>
      </c>
      <c r="F664" s="495"/>
      <c r="G664" s="561"/>
      <c r="H664" s="561">
        <f>O154</f>
        <v>0</v>
      </c>
      <c r="I664" s="1087"/>
      <c r="J664" s="1088"/>
      <c r="K664" s="539"/>
      <c r="O664" s="468"/>
    </row>
    <row r="665" spans="1:17" x14ac:dyDescent="0.25">
      <c r="B665" s="493"/>
      <c r="C665" s="526">
        <v>1</v>
      </c>
      <c r="D665" s="467" t="s">
        <v>52</v>
      </c>
      <c r="F665" s="495"/>
      <c r="G665" s="553" t="s">
        <v>97</v>
      </c>
      <c r="H665" s="561">
        <f>SUM(H645:H664)</f>
        <v>4259</v>
      </c>
      <c r="I665" s="477"/>
      <c r="K665" s="539"/>
      <c r="O665" s="468"/>
    </row>
    <row r="666" spans="1:17" x14ac:dyDescent="0.25">
      <c r="B666" s="493"/>
      <c r="C666" s="526">
        <v>1</v>
      </c>
      <c r="D666" s="467" t="s">
        <v>900</v>
      </c>
      <c r="F666" s="495"/>
      <c r="G666" s="553" t="s">
        <v>105</v>
      </c>
      <c r="H666" s="561">
        <f>H665*$M$152</f>
        <v>851.80000000000007</v>
      </c>
      <c r="I666" s="477"/>
      <c r="K666" s="539"/>
      <c r="O666" s="468"/>
    </row>
    <row r="667" spans="1:17" x14ac:dyDescent="0.25">
      <c r="B667" s="521"/>
      <c r="C667" s="527" t="s">
        <v>17</v>
      </c>
      <c r="D667" s="522" t="s">
        <v>48</v>
      </c>
      <c r="E667" s="523"/>
      <c r="F667" s="524"/>
      <c r="G667" s="553" t="s">
        <v>452</v>
      </c>
      <c r="H667" s="553">
        <f>H665+H666</f>
        <v>5110.8</v>
      </c>
      <c r="I667" s="477"/>
      <c r="K667" s="539"/>
      <c r="O667" s="468"/>
    </row>
    <row r="668" spans="1:17" x14ac:dyDescent="0.25">
      <c r="I668" s="477"/>
      <c r="K668" s="539"/>
      <c r="O668" s="468"/>
    </row>
    <row r="669" spans="1:17" x14ac:dyDescent="0.25">
      <c r="B669" s="514" t="s">
        <v>6</v>
      </c>
      <c r="C669" s="515" t="s">
        <v>0</v>
      </c>
      <c r="D669" s="606" t="s">
        <v>8</v>
      </c>
      <c r="E669" s="516" t="s">
        <v>4</v>
      </c>
      <c r="F669" s="516" t="s">
        <v>3</v>
      </c>
      <c r="I669" s="477"/>
      <c r="K669" s="539"/>
      <c r="O669" s="468"/>
    </row>
    <row r="670" spans="1:17" x14ac:dyDescent="0.25">
      <c r="A670" s="463">
        <v>146</v>
      </c>
      <c r="B670" s="1077">
        <f>B49</f>
        <v>3.139999999999997</v>
      </c>
      <c r="C670" s="1077">
        <f>C49</f>
        <v>1</v>
      </c>
      <c r="D670" s="1077" t="str">
        <f>D49</f>
        <v>TABLEROS DE POTENCIA TIPO 12 (incluye aire acondicionado)</v>
      </c>
      <c r="E670" s="518">
        <f>H696</f>
        <v>5110.8</v>
      </c>
      <c r="F670" s="518">
        <f>+E670*C670</f>
        <v>5110.8</v>
      </c>
      <c r="G670" s="551" t="s">
        <v>450</v>
      </c>
      <c r="H670" s="552" t="s">
        <v>1</v>
      </c>
      <c r="I670" s="477"/>
      <c r="K670" s="539"/>
      <c r="O670" s="468"/>
    </row>
    <row r="671" spans="1:17" ht="16.5" thickBot="1" x14ac:dyDescent="0.3">
      <c r="B671" s="1078"/>
      <c r="C671" s="1078"/>
      <c r="D671" s="1078"/>
      <c r="E671" s="520" t="s">
        <v>50</v>
      </c>
      <c r="F671" s="520" t="s">
        <v>50</v>
      </c>
      <c r="G671" s="554" t="s">
        <v>50</v>
      </c>
      <c r="H671" s="554" t="s">
        <v>50</v>
      </c>
      <c r="I671" s="477"/>
      <c r="K671" s="539"/>
      <c r="O671" s="468"/>
    </row>
    <row r="672" spans="1:17" ht="16.5" thickBot="1" x14ac:dyDescent="0.3">
      <c r="B672" s="490"/>
      <c r="C672" s="526"/>
      <c r="D672" s="463"/>
      <c r="E672" s="491"/>
      <c r="F672" s="492"/>
      <c r="G672" s="561" t="str">
        <f>IFERROR(VLOOKUP(D672,'Precios Equipos'!$C$1:$F$2047,3,0),"")</f>
        <v/>
      </c>
      <c r="H672" s="561" t="str">
        <f t="shared" ref="H672:H690" si="76">IFERROR(G672*C672,"")</f>
        <v/>
      </c>
      <c r="I672" s="477"/>
      <c r="K672" s="539"/>
      <c r="L672" s="540" t="s">
        <v>451</v>
      </c>
      <c r="M672" s="541"/>
      <c r="O672" s="468"/>
    </row>
    <row r="673" spans="2:17" ht="16.5" thickBot="1" x14ac:dyDescent="0.3">
      <c r="B673" s="493"/>
      <c r="C673" s="526">
        <v>1</v>
      </c>
      <c r="D673" s="500" t="str">
        <f>+'Precios Equipos'!$C$197</f>
        <v>Gabinete Autosoportado 2400x1200(2 Puertas)x700mm. (Alto x ancho x profundidad)</v>
      </c>
      <c r="F673" s="495"/>
      <c r="G673" s="561">
        <f>IFERROR(VLOOKUP(D673,'Precios Equipos'!$C$1:$F$2047,3,0),"")</f>
        <v>17</v>
      </c>
      <c r="H673" s="561">
        <f t="shared" si="76"/>
        <v>17</v>
      </c>
      <c r="I673" s="561">
        <f>+H673</f>
        <v>17</v>
      </c>
      <c r="J673" s="924">
        <f>+I673/H694</f>
        <v>3.9915473115754874E-3</v>
      </c>
      <c r="K673" s="539"/>
      <c r="L673" s="542" t="s">
        <v>88</v>
      </c>
      <c r="M673" s="543" t="s">
        <v>85</v>
      </c>
      <c r="O673" s="468"/>
      <c r="Q673" s="465">
        <f>+C673*$C$670</f>
        <v>1</v>
      </c>
    </row>
    <row r="674" spans="2:17" x14ac:dyDescent="0.25">
      <c r="B674" s="493"/>
      <c r="C674" s="526"/>
      <c r="D674" s="494"/>
      <c r="F674" s="495"/>
      <c r="G674" s="561" t="str">
        <f>IFERROR(VLOOKUP(D674,'Precios Equipos'!$C$1:$F$2047,3,0),"")</f>
        <v/>
      </c>
      <c r="H674" s="561" t="str">
        <f t="shared" si="76"/>
        <v/>
      </c>
      <c r="I674" s="477"/>
      <c r="K674" s="539"/>
      <c r="L674" s="544" t="str">
        <f>+'Precios Equipos'!C149</f>
        <v>M. DE OBRA (TIPO 11, 12 y 13) MONTAJE AIRE ACONDICIONADO Y ACCESORIOS</v>
      </c>
      <c r="M674" s="545">
        <f>IFERROR(VLOOKUP(L674,'Precios Equipos'!$C$11:$F$208,3,0),0)</f>
        <v>6</v>
      </c>
      <c r="O674" s="468"/>
    </row>
    <row r="675" spans="2:17" x14ac:dyDescent="0.25">
      <c r="B675" s="493"/>
      <c r="C675" s="526"/>
      <c r="D675" s="620" t="s">
        <v>788</v>
      </c>
      <c r="E675" s="467"/>
      <c r="F675" s="495"/>
      <c r="G675" s="561" t="str">
        <f>IFERROR(VLOOKUP(D675,'Precios Equipos'!$C$1:$F$2047,3,0),"")</f>
        <v/>
      </c>
      <c r="H675" s="561" t="str">
        <f t="shared" si="76"/>
        <v/>
      </c>
      <c r="I675" s="477"/>
      <c r="K675" s="539"/>
      <c r="L675" s="544" t="str">
        <f>+'Precios Equipos'!C205</f>
        <v>Diseño Ingenieria Tableros Autosoportados</v>
      </c>
      <c r="M675" s="545">
        <f>IFERROR(VLOOKUP(L675,'Precios Equipos'!$C$11:$F$208,3,0),0)</f>
        <v>63</v>
      </c>
    </row>
    <row r="676" spans="2:17" x14ac:dyDescent="0.25">
      <c r="B676" s="493"/>
      <c r="C676" s="526">
        <v>3</v>
      </c>
      <c r="D676" s="494" t="str">
        <f>+'Precios Equipos'!C101</f>
        <v>Inversor Bidireccional 5 KVA</v>
      </c>
      <c r="E676" s="550" t="s">
        <v>575</v>
      </c>
      <c r="F676" s="495"/>
      <c r="G676" s="561">
        <f>IFERROR(VLOOKUP(D676,'Precios Equipos'!$C$1:$F$2047,3,0),"")</f>
        <v>42</v>
      </c>
      <c r="H676" s="561">
        <f t="shared" si="76"/>
        <v>126</v>
      </c>
      <c r="I676" s="1087">
        <f>SUM(H676:H687)</f>
        <v>4167</v>
      </c>
      <c r="J676" s="1088">
        <f>+I676/H694</f>
        <v>0.97839868513735617</v>
      </c>
      <c r="K676" s="539"/>
      <c r="L676" s="922" t="str">
        <f>+'Precios Equipos'!$C$113</f>
        <v>SISTEMA DE BARRAS 14-16 POLOS</v>
      </c>
      <c r="M676" s="545">
        <f>IFERROR(VLOOKUP(L676,'Precios Equipos'!$C$11:$F$208,3,0),0)</f>
        <v>6</v>
      </c>
      <c r="Q676" s="465">
        <f>+C676*$C$670</f>
        <v>3</v>
      </c>
    </row>
    <row r="677" spans="2:17" ht="16.5" thickBot="1" x14ac:dyDescent="0.3">
      <c r="B677" s="493"/>
      <c r="C677" s="526"/>
      <c r="D677" s="494"/>
      <c r="E677" s="550"/>
      <c r="F677" s="495"/>
      <c r="G677" s="561" t="str">
        <f>IFERROR(VLOOKUP(D677,'Precios Equipos'!$C$1:$F$2047,3,0),"")</f>
        <v/>
      </c>
      <c r="H677" s="561" t="str">
        <f t="shared" si="76"/>
        <v/>
      </c>
      <c r="I677" s="1087"/>
      <c r="J677" s="1088"/>
      <c r="K677" s="539"/>
      <c r="L677" s="923" t="str">
        <f>+'Precios Equipos'!$C$136</f>
        <v>CABLEADO 5 DIFERENCIALES, 2P</v>
      </c>
      <c r="M677" s="545">
        <f>IFERROR(VLOOKUP(L677,'Precios Equipos'!$C$11:$F$208,3,0),0)</f>
        <v>0</v>
      </c>
    </row>
    <row r="678" spans="2:17" ht="16.5" thickBot="1" x14ac:dyDescent="0.3">
      <c r="B678" s="493"/>
      <c r="C678" s="526"/>
      <c r="D678" s="620" t="s">
        <v>549</v>
      </c>
      <c r="E678" s="550"/>
      <c r="F678" s="495"/>
      <c r="G678" s="561" t="str">
        <f>IFERROR(VLOOKUP(D678,'Precios Equipos'!$C$1:$F$2047,3,0),"")</f>
        <v/>
      </c>
      <c r="H678" s="561" t="str">
        <f t="shared" si="76"/>
        <v/>
      </c>
      <c r="I678" s="1087"/>
      <c r="J678" s="1088"/>
      <c r="K678" s="539"/>
      <c r="L678" s="546" t="s">
        <v>89</v>
      </c>
      <c r="M678" s="560">
        <f>SUM(M674:M677)</f>
        <v>75</v>
      </c>
      <c r="O678" s="468"/>
    </row>
    <row r="679" spans="2:17" x14ac:dyDescent="0.25">
      <c r="B679" s="493"/>
      <c r="C679" s="526">
        <v>1</v>
      </c>
      <c r="D679" s="494" t="str">
        <f>+'Precios Equipos'!C88</f>
        <v>Centro de Control y Monitoreo de Microgridador de carga 450V/100A</v>
      </c>
      <c r="E679" s="550" t="s">
        <v>575</v>
      </c>
      <c r="F679" s="495"/>
      <c r="G679" s="561">
        <f>IFERROR(VLOOKUP(D679,'Precios Equipos'!$C$1:$F$2047,3,0),"")</f>
        <v>24</v>
      </c>
      <c r="H679" s="561">
        <f t="shared" si="76"/>
        <v>24</v>
      </c>
      <c r="I679" s="1087"/>
      <c r="J679" s="1088"/>
      <c r="K679" s="539"/>
      <c r="O679" s="468"/>
      <c r="Q679" s="465">
        <f>+C679*$C$670</f>
        <v>1</v>
      </c>
    </row>
    <row r="680" spans="2:17" x14ac:dyDescent="0.25">
      <c r="B680" s="493"/>
      <c r="C680" s="526">
        <v>1</v>
      </c>
      <c r="D680" s="494" t="str">
        <f>+'Precios Equipos'!C89</f>
        <v>Centro de Control y Monitoreo de Microgridador de carga 450V/200A</v>
      </c>
      <c r="E680" s="550" t="s">
        <v>575</v>
      </c>
      <c r="F680" s="495"/>
      <c r="G680" s="561">
        <f>IFERROR(VLOOKUP(D680,'Precios Equipos'!$C$1:$F$2047,3,0),"")</f>
        <v>34</v>
      </c>
      <c r="H680" s="561">
        <f t="shared" si="76"/>
        <v>34</v>
      </c>
      <c r="I680" s="1087"/>
      <c r="J680" s="1088"/>
      <c r="K680" s="539"/>
      <c r="O680" s="468"/>
      <c r="Q680" s="465">
        <f>+C680*$C$670</f>
        <v>1</v>
      </c>
    </row>
    <row r="681" spans="2:17" x14ac:dyDescent="0.25">
      <c r="B681" s="493"/>
      <c r="C681" s="526"/>
      <c r="D681" s="494"/>
      <c r="F681" s="495"/>
      <c r="G681" s="561" t="str">
        <f>IFERROR(VLOOKUP(D681,'Precios Equipos'!$C$1:$F$2047,3,0),"")</f>
        <v/>
      </c>
      <c r="H681" s="561" t="str">
        <f t="shared" si="76"/>
        <v/>
      </c>
      <c r="I681" s="1087"/>
      <c r="J681" s="1088"/>
      <c r="K681" s="539"/>
      <c r="O681" s="468"/>
    </row>
    <row r="682" spans="2:17" x14ac:dyDescent="0.25">
      <c r="B682" s="493"/>
      <c r="C682" s="526"/>
      <c r="D682" s="620" t="s">
        <v>813</v>
      </c>
      <c r="F682" s="495"/>
      <c r="G682" s="561" t="str">
        <f>IFERROR(VLOOKUP(D682,'Precios Equipos'!$C$1:$F$2047,3,0),"")</f>
        <v/>
      </c>
      <c r="H682" s="561" t="str">
        <f t="shared" si="76"/>
        <v/>
      </c>
      <c r="I682" s="1087"/>
      <c r="J682" s="1088"/>
      <c r="K682" s="539"/>
      <c r="O682" s="468"/>
    </row>
    <row r="683" spans="2:17" x14ac:dyDescent="0.25">
      <c r="B683" s="493"/>
      <c r="C683" s="526">
        <v>2</v>
      </c>
      <c r="D683" s="494" t="str">
        <f>+'Precios Equipos'!$C$93</f>
        <v>Aire Acondicionado 800W</v>
      </c>
      <c r="F683" s="495"/>
      <c r="G683" s="561">
        <f>IFERROR(VLOOKUP(D683,'Precios Equipos'!$C$1:$F$2047,3,0),"")</f>
        <v>24</v>
      </c>
      <c r="H683" s="561">
        <f t="shared" si="76"/>
        <v>48</v>
      </c>
      <c r="I683" s="1087"/>
      <c r="J683" s="1088"/>
      <c r="K683" s="539"/>
      <c r="O683" s="468"/>
      <c r="Q683" s="465">
        <f>+C683*$C$670</f>
        <v>2</v>
      </c>
    </row>
    <row r="684" spans="2:17" x14ac:dyDescent="0.25">
      <c r="B684" s="493"/>
      <c r="C684" s="526"/>
      <c r="D684" s="494"/>
      <c r="F684" s="495"/>
      <c r="G684" s="561" t="str">
        <f>IFERROR(VLOOKUP(D684,'Precios Equipos'!$C$1:$F$2047,3,0),"")</f>
        <v/>
      </c>
      <c r="H684" s="561" t="str">
        <f t="shared" ref="H684:H689" si="77">IFERROR(G684*C684,"")</f>
        <v/>
      </c>
      <c r="I684" s="1087"/>
      <c r="J684" s="1088"/>
      <c r="K684" s="539"/>
      <c r="O684" s="468"/>
    </row>
    <row r="685" spans="2:17" x14ac:dyDescent="0.25">
      <c r="B685" s="493"/>
      <c r="C685" s="526"/>
      <c r="D685" s="620" t="s">
        <v>819</v>
      </c>
      <c r="F685" s="495"/>
      <c r="G685" s="561" t="str">
        <f>IFERROR(VLOOKUP(D685,'Precios Equipos'!$C$1:$F$2047,3,0),"")</f>
        <v/>
      </c>
      <c r="H685" s="561" t="str">
        <f t="shared" si="77"/>
        <v/>
      </c>
      <c r="I685" s="1087"/>
      <c r="J685" s="1088"/>
      <c r="K685" s="539"/>
      <c r="O685" s="468"/>
    </row>
    <row r="686" spans="2:17" x14ac:dyDescent="0.25">
      <c r="B686" s="493"/>
      <c r="C686" s="526">
        <v>5</v>
      </c>
      <c r="D686" s="468" t="str">
        <f>+'Precios Equipos'!$C$55</f>
        <v>Interruptor Riel Din 2x25A. S202M 20kA en 250VDC, ABB</v>
      </c>
      <c r="F686" s="495"/>
      <c r="G686" s="561">
        <f>IFERROR(VLOOKUP(D686,'Precios Equipos'!$C$1:$F$2047,3,0),"")</f>
        <v>382</v>
      </c>
      <c r="H686" s="561">
        <f t="shared" si="77"/>
        <v>1910</v>
      </c>
      <c r="I686" s="1087"/>
      <c r="J686" s="1088"/>
      <c r="K686" s="539"/>
      <c r="O686" s="468"/>
      <c r="Q686" s="465">
        <f>+C686*$C$670</f>
        <v>5</v>
      </c>
    </row>
    <row r="687" spans="2:17" x14ac:dyDescent="0.25">
      <c r="B687" s="493"/>
      <c r="C687" s="526">
        <v>5</v>
      </c>
      <c r="D687" s="468" t="str">
        <f>+'Precios Equipos'!$C$60</f>
        <v>Protector de sobretension SPD DC 2P, 1000V DC, CLAMPER/DC SURGE PROTECCION</v>
      </c>
      <c r="F687" s="495"/>
      <c r="G687" s="561">
        <f>IFERROR(VLOOKUP(D687,'Precios Equipos'!$C$1:$F$2047,3,0),"")</f>
        <v>405</v>
      </c>
      <c r="H687" s="561">
        <f t="shared" si="77"/>
        <v>2025</v>
      </c>
      <c r="I687" s="1087"/>
      <c r="J687" s="1088"/>
      <c r="K687" s="539"/>
      <c r="O687" s="468"/>
      <c r="Q687" s="465">
        <f>+C687*$C$670</f>
        <v>5</v>
      </c>
    </row>
    <row r="688" spans="2:17" x14ac:dyDescent="0.25">
      <c r="B688" s="493"/>
      <c r="C688" s="526"/>
      <c r="D688" s="494"/>
      <c r="F688" s="495"/>
      <c r="G688" s="561" t="str">
        <f>IFERROR(VLOOKUP(D688,'Precios Equipos'!$C$1:$F$2047,3,0),"")</f>
        <v/>
      </c>
      <c r="H688" s="561" t="str">
        <f t="shared" si="77"/>
        <v/>
      </c>
      <c r="I688" s="477"/>
      <c r="K688" s="539"/>
      <c r="O688" s="468"/>
    </row>
    <row r="689" spans="1:17" x14ac:dyDescent="0.25">
      <c r="B689" s="493"/>
      <c r="C689" s="526"/>
      <c r="D689" s="620" t="s">
        <v>87</v>
      </c>
      <c r="F689" s="495"/>
      <c r="G689" s="561" t="str">
        <f>IFERROR(VLOOKUP(D689,'Precios Equipos'!$C$1:$F$2047,3,0),"")</f>
        <v/>
      </c>
      <c r="H689" s="561" t="str">
        <f t="shared" si="77"/>
        <v/>
      </c>
      <c r="I689" s="477"/>
      <c r="K689" s="539"/>
      <c r="O689" s="468"/>
    </row>
    <row r="690" spans="1:17" x14ac:dyDescent="0.25">
      <c r="B690" s="493"/>
      <c r="C690" s="526">
        <v>1</v>
      </c>
      <c r="D690" s="494" t="s">
        <v>49</v>
      </c>
      <c r="F690" s="495"/>
      <c r="G690" s="561" t="str">
        <f>IFERROR(VLOOKUP(D690,'Precios Equipos'!$C$1:$F$2047,3,0),"")</f>
        <v/>
      </c>
      <c r="H690" s="561" t="str">
        <f t="shared" si="76"/>
        <v/>
      </c>
      <c r="I690" s="477"/>
      <c r="K690" s="539"/>
      <c r="O690" s="468"/>
    </row>
    <row r="691" spans="1:17" x14ac:dyDescent="0.25">
      <c r="B691" s="493"/>
      <c r="C691" s="526">
        <v>1</v>
      </c>
      <c r="D691" s="494" t="s">
        <v>51</v>
      </c>
      <c r="F691" s="495"/>
      <c r="G691" s="561"/>
      <c r="H691" s="561">
        <f>M678</f>
        <v>75</v>
      </c>
      <c r="I691" s="561">
        <f>+H691</f>
        <v>75</v>
      </c>
      <c r="J691" s="924">
        <f>+I691/H694</f>
        <v>1.7609767551068325E-2</v>
      </c>
      <c r="K691" s="539"/>
      <c r="O691" s="468"/>
    </row>
    <row r="692" spans="1:17" x14ac:dyDescent="0.25">
      <c r="B692" s="493"/>
      <c r="C692" s="526">
        <v>1</v>
      </c>
      <c r="D692" s="467" t="s">
        <v>20</v>
      </c>
      <c r="F692" s="495"/>
      <c r="G692" s="561"/>
      <c r="H692" s="561">
        <f>O153</f>
        <v>0</v>
      </c>
      <c r="I692" s="1087">
        <f>SUM(H692:H693)</f>
        <v>0</v>
      </c>
      <c r="J692" s="1088">
        <f>+I692/H694</f>
        <v>0</v>
      </c>
      <c r="K692" s="539"/>
      <c r="O692" s="468"/>
    </row>
    <row r="693" spans="1:17" x14ac:dyDescent="0.25">
      <c r="B693" s="493"/>
      <c r="C693" s="526">
        <v>1</v>
      </c>
      <c r="D693" s="467" t="s">
        <v>52</v>
      </c>
      <c r="F693" s="495"/>
      <c r="G693" s="561"/>
      <c r="H693" s="561">
        <f>O154</f>
        <v>0</v>
      </c>
      <c r="I693" s="1087"/>
      <c r="J693" s="1088"/>
      <c r="K693" s="539"/>
      <c r="O693" s="468"/>
    </row>
    <row r="694" spans="1:17" x14ac:dyDescent="0.25">
      <c r="B694" s="493"/>
      <c r="C694" s="526">
        <v>1</v>
      </c>
      <c r="D694" s="467" t="s">
        <v>900</v>
      </c>
      <c r="F694" s="495"/>
      <c r="G694" s="553" t="s">
        <v>97</v>
      </c>
      <c r="H694" s="561">
        <f>SUM(H672:H693)</f>
        <v>4259</v>
      </c>
      <c r="I694" s="477"/>
      <c r="K694" s="539"/>
      <c r="O694" s="468"/>
    </row>
    <row r="695" spans="1:17" x14ac:dyDescent="0.25">
      <c r="B695" s="493"/>
      <c r="C695" s="526" t="s">
        <v>17</v>
      </c>
      <c r="D695" s="467" t="s">
        <v>48</v>
      </c>
      <c r="F695" s="495"/>
      <c r="G695" s="553" t="s">
        <v>105</v>
      </c>
      <c r="H695" s="561">
        <f>H694*$M$152</f>
        <v>851.80000000000007</v>
      </c>
      <c r="I695" s="477"/>
      <c r="K695" s="539"/>
      <c r="O695" s="468"/>
    </row>
    <row r="696" spans="1:17" x14ac:dyDescent="0.25">
      <c r="B696" s="521"/>
      <c r="C696" s="527"/>
      <c r="D696" s="522"/>
      <c r="E696" s="523"/>
      <c r="F696" s="524"/>
      <c r="G696" s="725" t="s">
        <v>452</v>
      </c>
      <c r="H696" s="561">
        <f>H694+H695</f>
        <v>5110.8</v>
      </c>
      <c r="I696" s="477"/>
      <c r="K696" s="539"/>
      <c r="O696" s="468"/>
    </row>
    <row r="697" spans="1:17" x14ac:dyDescent="0.25">
      <c r="H697" s="477"/>
      <c r="I697" s="477"/>
      <c r="K697" s="539"/>
      <c r="O697" s="468"/>
    </row>
    <row r="698" spans="1:17" x14ac:dyDescent="0.25">
      <c r="B698" s="514" t="s">
        <v>6</v>
      </c>
      <c r="C698" s="515" t="s">
        <v>0</v>
      </c>
      <c r="D698" s="525" t="s">
        <v>8</v>
      </c>
      <c r="E698" s="516" t="s">
        <v>4</v>
      </c>
      <c r="F698" s="516" t="s">
        <v>3</v>
      </c>
      <c r="H698" s="477"/>
      <c r="I698" s="477"/>
      <c r="K698" s="539"/>
      <c r="O698" s="468"/>
    </row>
    <row r="699" spans="1:17" x14ac:dyDescent="0.25">
      <c r="A699" s="463">
        <v>147</v>
      </c>
      <c r="B699" s="1077">
        <f>B50</f>
        <v>3.1499999999999968</v>
      </c>
      <c r="C699" s="1077">
        <f>C50</f>
        <v>4</v>
      </c>
      <c r="D699" s="1091" t="str">
        <f>D50</f>
        <v>TABLEROS DE POTENCIA TIPO 12.1 (incluye aire acondicionado)</v>
      </c>
      <c r="E699" s="517">
        <f>H724</f>
        <v>5110.8</v>
      </c>
      <c r="F699" s="518">
        <f>+E699*C699</f>
        <v>20443.2</v>
      </c>
      <c r="G699" s="553" t="s">
        <v>450</v>
      </c>
      <c r="H699" s="553" t="s">
        <v>1</v>
      </c>
      <c r="I699" s="477"/>
      <c r="K699" s="539"/>
      <c r="O699" s="468"/>
    </row>
    <row r="700" spans="1:17" x14ac:dyDescent="0.25">
      <c r="B700" s="1078"/>
      <c r="C700" s="1078"/>
      <c r="D700" s="1092"/>
      <c r="E700" s="519" t="s">
        <v>50</v>
      </c>
      <c r="F700" s="520" t="s">
        <v>50</v>
      </c>
      <c r="G700" s="553" t="s">
        <v>50</v>
      </c>
      <c r="H700" s="553" t="s">
        <v>50</v>
      </c>
      <c r="I700" s="477"/>
      <c r="K700" s="539"/>
      <c r="O700" s="468"/>
    </row>
    <row r="701" spans="1:17" x14ac:dyDescent="0.25">
      <c r="B701" s="490"/>
      <c r="C701" s="526"/>
      <c r="D701" s="463"/>
      <c r="E701" s="491"/>
      <c r="F701" s="492"/>
      <c r="G701" s="561" t="str">
        <f>IFERROR(VLOOKUP(D701,'Precios Equipos'!$C$1:$F$2047,3,0),"")</f>
        <v/>
      </c>
      <c r="H701" s="561" t="str">
        <f t="shared" ref="H701:H712" si="78">IFERROR(G701*C701,"")</f>
        <v/>
      </c>
      <c r="I701" s="477"/>
      <c r="K701" s="539"/>
      <c r="O701" s="468"/>
    </row>
    <row r="702" spans="1:17" ht="16.5" thickBot="1" x14ac:dyDescent="0.3">
      <c r="B702" s="493"/>
      <c r="C702" s="526">
        <v>1</v>
      </c>
      <c r="D702" s="500" t="str">
        <f>+'Precios Equipos'!$C$197</f>
        <v>Gabinete Autosoportado 2400x1200(2 Puertas)x700mm. (Alto x ancho x profundidad)</v>
      </c>
      <c r="F702" s="495"/>
      <c r="G702" s="561">
        <f>IFERROR(VLOOKUP(D702,'Precios Equipos'!$C$1:$F$2047,3,0),"")</f>
        <v>17</v>
      </c>
      <c r="H702" s="561">
        <f t="shared" si="78"/>
        <v>17</v>
      </c>
      <c r="I702" s="561">
        <f>+H702</f>
        <v>17</v>
      </c>
      <c r="J702" s="924">
        <f>+I702/H722</f>
        <v>3.9915473115754874E-3</v>
      </c>
      <c r="K702" s="539"/>
      <c r="O702" s="468"/>
      <c r="Q702" s="465">
        <f>+C702*$C$699</f>
        <v>4</v>
      </c>
    </row>
    <row r="703" spans="1:17" ht="16.5" thickBot="1" x14ac:dyDescent="0.3">
      <c r="B703" s="493"/>
      <c r="C703" s="526"/>
      <c r="D703" s="494"/>
      <c r="F703" s="495"/>
      <c r="G703" s="561" t="str">
        <f>IFERROR(VLOOKUP(D703,'Precios Equipos'!$C$1:$F$2047,3,0),"")</f>
        <v/>
      </c>
      <c r="H703" s="561" t="str">
        <f t="shared" si="78"/>
        <v/>
      </c>
      <c r="I703" s="477"/>
      <c r="K703" s="539"/>
      <c r="L703" s="540" t="s">
        <v>451</v>
      </c>
      <c r="M703" s="541"/>
      <c r="O703" s="468"/>
    </row>
    <row r="704" spans="1:17" ht="16.5" thickBot="1" x14ac:dyDescent="0.3">
      <c r="B704" s="493"/>
      <c r="C704" s="526"/>
      <c r="D704" s="620" t="s">
        <v>788</v>
      </c>
      <c r="E704" s="467"/>
      <c r="F704" s="495"/>
      <c r="G704" s="561" t="str">
        <f>IFERROR(VLOOKUP(D704,'Precios Equipos'!$C$1:$F$2047,3,0),"")</f>
        <v/>
      </c>
      <c r="H704" s="561" t="str">
        <f t="shared" si="78"/>
        <v/>
      </c>
      <c r="I704" s="477"/>
      <c r="K704" s="539"/>
      <c r="L704" s="542" t="s">
        <v>88</v>
      </c>
      <c r="M704" s="543" t="s">
        <v>85</v>
      </c>
      <c r="O704" s="468"/>
    </row>
    <row r="705" spans="2:17" x14ac:dyDescent="0.25">
      <c r="B705" s="493"/>
      <c r="C705" s="526">
        <v>3</v>
      </c>
      <c r="D705" s="494" t="str">
        <f>+'Precios Equipos'!C101</f>
        <v>Inversor Bidireccional 5 KVA</v>
      </c>
      <c r="E705" s="550" t="s">
        <v>575</v>
      </c>
      <c r="F705" s="497"/>
      <c r="G705" s="561">
        <f>IFERROR(VLOOKUP(D705,'Precios Equipos'!$C$1:$F$2047,3,0),"")</f>
        <v>42</v>
      </c>
      <c r="H705" s="561">
        <f t="shared" si="78"/>
        <v>126</v>
      </c>
      <c r="I705" s="1087">
        <f>SUM(H705:H716)</f>
        <v>4167</v>
      </c>
      <c r="J705" s="1088">
        <f>+I705/H722</f>
        <v>0.97839868513735617</v>
      </c>
      <c r="K705" s="539"/>
      <c r="L705" s="544" t="str">
        <f>+'Precios Equipos'!C149</f>
        <v>M. DE OBRA (TIPO 11, 12 y 13) MONTAJE AIRE ACONDICIONADO Y ACCESORIOS</v>
      </c>
      <c r="M705" s="545">
        <f>IFERROR(VLOOKUP(L705,'Precios Equipos'!$C$11:$F$208,3,0),0)</f>
        <v>6</v>
      </c>
      <c r="Q705" s="465">
        <f>+C705*$C$699</f>
        <v>12</v>
      </c>
    </row>
    <row r="706" spans="2:17" x14ac:dyDescent="0.25">
      <c r="B706" s="493"/>
      <c r="C706" s="526"/>
      <c r="D706" s="494"/>
      <c r="E706" s="550"/>
      <c r="F706" s="497"/>
      <c r="G706" s="561" t="str">
        <f>IFERROR(VLOOKUP(D706,'Precios Equipos'!$C$1:$F$2047,3,0),"")</f>
        <v/>
      </c>
      <c r="H706" s="561" t="str">
        <f t="shared" si="78"/>
        <v/>
      </c>
      <c r="I706" s="1087"/>
      <c r="J706" s="1088"/>
      <c r="K706" s="539"/>
      <c r="L706" s="544" t="str">
        <f>+'Precios Equipos'!C205</f>
        <v>Diseño Ingenieria Tableros Autosoportados</v>
      </c>
      <c r="M706" s="545">
        <f>IFERROR(VLOOKUP(L706,'Precios Equipos'!$C$11:$F$208,3,0),0)</f>
        <v>63</v>
      </c>
    </row>
    <row r="707" spans="2:17" x14ac:dyDescent="0.25">
      <c r="B707" s="493"/>
      <c r="C707" s="526"/>
      <c r="D707" s="620" t="s">
        <v>549</v>
      </c>
      <c r="E707" s="550"/>
      <c r="F707" s="497"/>
      <c r="G707" s="561" t="str">
        <f>IFERROR(VLOOKUP(D707,'Precios Equipos'!$C$1:$F$2047,3,0),"")</f>
        <v/>
      </c>
      <c r="H707" s="561" t="str">
        <f t="shared" si="78"/>
        <v/>
      </c>
      <c r="I707" s="1087"/>
      <c r="J707" s="1088"/>
      <c r="K707" s="539"/>
      <c r="L707" s="922" t="str">
        <f>+'Precios Equipos'!$C$113</f>
        <v>SISTEMA DE BARRAS 14-16 POLOS</v>
      </c>
      <c r="M707" s="545">
        <f>IFERROR(VLOOKUP(L707,'Precios Equipos'!$C$11:$F$208,3,0),0)</f>
        <v>6</v>
      </c>
    </row>
    <row r="708" spans="2:17" ht="16.5" thickBot="1" x14ac:dyDescent="0.3">
      <c r="B708" s="493"/>
      <c r="C708" s="526">
        <v>1</v>
      </c>
      <c r="D708" s="494" t="str">
        <f>+'Precios Equipos'!C88</f>
        <v>Centro de Control y Monitoreo de Microgridador de carga 450V/100A</v>
      </c>
      <c r="E708" s="550" t="s">
        <v>575</v>
      </c>
      <c r="F708" s="497"/>
      <c r="G708" s="561">
        <f>IFERROR(VLOOKUP(D708,'Precios Equipos'!$C$1:$F$2047,3,0),"")</f>
        <v>24</v>
      </c>
      <c r="H708" s="561">
        <f t="shared" si="78"/>
        <v>24</v>
      </c>
      <c r="I708" s="1087"/>
      <c r="J708" s="1088"/>
      <c r="K708" s="539"/>
      <c r="L708" s="923" t="str">
        <f>+'Precios Equipos'!$C$136</f>
        <v>CABLEADO 5 DIFERENCIALES, 2P</v>
      </c>
      <c r="M708" s="545">
        <f>IFERROR(VLOOKUP(L708,'Precios Equipos'!$C$11:$F$208,3,0),0)</f>
        <v>0</v>
      </c>
      <c r="O708" s="468"/>
      <c r="Q708" s="465">
        <f>+C708*$C$699</f>
        <v>4</v>
      </c>
    </row>
    <row r="709" spans="2:17" ht="16.5" thickBot="1" x14ac:dyDescent="0.3">
      <c r="B709" s="493"/>
      <c r="C709" s="526">
        <v>1</v>
      </c>
      <c r="D709" s="494" t="str">
        <f>+'Precios Equipos'!C89</f>
        <v>Centro de Control y Monitoreo de Microgridador de carga 450V/200A</v>
      </c>
      <c r="E709" s="550" t="s">
        <v>575</v>
      </c>
      <c r="F709" s="497"/>
      <c r="G709" s="561">
        <f>IFERROR(VLOOKUP(D709,'Precios Equipos'!$C$1:$F$2047,3,0),"")</f>
        <v>34</v>
      </c>
      <c r="H709" s="561">
        <f t="shared" si="78"/>
        <v>34</v>
      </c>
      <c r="I709" s="1087"/>
      <c r="J709" s="1088"/>
      <c r="K709" s="539"/>
      <c r="L709" s="546" t="s">
        <v>89</v>
      </c>
      <c r="M709" s="560">
        <f>SUM(M705:M708)</f>
        <v>75</v>
      </c>
      <c r="O709" s="468"/>
      <c r="Q709" s="465">
        <f>+C709*$C$699</f>
        <v>4</v>
      </c>
    </row>
    <row r="710" spans="2:17" x14ac:dyDescent="0.25">
      <c r="B710" s="493"/>
      <c r="C710" s="526"/>
      <c r="D710" s="494"/>
      <c r="F710" s="495"/>
      <c r="G710" s="561" t="str">
        <f>IFERROR(VLOOKUP(D710,'Precios Equipos'!$C$1:$F$2047,3,0),"")</f>
        <v/>
      </c>
      <c r="H710" s="561" t="str">
        <f t="shared" si="78"/>
        <v/>
      </c>
      <c r="I710" s="1087"/>
      <c r="J710" s="1088"/>
      <c r="K710" s="539"/>
      <c r="O710" s="468"/>
    </row>
    <row r="711" spans="2:17" x14ac:dyDescent="0.25">
      <c r="B711" s="493"/>
      <c r="C711" s="526"/>
      <c r="D711" s="620" t="s">
        <v>813</v>
      </c>
      <c r="F711" s="495"/>
      <c r="G711" s="561" t="str">
        <f>IFERROR(VLOOKUP(D711,'Precios Equipos'!$C$1:$F$2047,3,0),"")</f>
        <v/>
      </c>
      <c r="H711" s="561" t="str">
        <f t="shared" si="78"/>
        <v/>
      </c>
      <c r="I711" s="1087"/>
      <c r="J711" s="1088"/>
      <c r="K711" s="539"/>
      <c r="O711" s="468"/>
    </row>
    <row r="712" spans="2:17" x14ac:dyDescent="0.25">
      <c r="B712" s="493"/>
      <c r="C712" s="526">
        <v>2</v>
      </c>
      <c r="D712" s="494" t="str">
        <f>+'Precios Equipos'!$C$93</f>
        <v>Aire Acondicionado 800W</v>
      </c>
      <c r="F712" s="495"/>
      <c r="G712" s="561">
        <f>IFERROR(VLOOKUP(D712,'Precios Equipos'!$C$1:$F$2047,3,0),"")</f>
        <v>24</v>
      </c>
      <c r="H712" s="561">
        <f t="shared" si="78"/>
        <v>48</v>
      </c>
      <c r="I712" s="1087"/>
      <c r="J712" s="1088"/>
      <c r="K712" s="539"/>
      <c r="O712" s="468"/>
      <c r="Q712" s="465">
        <f>+C712*$C$699</f>
        <v>8</v>
      </c>
    </row>
    <row r="713" spans="2:17" x14ac:dyDescent="0.25">
      <c r="B713" s="493"/>
      <c r="C713" s="526"/>
      <c r="D713" s="494"/>
      <c r="F713" s="495"/>
      <c r="G713" s="561" t="str">
        <f>IFERROR(VLOOKUP(D713,'Precios Equipos'!$C$1:$F$2047,3,0),"")</f>
        <v/>
      </c>
      <c r="H713" s="561" t="str">
        <f t="shared" ref="H713:H718" si="79">IFERROR(G713*C713,"")</f>
        <v/>
      </c>
      <c r="I713" s="1087"/>
      <c r="J713" s="1088"/>
      <c r="K713" s="539"/>
      <c r="O713" s="468"/>
    </row>
    <row r="714" spans="2:17" x14ac:dyDescent="0.25">
      <c r="B714" s="493"/>
      <c r="C714" s="526"/>
      <c r="D714" s="620" t="s">
        <v>819</v>
      </c>
      <c r="F714" s="495"/>
      <c r="G714" s="561" t="str">
        <f>IFERROR(VLOOKUP(D714,'Precios Equipos'!$C$1:$F$2047,3,0),"")</f>
        <v/>
      </c>
      <c r="H714" s="561" t="str">
        <f t="shared" si="79"/>
        <v/>
      </c>
      <c r="I714" s="1087"/>
      <c r="J714" s="1088"/>
      <c r="K714" s="539"/>
      <c r="O714" s="468"/>
    </row>
    <row r="715" spans="2:17" x14ac:dyDescent="0.25">
      <c r="B715" s="493"/>
      <c r="C715" s="526">
        <v>5</v>
      </c>
      <c r="D715" s="468" t="str">
        <f>+'Precios Equipos'!$C$55</f>
        <v>Interruptor Riel Din 2x25A. S202M 20kA en 250VDC, ABB</v>
      </c>
      <c r="F715" s="495"/>
      <c r="G715" s="561">
        <f>IFERROR(VLOOKUP(D715,'Precios Equipos'!$C$1:$F$2047,3,0),"")</f>
        <v>382</v>
      </c>
      <c r="H715" s="561">
        <f t="shared" si="79"/>
        <v>1910</v>
      </c>
      <c r="I715" s="1087"/>
      <c r="J715" s="1088"/>
      <c r="K715" s="539"/>
      <c r="O715" s="468"/>
      <c r="Q715" s="465">
        <f>+C715*$C$699</f>
        <v>20</v>
      </c>
    </row>
    <row r="716" spans="2:17" x14ac:dyDescent="0.25">
      <c r="B716" s="493"/>
      <c r="C716" s="526">
        <v>5</v>
      </c>
      <c r="D716" s="468" t="str">
        <f>+'Precios Equipos'!$C$60</f>
        <v>Protector de sobretension SPD DC 2P, 1000V DC, CLAMPER/DC SURGE PROTECCION</v>
      </c>
      <c r="F716" s="495"/>
      <c r="G716" s="561">
        <f>IFERROR(VLOOKUP(D716,'Precios Equipos'!$C$1:$F$2047,3,0),"")</f>
        <v>405</v>
      </c>
      <c r="H716" s="561">
        <f t="shared" si="79"/>
        <v>2025</v>
      </c>
      <c r="I716" s="1087"/>
      <c r="J716" s="1088"/>
      <c r="K716" s="539"/>
      <c r="O716" s="468"/>
      <c r="Q716" s="465">
        <f>+C716*$C$699</f>
        <v>20</v>
      </c>
    </row>
    <row r="717" spans="2:17" x14ac:dyDescent="0.25">
      <c r="B717" s="493"/>
      <c r="C717" s="526"/>
      <c r="D717" s="494"/>
      <c r="F717" s="495"/>
      <c r="G717" s="561" t="str">
        <f>IFERROR(VLOOKUP(D717,'Precios Equipos'!$C$1:$F$2047,3,0),"")</f>
        <v/>
      </c>
      <c r="H717" s="561" t="str">
        <f t="shared" si="79"/>
        <v/>
      </c>
      <c r="I717" s="477"/>
      <c r="K717" s="539"/>
      <c r="O717" s="468"/>
    </row>
    <row r="718" spans="2:17" x14ac:dyDescent="0.25">
      <c r="B718" s="493"/>
      <c r="C718" s="526"/>
      <c r="D718" s="620" t="s">
        <v>87</v>
      </c>
      <c r="F718" s="495"/>
      <c r="G718" s="561" t="str">
        <f>IFERROR(VLOOKUP(D718,'Precios Equipos'!$C$1:$F$2047,3,0),"")</f>
        <v/>
      </c>
      <c r="H718" s="561" t="str">
        <f t="shared" si="79"/>
        <v/>
      </c>
      <c r="I718" s="477"/>
      <c r="K718" s="539"/>
      <c r="O718" s="468"/>
    </row>
    <row r="719" spans="2:17" x14ac:dyDescent="0.25">
      <c r="B719" s="493"/>
      <c r="C719" s="526">
        <v>1</v>
      </c>
      <c r="D719" s="494" t="s">
        <v>49</v>
      </c>
      <c r="F719" s="495"/>
      <c r="G719" s="561"/>
      <c r="H719" s="561">
        <f>M709</f>
        <v>75</v>
      </c>
      <c r="I719" s="561">
        <f>+H719</f>
        <v>75</v>
      </c>
      <c r="J719" s="924">
        <f>+I719/H722</f>
        <v>1.7609767551068325E-2</v>
      </c>
      <c r="K719" s="539"/>
      <c r="O719" s="468"/>
    </row>
    <row r="720" spans="2:17" x14ac:dyDescent="0.25">
      <c r="B720" s="493"/>
      <c r="C720" s="526">
        <v>1</v>
      </c>
      <c r="D720" s="494" t="s">
        <v>51</v>
      </c>
      <c r="F720" s="495"/>
      <c r="G720" s="561"/>
      <c r="H720" s="561">
        <f>O153</f>
        <v>0</v>
      </c>
      <c r="I720" s="1087">
        <f>SUM(H720:H721)</f>
        <v>0</v>
      </c>
      <c r="J720" s="1088">
        <f>+I720/H722</f>
        <v>0</v>
      </c>
      <c r="K720" s="539"/>
      <c r="O720" s="468"/>
    </row>
    <row r="721" spans="1:17" x14ac:dyDescent="0.25">
      <c r="B721" s="493"/>
      <c r="C721" s="526">
        <v>1</v>
      </c>
      <c r="D721" s="467" t="s">
        <v>20</v>
      </c>
      <c r="F721" s="495"/>
      <c r="G721" s="561"/>
      <c r="H721" s="561">
        <f>O154</f>
        <v>0</v>
      </c>
      <c r="I721" s="1087"/>
      <c r="J721" s="1088"/>
      <c r="K721" s="539"/>
      <c r="O721" s="468"/>
    </row>
    <row r="722" spans="1:17" x14ac:dyDescent="0.25">
      <c r="B722" s="493"/>
      <c r="C722" s="526">
        <v>1</v>
      </c>
      <c r="D722" s="467" t="s">
        <v>52</v>
      </c>
      <c r="F722" s="495"/>
      <c r="G722" s="553" t="s">
        <v>97</v>
      </c>
      <c r="H722" s="561">
        <f>SUM(H702:H721)</f>
        <v>4259</v>
      </c>
      <c r="I722" s="477"/>
      <c r="K722" s="539"/>
      <c r="O722" s="468"/>
    </row>
    <row r="723" spans="1:17" x14ac:dyDescent="0.25">
      <c r="B723" s="493"/>
      <c r="C723" s="526">
        <v>1</v>
      </c>
      <c r="D723" s="467" t="s">
        <v>900</v>
      </c>
      <c r="F723" s="495"/>
      <c r="G723" s="553" t="s">
        <v>105</v>
      </c>
      <c r="H723" s="561">
        <f>H722*$M$152</f>
        <v>851.80000000000007</v>
      </c>
      <c r="I723" s="477"/>
      <c r="K723" s="539"/>
      <c r="O723" s="468"/>
    </row>
    <row r="724" spans="1:17" x14ac:dyDescent="0.25">
      <c r="B724" s="521"/>
      <c r="C724" s="527" t="s">
        <v>17</v>
      </c>
      <c r="D724" s="522" t="s">
        <v>48</v>
      </c>
      <c r="E724" s="523"/>
      <c r="F724" s="524"/>
      <c r="G724" s="553" t="s">
        <v>452</v>
      </c>
      <c r="H724" s="553">
        <f>H722+H723</f>
        <v>5110.8</v>
      </c>
      <c r="I724" s="477"/>
      <c r="K724" s="539"/>
      <c r="O724" s="468"/>
    </row>
    <row r="725" spans="1:17" x14ac:dyDescent="0.25">
      <c r="I725" s="477"/>
      <c r="K725" s="539"/>
      <c r="O725" s="468"/>
    </row>
    <row r="726" spans="1:17" x14ac:dyDescent="0.25">
      <c r="B726" s="514" t="s">
        <v>6</v>
      </c>
      <c r="C726" s="515" t="s">
        <v>0</v>
      </c>
      <c r="D726" s="525" t="s">
        <v>8</v>
      </c>
      <c r="E726" s="516" t="s">
        <v>4</v>
      </c>
      <c r="F726" s="516" t="s">
        <v>3</v>
      </c>
      <c r="G726" s="477"/>
      <c r="H726" s="477"/>
      <c r="I726" s="477"/>
      <c r="K726" s="539"/>
      <c r="O726" s="468"/>
    </row>
    <row r="727" spans="1:17" x14ac:dyDescent="0.25">
      <c r="A727" s="463">
        <v>143</v>
      </c>
      <c r="B727" s="1077">
        <f>B51</f>
        <v>3.1599999999999966</v>
      </c>
      <c r="C727" s="1077">
        <f>C51</f>
        <v>5</v>
      </c>
      <c r="D727" s="1091" t="str">
        <f>D51</f>
        <v>TABLEROS DE POTENCIA TIPO 13 (incluye aire acondicionado)</v>
      </c>
      <c r="E727" s="517">
        <f>H752</f>
        <v>5961.6</v>
      </c>
      <c r="F727" s="518">
        <f>+E727*C727</f>
        <v>29808</v>
      </c>
      <c r="G727" s="551" t="s">
        <v>450</v>
      </c>
      <c r="H727" s="552" t="s">
        <v>1</v>
      </c>
      <c r="I727" s="477"/>
      <c r="K727" s="539"/>
      <c r="O727" s="468"/>
    </row>
    <row r="728" spans="1:17" x14ac:dyDescent="0.25">
      <c r="B728" s="1078"/>
      <c r="C728" s="1078"/>
      <c r="D728" s="1092"/>
      <c r="E728" s="519" t="s">
        <v>50</v>
      </c>
      <c r="F728" s="520" t="s">
        <v>50</v>
      </c>
      <c r="G728" s="554" t="s">
        <v>50</v>
      </c>
      <c r="H728" s="554" t="s">
        <v>50</v>
      </c>
      <c r="I728" s="477"/>
      <c r="K728" s="539"/>
      <c r="O728" s="468"/>
    </row>
    <row r="729" spans="1:17" ht="16.5" thickBot="1" x14ac:dyDescent="0.3">
      <c r="B729" s="490"/>
      <c r="C729" s="526"/>
      <c r="D729" s="463"/>
      <c r="E729" s="491"/>
      <c r="F729" s="492"/>
      <c r="G729" s="561" t="str">
        <f>IFERROR(VLOOKUP(D729,'Precios Equipos'!$C$1:$F$2047,3,0),"")</f>
        <v/>
      </c>
      <c r="H729" s="561" t="str">
        <f t="shared" ref="H729:H740" si="80">IFERROR(G729*C729,"")</f>
        <v/>
      </c>
      <c r="I729" s="477"/>
      <c r="K729" s="539"/>
      <c r="O729" s="468"/>
    </row>
    <row r="730" spans="1:17" ht="16.5" thickBot="1" x14ac:dyDescent="0.3">
      <c r="B730" s="493"/>
      <c r="C730" s="526">
        <v>1</v>
      </c>
      <c r="D730" s="500" t="str">
        <f>+'Precios Equipos'!$C$197</f>
        <v>Gabinete Autosoportado 2400x1200(2 Puertas)x700mm. (Alto x ancho x profundidad)</v>
      </c>
      <c r="F730" s="495"/>
      <c r="G730" s="561">
        <f>IFERROR(VLOOKUP(D730,'Precios Equipos'!$C$1:$F$2047,3,0),"")</f>
        <v>17</v>
      </c>
      <c r="H730" s="561">
        <f t="shared" si="80"/>
        <v>17</v>
      </c>
      <c r="I730" s="561">
        <f>+H730</f>
        <v>17</v>
      </c>
      <c r="J730" s="924">
        <f>+I730/H750</f>
        <v>3.4219001610305958E-3</v>
      </c>
      <c r="K730" s="539"/>
      <c r="L730" s="540" t="s">
        <v>451</v>
      </c>
      <c r="M730" s="541"/>
      <c r="O730" s="468"/>
      <c r="Q730" s="465">
        <f>+C730*$C$727</f>
        <v>5</v>
      </c>
    </row>
    <row r="731" spans="1:17" ht="16.5" thickBot="1" x14ac:dyDescent="0.3">
      <c r="B731" s="493"/>
      <c r="C731" s="526"/>
      <c r="D731" s="494"/>
      <c r="F731" s="495"/>
      <c r="G731" s="561" t="str">
        <f>IFERROR(VLOOKUP(D731,'Precios Equipos'!$C$1:$F$2047,3,0),"")</f>
        <v/>
      </c>
      <c r="H731" s="561" t="str">
        <f t="shared" si="80"/>
        <v/>
      </c>
      <c r="I731" s="477"/>
      <c r="K731" s="539"/>
      <c r="L731" s="542" t="s">
        <v>88</v>
      </c>
      <c r="M731" s="543" t="s">
        <v>85</v>
      </c>
      <c r="O731" s="468"/>
    </row>
    <row r="732" spans="1:17" x14ac:dyDescent="0.25">
      <c r="B732" s="493"/>
      <c r="C732" s="526"/>
      <c r="D732" s="620" t="s">
        <v>788</v>
      </c>
      <c r="E732" s="467"/>
      <c r="F732" s="495"/>
      <c r="G732" s="561" t="str">
        <f>IFERROR(VLOOKUP(D732,'Precios Equipos'!$C$1:$F$2047,3,0),"")</f>
        <v/>
      </c>
      <c r="H732" s="561" t="str">
        <f t="shared" si="80"/>
        <v/>
      </c>
      <c r="I732" s="477"/>
      <c r="K732" s="539"/>
      <c r="L732" s="544" t="str">
        <f>+'Precios Equipos'!C149</f>
        <v>M. DE OBRA (TIPO 11, 12 y 13) MONTAJE AIRE ACONDICIONADO Y ACCESORIOS</v>
      </c>
      <c r="M732" s="545">
        <f>IFERROR(VLOOKUP(L732,'Precios Equipos'!$C$11:$F$208,3,0),0)</f>
        <v>6</v>
      </c>
      <c r="O732" s="468"/>
    </row>
    <row r="733" spans="1:17" x14ac:dyDescent="0.25">
      <c r="B733" s="493"/>
      <c r="C733" s="526">
        <v>3</v>
      </c>
      <c r="D733" s="494" t="str">
        <f>+'Precios Equipos'!C102</f>
        <v>Inversor Bidireccional 8 KVA</v>
      </c>
      <c r="E733" s="550" t="s">
        <v>575</v>
      </c>
      <c r="F733" s="497"/>
      <c r="G733" s="561">
        <f>IFERROR(VLOOKUP(D733,'Precios Equipos'!$C$1:$F$2047,3,0),"")</f>
        <v>24</v>
      </c>
      <c r="H733" s="561">
        <f t="shared" si="80"/>
        <v>72</v>
      </c>
      <c r="I733" s="1087">
        <f>SUM(H733:H744)</f>
        <v>4876</v>
      </c>
      <c r="J733" s="1088">
        <f>+I733/H750</f>
        <v>0.98148148148148151</v>
      </c>
      <c r="K733" s="539"/>
      <c r="L733" s="544" t="str">
        <f>+'Precios Equipos'!$C$205</f>
        <v>Diseño Ingenieria Tableros Autosoportados</v>
      </c>
      <c r="M733" s="545">
        <f>IFERROR(VLOOKUP(L733,'Precios Equipos'!$C$11:$F$208,3,0),0)</f>
        <v>63</v>
      </c>
      <c r="Q733" s="465">
        <f>+C733*$C$727</f>
        <v>15</v>
      </c>
    </row>
    <row r="734" spans="1:17" x14ac:dyDescent="0.25">
      <c r="B734" s="493"/>
      <c r="C734" s="526"/>
      <c r="D734" s="494"/>
      <c r="E734" s="550"/>
      <c r="F734" s="497"/>
      <c r="G734" s="561" t="str">
        <f>IFERROR(VLOOKUP(D734,'Precios Equipos'!$C$1:$F$2047,3,0),"")</f>
        <v/>
      </c>
      <c r="H734" s="561" t="str">
        <f t="shared" si="80"/>
        <v/>
      </c>
      <c r="I734" s="1087"/>
      <c r="J734" s="1088"/>
      <c r="K734" s="539"/>
      <c r="L734" s="922" t="str">
        <f>+'Precios Equipos'!$C$113</f>
        <v>SISTEMA DE BARRAS 14-16 POLOS</v>
      </c>
      <c r="M734" s="545">
        <f>IFERROR(VLOOKUP(L734,'Precios Equipos'!$C$11:$F$208,3,0),0)</f>
        <v>6</v>
      </c>
    </row>
    <row r="735" spans="1:17" ht="16.5" thickBot="1" x14ac:dyDescent="0.3">
      <c r="B735" s="493"/>
      <c r="C735" s="526"/>
      <c r="D735" s="620" t="s">
        <v>549</v>
      </c>
      <c r="E735" s="550"/>
      <c r="F735" s="497"/>
      <c r="G735" s="561" t="str">
        <f>IFERROR(VLOOKUP(D735,'Precios Equipos'!$C$1:$F$2047,3,0),"")</f>
        <v/>
      </c>
      <c r="H735" s="561" t="str">
        <f t="shared" si="80"/>
        <v/>
      </c>
      <c r="I735" s="1087"/>
      <c r="J735" s="1088"/>
      <c r="K735" s="539"/>
      <c r="L735" s="923" t="str">
        <f>+'Precios Equipos'!$C$137</f>
        <v>CABLEADO 6 DIFERENCIALES, 2P</v>
      </c>
      <c r="M735" s="545">
        <f>IFERROR(VLOOKUP(L735,'Precios Equipos'!$C$11:$F$208,3,0),0)</f>
        <v>0</v>
      </c>
    </row>
    <row r="736" spans="1:17" ht="16.5" thickBot="1" x14ac:dyDescent="0.3">
      <c r="B736" s="493"/>
      <c r="C736" s="526">
        <v>1</v>
      </c>
      <c r="D736" s="494" t="str">
        <f>+'Precios Equipos'!C88</f>
        <v>Centro de Control y Monitoreo de Microgridador de carga 450V/100A</v>
      </c>
      <c r="E736" s="550" t="s">
        <v>575</v>
      </c>
      <c r="F736" s="497"/>
      <c r="G736" s="561">
        <f>IFERROR(VLOOKUP(D736,'Precios Equipos'!$C$1:$F$2047,3,0),"")</f>
        <v>24</v>
      </c>
      <c r="H736" s="561">
        <f t="shared" si="80"/>
        <v>24</v>
      </c>
      <c r="I736" s="1087"/>
      <c r="J736" s="1088"/>
      <c r="K736" s="539"/>
      <c r="L736" s="546" t="s">
        <v>89</v>
      </c>
      <c r="M736" s="560">
        <f>SUM(M732:M735)</f>
        <v>75</v>
      </c>
      <c r="O736" s="468"/>
      <c r="Q736" s="465">
        <f>+C736*$C$727</f>
        <v>5</v>
      </c>
    </row>
    <row r="737" spans="2:17" x14ac:dyDescent="0.25">
      <c r="B737" s="493"/>
      <c r="C737" s="526">
        <v>1</v>
      </c>
      <c r="D737" s="494" t="str">
        <f>+'Precios Equipos'!C89</f>
        <v>Centro de Control y Monitoreo de Microgridador de carga 450V/200A</v>
      </c>
      <c r="E737" s="550" t="s">
        <v>575</v>
      </c>
      <c r="F737" s="497"/>
      <c r="G737" s="561">
        <f>IFERROR(VLOOKUP(D737,'Precios Equipos'!$C$1:$F$2047,3,0),"")</f>
        <v>34</v>
      </c>
      <c r="H737" s="561">
        <f t="shared" si="80"/>
        <v>34</v>
      </c>
      <c r="I737" s="1087"/>
      <c r="J737" s="1088"/>
      <c r="K737" s="539"/>
      <c r="O737" s="468"/>
      <c r="Q737" s="465">
        <f>+C737*$C$727</f>
        <v>5</v>
      </c>
    </row>
    <row r="738" spans="2:17" x14ac:dyDescent="0.25">
      <c r="B738" s="493"/>
      <c r="C738" s="526"/>
      <c r="D738" s="494"/>
      <c r="F738" s="495"/>
      <c r="G738" s="561" t="str">
        <f>IFERROR(VLOOKUP(D738,'Precios Equipos'!$C$1:$F$2047,3,0),"")</f>
        <v/>
      </c>
      <c r="H738" s="561" t="str">
        <f t="shared" si="80"/>
        <v/>
      </c>
      <c r="I738" s="1087"/>
      <c r="J738" s="1088"/>
      <c r="K738" s="539"/>
      <c r="O738" s="468"/>
    </row>
    <row r="739" spans="2:17" x14ac:dyDescent="0.25">
      <c r="B739" s="493"/>
      <c r="C739" s="526"/>
      <c r="D739" s="620" t="s">
        <v>813</v>
      </c>
      <c r="F739" s="495"/>
      <c r="G739" s="561" t="str">
        <f>IFERROR(VLOOKUP(D739,'Precios Equipos'!$C$1:$F$2047,3,0),"")</f>
        <v/>
      </c>
      <c r="H739" s="561" t="str">
        <f t="shared" si="80"/>
        <v/>
      </c>
      <c r="I739" s="1087"/>
      <c r="J739" s="1088"/>
      <c r="K739" s="539"/>
      <c r="O739" s="468"/>
    </row>
    <row r="740" spans="2:17" x14ac:dyDescent="0.25">
      <c r="B740" s="493"/>
      <c r="C740" s="526">
        <v>2</v>
      </c>
      <c r="D740" s="494" t="str">
        <f>+'Precios Equipos'!$C$94</f>
        <v>Aire Acondicionado 1000W</v>
      </c>
      <c r="F740" s="495"/>
      <c r="G740" s="561">
        <f>IFERROR(VLOOKUP(D740,'Precios Equipos'!$C$1:$F$2047,3,0),"")</f>
        <v>12</v>
      </c>
      <c r="H740" s="561">
        <f t="shared" si="80"/>
        <v>24</v>
      </c>
      <c r="I740" s="1087"/>
      <c r="J740" s="1088"/>
      <c r="K740" s="539"/>
      <c r="O740" s="468"/>
      <c r="Q740" s="465">
        <f>+C740*$C$727</f>
        <v>10</v>
      </c>
    </row>
    <row r="741" spans="2:17" x14ac:dyDescent="0.25">
      <c r="B741" s="493"/>
      <c r="C741" s="526"/>
      <c r="D741" s="494"/>
      <c r="F741" s="495"/>
      <c r="G741" s="561" t="str">
        <f>IFERROR(VLOOKUP(D741,'Precios Equipos'!$C$1:$F$2047,3,0),"")</f>
        <v/>
      </c>
      <c r="H741" s="561" t="str">
        <f t="shared" ref="H741:H745" si="81">IFERROR(G741*C741,"")</f>
        <v/>
      </c>
      <c r="I741" s="1087"/>
      <c r="J741" s="1088"/>
      <c r="K741" s="539"/>
      <c r="O741" s="468"/>
    </row>
    <row r="742" spans="2:17" x14ac:dyDescent="0.25">
      <c r="B742" s="493"/>
      <c r="C742" s="526"/>
      <c r="D742" s="620" t="s">
        <v>819</v>
      </c>
      <c r="F742" s="495"/>
      <c r="G742" s="561" t="str">
        <f>IFERROR(VLOOKUP(D742,'Precios Equipos'!$C$1:$F$2047,3,0),"")</f>
        <v/>
      </c>
      <c r="H742" s="561" t="str">
        <f t="shared" si="81"/>
        <v/>
      </c>
      <c r="I742" s="1087"/>
      <c r="J742" s="1088"/>
      <c r="K742" s="539"/>
      <c r="O742" s="468"/>
    </row>
    <row r="743" spans="2:17" x14ac:dyDescent="0.25">
      <c r="B743" s="493"/>
      <c r="C743" s="526">
        <v>6</v>
      </c>
      <c r="D743" s="468" t="str">
        <f>+'Precios Equipos'!$C$55</f>
        <v>Interruptor Riel Din 2x25A. S202M 20kA en 250VDC, ABB</v>
      </c>
      <c r="F743" s="495"/>
      <c r="G743" s="561">
        <f>IFERROR(VLOOKUP(D743,'Precios Equipos'!$C$1:$F$2047,3,0),"")</f>
        <v>382</v>
      </c>
      <c r="H743" s="561">
        <f t="shared" si="81"/>
        <v>2292</v>
      </c>
      <c r="I743" s="1087"/>
      <c r="J743" s="1088"/>
      <c r="K743" s="539"/>
      <c r="O743" s="468"/>
      <c r="Q743" s="465">
        <f>+C743*$C$727</f>
        <v>30</v>
      </c>
    </row>
    <row r="744" spans="2:17" x14ac:dyDescent="0.25">
      <c r="B744" s="493"/>
      <c r="C744" s="526">
        <v>6</v>
      </c>
      <c r="D744" s="468" t="str">
        <f>+'Precios Equipos'!$C$60</f>
        <v>Protector de sobretension SPD DC 2P, 1000V DC, CLAMPER/DC SURGE PROTECCION</v>
      </c>
      <c r="F744" s="495"/>
      <c r="G744" s="561">
        <f>IFERROR(VLOOKUP(D744,'Precios Equipos'!$C$1:$F$2047,3,0),"")</f>
        <v>405</v>
      </c>
      <c r="H744" s="561">
        <f t="shared" si="81"/>
        <v>2430</v>
      </c>
      <c r="I744" s="1087"/>
      <c r="J744" s="1088"/>
      <c r="K744" s="539"/>
      <c r="O744" s="468"/>
      <c r="Q744" s="465">
        <f>+C744*$C$727</f>
        <v>30</v>
      </c>
    </row>
    <row r="745" spans="2:17" x14ac:dyDescent="0.25">
      <c r="B745" s="493"/>
      <c r="C745" s="526"/>
      <c r="D745" s="494"/>
      <c r="F745" s="495"/>
      <c r="G745" s="561" t="str">
        <f>IFERROR(VLOOKUP(D745,'Precios Equipos'!$C$1:$F$2047,3,0),"")</f>
        <v/>
      </c>
      <c r="H745" s="561" t="str">
        <f t="shared" si="81"/>
        <v/>
      </c>
      <c r="I745" s="477"/>
      <c r="K745" s="539"/>
      <c r="O745" s="468"/>
    </row>
    <row r="746" spans="2:17" x14ac:dyDescent="0.25">
      <c r="B746" s="493"/>
      <c r="C746" s="526"/>
      <c r="D746" s="620" t="s">
        <v>87</v>
      </c>
      <c r="F746" s="495"/>
      <c r="G746" s="726"/>
      <c r="H746" s="561">
        <f>+M736</f>
        <v>75</v>
      </c>
      <c r="I746" s="561">
        <f>SUM(H746)</f>
        <v>75</v>
      </c>
      <c r="J746" s="924">
        <f>+I746/H750</f>
        <v>1.5096618357487922E-2</v>
      </c>
      <c r="K746" s="539"/>
      <c r="L746" s="467"/>
      <c r="M746" s="467"/>
      <c r="N746" s="467"/>
      <c r="O746" s="467"/>
      <c r="P746" s="467"/>
    </row>
    <row r="747" spans="2:17" x14ac:dyDescent="0.25">
      <c r="B747" s="493"/>
      <c r="C747" s="526">
        <v>1</v>
      </c>
      <c r="D747" s="494" t="s">
        <v>49</v>
      </c>
      <c r="F747" s="495"/>
      <c r="G747" s="726"/>
      <c r="H747" s="561">
        <f>$O$153</f>
        <v>0</v>
      </c>
      <c r="I747" s="1087">
        <f>SUM(H747:H748)</f>
        <v>0</v>
      </c>
      <c r="J747" s="1088">
        <f>+I747/H750</f>
        <v>0</v>
      </c>
      <c r="K747" s="539"/>
      <c r="O747" s="468"/>
    </row>
    <row r="748" spans="2:17" x14ac:dyDescent="0.25">
      <c r="B748" s="493"/>
      <c r="C748" s="526">
        <v>1</v>
      </c>
      <c r="D748" s="494" t="s">
        <v>51</v>
      </c>
      <c r="F748" s="495"/>
      <c r="G748" s="726"/>
      <c r="H748" s="561">
        <f>$O$154</f>
        <v>0</v>
      </c>
      <c r="I748" s="1087"/>
      <c r="J748" s="1088"/>
      <c r="K748" s="539"/>
      <c r="O748" s="468"/>
    </row>
    <row r="749" spans="2:17" x14ac:dyDescent="0.25">
      <c r="B749" s="493"/>
      <c r="C749" s="526">
        <v>1</v>
      </c>
      <c r="D749" s="467" t="s">
        <v>20</v>
      </c>
      <c r="F749" s="495"/>
      <c r="G749" s="726"/>
      <c r="H749" s="561"/>
      <c r="I749" s="477"/>
      <c r="K749" s="539"/>
      <c r="O749" s="468"/>
    </row>
    <row r="750" spans="2:17" x14ac:dyDescent="0.25">
      <c r="B750" s="493"/>
      <c r="C750" s="526">
        <v>1</v>
      </c>
      <c r="D750" s="467" t="s">
        <v>52</v>
      </c>
      <c r="F750" s="495"/>
      <c r="G750" s="553" t="s">
        <v>97</v>
      </c>
      <c r="H750" s="561">
        <f>SUM(H730:H749)</f>
        <v>4968</v>
      </c>
      <c r="I750" s="477"/>
      <c r="K750" s="539"/>
      <c r="O750" s="468"/>
    </row>
    <row r="751" spans="2:17" x14ac:dyDescent="0.25">
      <c r="B751" s="493"/>
      <c r="C751" s="526">
        <v>1</v>
      </c>
      <c r="D751" s="467" t="s">
        <v>900</v>
      </c>
      <c r="F751" s="495"/>
      <c r="G751" s="553" t="s">
        <v>105</v>
      </c>
      <c r="H751" s="561">
        <f>H750*$M$152</f>
        <v>993.6</v>
      </c>
      <c r="I751" s="477"/>
      <c r="K751" s="539"/>
      <c r="O751" s="468"/>
    </row>
    <row r="752" spans="2:17" x14ac:dyDescent="0.25">
      <c r="B752" s="521"/>
      <c r="C752" s="527" t="s">
        <v>17</v>
      </c>
      <c r="D752" s="522" t="s">
        <v>48</v>
      </c>
      <c r="E752" s="523"/>
      <c r="F752" s="524"/>
      <c r="G752" s="553" t="s">
        <v>452</v>
      </c>
      <c r="H752" s="561">
        <f>H750+H751</f>
        <v>5961.6</v>
      </c>
      <c r="I752" s="477"/>
      <c r="K752" s="539"/>
      <c r="O752" s="468"/>
    </row>
    <row r="753" spans="1:17" x14ac:dyDescent="0.25">
      <c r="I753" s="477"/>
      <c r="K753" s="539"/>
      <c r="O753" s="468"/>
    </row>
    <row r="754" spans="1:17" x14ac:dyDescent="0.25">
      <c r="B754" s="514" t="s">
        <v>6</v>
      </c>
      <c r="C754" s="515" t="s">
        <v>0</v>
      </c>
      <c r="D754" s="606" t="s">
        <v>8</v>
      </c>
      <c r="E754" s="516" t="s">
        <v>4</v>
      </c>
      <c r="F754" s="516" t="s">
        <v>3</v>
      </c>
      <c r="G754" s="477"/>
      <c r="H754" s="477"/>
      <c r="I754" s="477"/>
      <c r="K754" s="539"/>
      <c r="O754" s="468"/>
    </row>
    <row r="755" spans="1:17" x14ac:dyDescent="0.25">
      <c r="A755" s="463">
        <v>143</v>
      </c>
      <c r="B755" s="1098">
        <f>B52</f>
        <v>3.1699999999999964</v>
      </c>
      <c r="C755" s="1077">
        <f>C52</f>
        <v>1</v>
      </c>
      <c r="D755" s="1098" t="str">
        <f>D52</f>
        <v>TABLEROS DE POTENCIA TIPO 14 (incluye aire acondicionado)</v>
      </c>
      <c r="E755" s="518">
        <f>H779</f>
        <v>6978</v>
      </c>
      <c r="F755" s="518">
        <f>+E755*C755</f>
        <v>6978</v>
      </c>
      <c r="G755" s="551" t="s">
        <v>450</v>
      </c>
      <c r="H755" s="552" t="s">
        <v>1</v>
      </c>
      <c r="I755" s="477"/>
      <c r="K755" s="539"/>
      <c r="O755" s="468"/>
    </row>
    <row r="756" spans="1:17" x14ac:dyDescent="0.25">
      <c r="B756" s="1078"/>
      <c r="C756" s="1078"/>
      <c r="D756" s="1078"/>
      <c r="E756" s="520" t="s">
        <v>50</v>
      </c>
      <c r="F756" s="520" t="s">
        <v>50</v>
      </c>
      <c r="G756" s="554" t="s">
        <v>50</v>
      </c>
      <c r="H756" s="554" t="s">
        <v>50</v>
      </c>
      <c r="I756" s="477"/>
      <c r="K756" s="539"/>
      <c r="O756" s="468"/>
    </row>
    <row r="757" spans="1:17" ht="16.5" thickBot="1" x14ac:dyDescent="0.3">
      <c r="B757" s="490"/>
      <c r="C757" s="526"/>
      <c r="D757" s="463"/>
      <c r="E757" s="491"/>
      <c r="F757" s="492"/>
      <c r="G757" s="561" t="str">
        <f>IFERROR(VLOOKUP(D757,'Precios Equipos'!$C$1:$F$2047,3,0),"")</f>
        <v/>
      </c>
      <c r="H757" s="561" t="str">
        <f t="shared" ref="H757:H767" si="82">IFERROR(G757*C757,"")</f>
        <v/>
      </c>
      <c r="I757" s="477"/>
      <c r="K757" s="539"/>
      <c r="O757" s="468"/>
    </row>
    <row r="758" spans="1:17" ht="16.5" thickBot="1" x14ac:dyDescent="0.3">
      <c r="B758" s="493"/>
      <c r="C758" s="526">
        <v>1</v>
      </c>
      <c r="D758" s="500" t="str">
        <f>+'Precios Equipos'!$C$196</f>
        <v>Gabinete Autosoportado 2200x1200(2 Puertas)x700mm. (Alto x ancho x profundidad)</v>
      </c>
      <c r="F758" s="495"/>
      <c r="G758" s="561">
        <f>IFERROR(VLOOKUP(D758,'Precios Equipos'!$C$1:$F$2047,3,0),"")</f>
        <v>20</v>
      </c>
      <c r="H758" s="561">
        <f t="shared" si="82"/>
        <v>20</v>
      </c>
      <c r="I758" s="561">
        <f>+H758</f>
        <v>20</v>
      </c>
      <c r="J758" s="924">
        <f>+I758/H777</f>
        <v>3.4393809114359416E-3</v>
      </c>
      <c r="K758" s="539"/>
      <c r="L758" s="540" t="s">
        <v>451</v>
      </c>
      <c r="M758" s="541"/>
      <c r="O758" s="468"/>
      <c r="Q758" s="465">
        <f>+C758*$C$755</f>
        <v>1</v>
      </c>
    </row>
    <row r="759" spans="1:17" ht="16.5" thickBot="1" x14ac:dyDescent="0.3">
      <c r="B759" s="493"/>
      <c r="C759" s="526"/>
      <c r="D759" s="494"/>
      <c r="F759" s="495"/>
      <c r="G759" s="561" t="str">
        <f>IFERROR(VLOOKUP(D759,'Precios Equipos'!$C$1:$F$2047,3,0),"")</f>
        <v/>
      </c>
      <c r="H759" s="561" t="str">
        <f t="shared" si="82"/>
        <v/>
      </c>
      <c r="I759" s="477"/>
      <c r="K759" s="539"/>
      <c r="L759" s="542" t="s">
        <v>88</v>
      </c>
      <c r="M759" s="543" t="s">
        <v>85</v>
      </c>
      <c r="O759" s="468"/>
    </row>
    <row r="760" spans="1:17" x14ac:dyDescent="0.25">
      <c r="B760" s="493"/>
      <c r="C760" s="526"/>
      <c r="D760" s="620" t="s">
        <v>788</v>
      </c>
      <c r="E760" s="467"/>
      <c r="F760" s="495"/>
      <c r="G760" s="561" t="str">
        <f>IFERROR(VLOOKUP(D760,'Precios Equipos'!$C$1:$F$2047,3,0),"")</f>
        <v/>
      </c>
      <c r="H760" s="561" t="str">
        <f t="shared" si="82"/>
        <v/>
      </c>
      <c r="I760" s="477"/>
      <c r="K760" s="539"/>
      <c r="L760" s="544" t="str">
        <f>+'Precios Equipos'!C148</f>
        <v>M. DE OBRA (TIPO 9 y 14) MONTAJE AIRE ACONDICIONADO Y ACCESORIOS</v>
      </c>
      <c r="M760" s="545">
        <f>IFERROR(VLOOKUP(L760,'Precios Equipos'!$C$11:$F$208,3,0),0)</f>
        <v>17</v>
      </c>
      <c r="O760" s="468"/>
    </row>
    <row r="761" spans="1:17" x14ac:dyDescent="0.25">
      <c r="B761" s="493"/>
      <c r="C761" s="526">
        <v>3</v>
      </c>
      <c r="D761" s="494" t="str">
        <f>+'Precios Equipos'!C102</f>
        <v>Inversor Bidireccional 8 KVA</v>
      </c>
      <c r="E761" s="550" t="s">
        <v>575</v>
      </c>
      <c r="F761" s="497"/>
      <c r="G761" s="561">
        <f>IFERROR(VLOOKUP(D761,'Precios Equipos'!$C$1:$F$2047,3,0),"")</f>
        <v>24</v>
      </c>
      <c r="H761" s="561">
        <f t="shared" si="82"/>
        <v>72</v>
      </c>
      <c r="I761" s="1087">
        <f>SUM(H761:H771)</f>
        <v>5709</v>
      </c>
      <c r="J761" s="1088">
        <f>+I761/H777</f>
        <v>0.9817712811693895</v>
      </c>
      <c r="K761" s="539"/>
      <c r="L761" s="544" t="str">
        <f>+'Precios Equipos'!$C$205</f>
        <v>Diseño Ingenieria Tableros Autosoportados</v>
      </c>
      <c r="M761" s="545">
        <f>IFERROR(VLOOKUP(L761,'Precios Equipos'!$C$11:$F$208,3,0),0)</f>
        <v>63</v>
      </c>
      <c r="Q761" s="465">
        <f>+C761*$C$755</f>
        <v>3</v>
      </c>
    </row>
    <row r="762" spans="1:17" x14ac:dyDescent="0.25">
      <c r="B762" s="493"/>
      <c r="C762" s="526"/>
      <c r="D762" s="494"/>
      <c r="E762" s="550"/>
      <c r="F762" s="497"/>
      <c r="G762" s="561" t="str">
        <f>IFERROR(VLOOKUP(D762,'Precios Equipos'!$C$1:$F$2047,3,0),"")</f>
        <v/>
      </c>
      <c r="H762" s="561" t="str">
        <f t="shared" si="82"/>
        <v/>
      </c>
      <c r="I762" s="1087"/>
      <c r="J762" s="1088"/>
      <c r="K762" s="539"/>
      <c r="L762" s="922" t="str">
        <f>+'Precios Equipos'!$C$113</f>
        <v>SISTEMA DE BARRAS 14-16 POLOS</v>
      </c>
      <c r="M762" s="545">
        <f>IFERROR(VLOOKUP(L762,'Precios Equipos'!$C$11:$F$208,3,0),0)</f>
        <v>6</v>
      </c>
    </row>
    <row r="763" spans="1:17" ht="16.5" thickBot="1" x14ac:dyDescent="0.3">
      <c r="B763" s="493"/>
      <c r="C763" s="526"/>
      <c r="D763" s="620" t="s">
        <v>549</v>
      </c>
      <c r="E763" s="550"/>
      <c r="F763" s="497"/>
      <c r="G763" s="561" t="str">
        <f>IFERROR(VLOOKUP(D763,'Precios Equipos'!$C$1:$F$2047,3,0),"")</f>
        <v/>
      </c>
      <c r="H763" s="561" t="str">
        <f t="shared" si="82"/>
        <v/>
      </c>
      <c r="I763" s="1087"/>
      <c r="J763" s="1088"/>
      <c r="K763" s="539"/>
      <c r="L763" s="923" t="str">
        <f>+'Precios Equipos'!$C$138</f>
        <v>CABLEADO 7 DIFERENCIALES, 2P</v>
      </c>
      <c r="M763" s="545">
        <f>IFERROR(VLOOKUP(L763,'Precios Equipos'!$C$11:$F$208,3,0),0)</f>
        <v>0</v>
      </c>
    </row>
    <row r="764" spans="1:17" ht="16.5" thickBot="1" x14ac:dyDescent="0.3">
      <c r="B764" s="493"/>
      <c r="C764" s="526">
        <v>2</v>
      </c>
      <c r="D764" s="494" t="str">
        <f>+'Precios Equipos'!C89</f>
        <v>Centro de Control y Monitoreo de Microgridador de carga 450V/200A</v>
      </c>
      <c r="E764" s="550" t="s">
        <v>575</v>
      </c>
      <c r="F764" s="497"/>
      <c r="G764" s="561">
        <f>IFERROR(VLOOKUP(D764,'Precios Equipos'!$C$1:$F$2047,3,0),"")</f>
        <v>34</v>
      </c>
      <c r="H764" s="561">
        <f t="shared" si="82"/>
        <v>68</v>
      </c>
      <c r="I764" s="1087"/>
      <c r="J764" s="1088"/>
      <c r="K764" s="539"/>
      <c r="L764" s="546" t="s">
        <v>89</v>
      </c>
      <c r="M764" s="560">
        <f>SUM(M760:M763)</f>
        <v>86</v>
      </c>
      <c r="O764" s="468"/>
      <c r="Q764" s="465">
        <f>+C764*$C$755</f>
        <v>2</v>
      </c>
    </row>
    <row r="765" spans="1:17" x14ac:dyDescent="0.25">
      <c r="B765" s="493"/>
      <c r="C765" s="526"/>
      <c r="D765" s="494"/>
      <c r="F765" s="495"/>
      <c r="G765" s="561" t="str">
        <f>IFERROR(VLOOKUP(D765,'Precios Equipos'!$C$1:$F$2047,3,0),"")</f>
        <v/>
      </c>
      <c r="H765" s="561" t="str">
        <f t="shared" si="82"/>
        <v/>
      </c>
      <c r="I765" s="1087"/>
      <c r="J765" s="1088"/>
      <c r="K765" s="539"/>
      <c r="O765" s="468"/>
    </row>
    <row r="766" spans="1:17" x14ac:dyDescent="0.25">
      <c r="B766" s="493"/>
      <c r="C766" s="526"/>
      <c r="D766" s="620" t="s">
        <v>813</v>
      </c>
      <c r="F766" s="495"/>
      <c r="G766" s="561" t="str">
        <f>IFERROR(VLOOKUP(D766,'Precios Equipos'!$C$1:$F$2047,3,0),"")</f>
        <v/>
      </c>
      <c r="H766" s="561" t="str">
        <f t="shared" si="82"/>
        <v/>
      </c>
      <c r="I766" s="1087"/>
      <c r="J766" s="1088"/>
      <c r="K766" s="539"/>
      <c r="O766" s="468"/>
    </row>
    <row r="767" spans="1:17" x14ac:dyDescent="0.25">
      <c r="B767" s="493"/>
      <c r="C767" s="526">
        <v>2</v>
      </c>
      <c r="D767" s="494" t="str">
        <f>+'Precios Equipos'!$C$95</f>
        <v>Aire Acondicionado 1250W</v>
      </c>
      <c r="F767" s="495"/>
      <c r="G767" s="561">
        <f>IFERROR(VLOOKUP(D767,'Precios Equipos'!$C$1:$F$2047,3,0),"")</f>
        <v>30</v>
      </c>
      <c r="H767" s="561">
        <f t="shared" si="82"/>
        <v>60</v>
      </c>
      <c r="I767" s="1087"/>
      <c r="J767" s="1088"/>
      <c r="K767" s="539"/>
      <c r="O767" s="468"/>
      <c r="Q767" s="465">
        <f>+C767*$C$755</f>
        <v>2</v>
      </c>
    </row>
    <row r="768" spans="1:17" x14ac:dyDescent="0.25">
      <c r="B768" s="493"/>
      <c r="C768" s="526"/>
      <c r="D768" s="494"/>
      <c r="F768" s="495"/>
      <c r="G768" s="561" t="str">
        <f>IFERROR(VLOOKUP(D768,'Precios Equipos'!$C$1:$F$2047,3,0),"")</f>
        <v/>
      </c>
      <c r="H768" s="561" t="str">
        <f t="shared" ref="H768:H771" si="83">IFERROR(G768*C768,"")</f>
        <v/>
      </c>
      <c r="I768" s="1087"/>
      <c r="J768" s="1088"/>
      <c r="K768" s="539"/>
      <c r="O768" s="468"/>
    </row>
    <row r="769" spans="1:17" x14ac:dyDescent="0.25">
      <c r="B769" s="493"/>
      <c r="C769" s="526"/>
      <c r="D769" s="620" t="s">
        <v>819</v>
      </c>
      <c r="F769" s="495"/>
      <c r="G769" s="561" t="str">
        <f>IFERROR(VLOOKUP(D769,'Precios Equipos'!$C$1:$F$2047,3,0),"")</f>
        <v/>
      </c>
      <c r="H769" s="561" t="str">
        <f t="shared" si="83"/>
        <v/>
      </c>
      <c r="I769" s="1087"/>
      <c r="J769" s="1088"/>
      <c r="K769" s="539"/>
      <c r="O769" s="468"/>
    </row>
    <row r="770" spans="1:17" x14ac:dyDescent="0.25">
      <c r="B770" s="493"/>
      <c r="C770" s="526">
        <v>7</v>
      </c>
      <c r="D770" s="468" t="str">
        <f>+'Precios Equipos'!$C$55</f>
        <v>Interruptor Riel Din 2x25A. S202M 20kA en 250VDC, ABB</v>
      </c>
      <c r="F770" s="495"/>
      <c r="G770" s="561">
        <f>IFERROR(VLOOKUP(D770,'Precios Equipos'!$C$1:$F$2047,3,0),"")</f>
        <v>382</v>
      </c>
      <c r="H770" s="561">
        <f t="shared" si="83"/>
        <v>2674</v>
      </c>
      <c r="I770" s="1087"/>
      <c r="J770" s="1088"/>
      <c r="K770" s="539"/>
      <c r="O770" s="468"/>
      <c r="Q770" s="465">
        <f>+C770*$C$755</f>
        <v>7</v>
      </c>
    </row>
    <row r="771" spans="1:17" x14ac:dyDescent="0.25">
      <c r="B771" s="493"/>
      <c r="C771" s="526">
        <v>7</v>
      </c>
      <c r="D771" s="468" t="str">
        <f>+'Precios Equipos'!$C$60</f>
        <v>Protector de sobretension SPD DC 2P, 1000V DC, CLAMPER/DC SURGE PROTECCION</v>
      </c>
      <c r="F771" s="495"/>
      <c r="G771" s="561">
        <f>IFERROR(VLOOKUP(D771,'Precios Equipos'!$C$1:$F$2047,3,0),"")</f>
        <v>405</v>
      </c>
      <c r="H771" s="561">
        <f t="shared" si="83"/>
        <v>2835</v>
      </c>
      <c r="I771" s="1087"/>
      <c r="J771" s="1088"/>
      <c r="K771" s="539"/>
      <c r="O771" s="468"/>
      <c r="Q771" s="465">
        <f>+C771*$C$755</f>
        <v>7</v>
      </c>
    </row>
    <row r="772" spans="1:17" x14ac:dyDescent="0.25">
      <c r="B772" s="493"/>
      <c r="C772" s="526"/>
      <c r="D772" s="494"/>
      <c r="F772" s="495"/>
      <c r="G772" s="726"/>
      <c r="H772" s="561"/>
      <c r="I772" s="477"/>
      <c r="K772" s="539"/>
      <c r="O772" s="468"/>
    </row>
    <row r="773" spans="1:17" x14ac:dyDescent="0.25">
      <c r="B773" s="493"/>
      <c r="C773" s="526"/>
      <c r="D773" s="620" t="s">
        <v>87</v>
      </c>
      <c r="F773" s="495"/>
      <c r="G773" s="726"/>
      <c r="H773" s="561">
        <f>+M764</f>
        <v>86</v>
      </c>
      <c r="I773" s="561">
        <f>SUM(H773)</f>
        <v>86</v>
      </c>
      <c r="J773" s="924">
        <f>+I773/H777</f>
        <v>1.4789337919174549E-2</v>
      </c>
      <c r="K773" s="539"/>
      <c r="L773" s="467"/>
      <c r="M773" s="467"/>
      <c r="N773" s="467"/>
      <c r="O773" s="467"/>
      <c r="P773" s="467"/>
    </row>
    <row r="774" spans="1:17" x14ac:dyDescent="0.25">
      <c r="B774" s="493"/>
      <c r="C774" s="526">
        <v>1</v>
      </c>
      <c r="D774" s="494" t="s">
        <v>49</v>
      </c>
      <c r="F774" s="495"/>
      <c r="G774" s="726"/>
      <c r="H774" s="561">
        <f>$O$153</f>
        <v>0</v>
      </c>
      <c r="I774" s="1087">
        <f>SUM(H774:H775)</f>
        <v>0</v>
      </c>
      <c r="J774" s="1088">
        <f>+I774/H777</f>
        <v>0</v>
      </c>
      <c r="K774" s="539"/>
      <c r="O774" s="468"/>
    </row>
    <row r="775" spans="1:17" x14ac:dyDescent="0.25">
      <c r="B775" s="493"/>
      <c r="C775" s="526">
        <v>1</v>
      </c>
      <c r="D775" s="494" t="s">
        <v>51</v>
      </c>
      <c r="F775" s="495"/>
      <c r="G775" s="726"/>
      <c r="H775" s="561">
        <f>$O$154</f>
        <v>0</v>
      </c>
      <c r="I775" s="1087"/>
      <c r="J775" s="1088"/>
      <c r="K775" s="539"/>
      <c r="O775" s="468"/>
    </row>
    <row r="776" spans="1:17" x14ac:dyDescent="0.25">
      <c r="B776" s="493"/>
      <c r="C776" s="526">
        <v>1</v>
      </c>
      <c r="D776" s="467" t="s">
        <v>20</v>
      </c>
      <c r="F776" s="495"/>
      <c r="G776" s="726"/>
      <c r="H776" s="561"/>
      <c r="I776" s="477"/>
      <c r="K776" s="539"/>
      <c r="O776" s="468"/>
    </row>
    <row r="777" spans="1:17" x14ac:dyDescent="0.25">
      <c r="B777" s="493"/>
      <c r="C777" s="526">
        <v>1</v>
      </c>
      <c r="D777" s="467" t="s">
        <v>52</v>
      </c>
      <c r="F777" s="495"/>
      <c r="G777" s="553" t="s">
        <v>97</v>
      </c>
      <c r="H777" s="561">
        <f>SUM(H758:H776)</f>
        <v>5815</v>
      </c>
      <c r="I777" s="477"/>
      <c r="J777" s="924">
        <f>SUM(J758:J775)</f>
        <v>1</v>
      </c>
      <c r="K777" s="539"/>
      <c r="O777" s="468"/>
    </row>
    <row r="778" spans="1:17" x14ac:dyDescent="0.25">
      <c r="B778" s="493"/>
      <c r="C778" s="526">
        <v>1</v>
      </c>
      <c r="D778" s="467" t="s">
        <v>900</v>
      </c>
      <c r="F778" s="495"/>
      <c r="G778" s="553" t="s">
        <v>105</v>
      </c>
      <c r="H778" s="561">
        <f>H777*$M$152</f>
        <v>1163</v>
      </c>
      <c r="J778" s="924">
        <f>$M$152</f>
        <v>0.2</v>
      </c>
      <c r="K778" s="539"/>
      <c r="O778" s="468"/>
    </row>
    <row r="779" spans="1:17" x14ac:dyDescent="0.25">
      <c r="B779" s="521"/>
      <c r="C779" s="527" t="s">
        <v>17</v>
      </c>
      <c r="D779" s="522" t="s">
        <v>48</v>
      </c>
      <c r="E779" s="523"/>
      <c r="F779" s="524"/>
      <c r="G779" s="553" t="s">
        <v>452</v>
      </c>
      <c r="H779" s="561">
        <f>H777+H778</f>
        <v>6978</v>
      </c>
      <c r="I779" s="477"/>
      <c r="K779" s="539"/>
      <c r="O779" s="468"/>
    </row>
    <row r="780" spans="1:17" x14ac:dyDescent="0.25">
      <c r="I780" s="477"/>
      <c r="K780" s="539"/>
      <c r="O780" s="468"/>
    </row>
    <row r="781" spans="1:17" x14ac:dyDescent="0.25">
      <c r="B781" s="514" t="s">
        <v>6</v>
      </c>
      <c r="C781" s="515" t="s">
        <v>0</v>
      </c>
      <c r="D781" s="606" t="s">
        <v>8</v>
      </c>
      <c r="E781" s="516" t="s">
        <v>4</v>
      </c>
      <c r="F781" s="516" t="s">
        <v>3</v>
      </c>
      <c r="G781" s="477"/>
      <c r="H781" s="477"/>
      <c r="I781" s="477"/>
      <c r="K781" s="539"/>
      <c r="O781" s="468"/>
    </row>
    <row r="782" spans="1:17" x14ac:dyDescent="0.25">
      <c r="A782" s="463">
        <v>143</v>
      </c>
      <c r="B782" s="1098">
        <f>B53</f>
        <v>3.1799999999999962</v>
      </c>
      <c r="C782" s="1077">
        <f>C53</f>
        <v>2</v>
      </c>
      <c r="D782" s="1098" t="str">
        <f>D53</f>
        <v>TABLEROS DE POTENCIA TIPO 14.1 (incluye aire acondicionado)</v>
      </c>
      <c r="E782" s="518">
        <f>H806</f>
        <v>6978</v>
      </c>
      <c r="F782" s="518">
        <f>+E782*C782</f>
        <v>13956</v>
      </c>
      <c r="G782" s="551" t="s">
        <v>450</v>
      </c>
      <c r="H782" s="552" t="s">
        <v>1</v>
      </c>
      <c r="I782" s="477"/>
      <c r="K782" s="539"/>
      <c r="O782" s="468"/>
    </row>
    <row r="783" spans="1:17" x14ac:dyDescent="0.25">
      <c r="B783" s="1078"/>
      <c r="C783" s="1078"/>
      <c r="D783" s="1078"/>
      <c r="E783" s="520" t="s">
        <v>50</v>
      </c>
      <c r="F783" s="520" t="s">
        <v>50</v>
      </c>
      <c r="G783" s="554" t="s">
        <v>50</v>
      </c>
      <c r="H783" s="554" t="s">
        <v>50</v>
      </c>
      <c r="I783" s="477"/>
      <c r="K783" s="539"/>
      <c r="O783" s="468"/>
    </row>
    <row r="784" spans="1:17" ht="16.5" thickBot="1" x14ac:dyDescent="0.3">
      <c r="B784" s="490"/>
      <c r="C784" s="526"/>
      <c r="D784" s="463"/>
      <c r="E784" s="491"/>
      <c r="F784" s="492"/>
      <c r="G784" s="561" t="str">
        <f>IFERROR(VLOOKUP(D784,'Precios Equipos'!$C$1:$F$2047,3,0),"")</f>
        <v/>
      </c>
      <c r="H784" s="561" t="str">
        <f t="shared" ref="H784:H788" si="84">IFERROR(G784*C784,"")</f>
        <v/>
      </c>
      <c r="I784" s="477"/>
      <c r="K784" s="539"/>
      <c r="O784" s="468"/>
    </row>
    <row r="785" spans="2:17" ht="16.5" thickBot="1" x14ac:dyDescent="0.3">
      <c r="B785" s="493"/>
      <c r="C785" s="526">
        <v>1</v>
      </c>
      <c r="D785" s="500" t="str">
        <f>+'Precios Equipos'!$C$196</f>
        <v>Gabinete Autosoportado 2200x1200(2 Puertas)x700mm. (Alto x ancho x profundidad)</v>
      </c>
      <c r="F785" s="495"/>
      <c r="G785" s="561">
        <f>IFERROR(VLOOKUP(D785,'Precios Equipos'!$C$1:$F$2047,3,0),"")</f>
        <v>20</v>
      </c>
      <c r="H785" s="561">
        <f t="shared" si="84"/>
        <v>20</v>
      </c>
      <c r="I785" s="561">
        <f>+H785</f>
        <v>20</v>
      </c>
      <c r="J785" s="924">
        <f>+I785/H804</f>
        <v>3.4393809114359416E-3</v>
      </c>
      <c r="K785" s="539"/>
      <c r="L785" s="540" t="s">
        <v>451</v>
      </c>
      <c r="M785" s="541"/>
      <c r="O785" s="468"/>
      <c r="Q785" s="465">
        <f>+C785*$C$782</f>
        <v>2</v>
      </c>
    </row>
    <row r="786" spans="2:17" ht="16.5" thickBot="1" x14ac:dyDescent="0.3">
      <c r="B786" s="493"/>
      <c r="C786" s="526"/>
      <c r="D786" s="494"/>
      <c r="F786" s="495"/>
      <c r="G786" s="561" t="str">
        <f>IFERROR(VLOOKUP(D786,'Precios Equipos'!$C$1:$F$2047,3,0),"")</f>
        <v/>
      </c>
      <c r="H786" s="561" t="str">
        <f t="shared" si="84"/>
        <v/>
      </c>
      <c r="I786" s="477"/>
      <c r="K786" s="539"/>
      <c r="L786" s="542" t="s">
        <v>88</v>
      </c>
      <c r="M786" s="543" t="s">
        <v>85</v>
      </c>
      <c r="O786" s="468"/>
    </row>
    <row r="787" spans="2:17" x14ac:dyDescent="0.25">
      <c r="B787" s="493"/>
      <c r="C787" s="526"/>
      <c r="D787" s="620" t="s">
        <v>788</v>
      </c>
      <c r="E787" s="467"/>
      <c r="F787" s="495"/>
      <c r="G787" s="561" t="str">
        <f>IFERROR(VLOOKUP(D787,'Precios Equipos'!$C$1:$F$2047,3,0),"")</f>
        <v/>
      </c>
      <c r="H787" s="561" t="str">
        <f t="shared" si="84"/>
        <v/>
      </c>
      <c r="I787" s="477"/>
      <c r="K787" s="539"/>
      <c r="L787" s="544" t="str">
        <f>+'Precios Equipos'!C148</f>
        <v>M. DE OBRA (TIPO 9 y 14) MONTAJE AIRE ACONDICIONADO Y ACCESORIOS</v>
      </c>
      <c r="M787" s="545">
        <f>IFERROR(VLOOKUP(L787,'Precios Equipos'!$C$11:$F$208,3,0),0)</f>
        <v>17</v>
      </c>
      <c r="O787" s="468"/>
    </row>
    <row r="788" spans="2:17" x14ac:dyDescent="0.25">
      <c r="B788" s="493"/>
      <c r="C788" s="526">
        <v>3</v>
      </c>
      <c r="D788" s="494" t="str">
        <f>+'Precios Equipos'!C102</f>
        <v>Inversor Bidireccional 8 KVA</v>
      </c>
      <c r="E788" s="550" t="s">
        <v>575</v>
      </c>
      <c r="F788" s="497"/>
      <c r="G788" s="561">
        <f>IFERROR(VLOOKUP(D788,'Precios Equipos'!$C$1:$F$2047,3,0),"")</f>
        <v>24</v>
      </c>
      <c r="H788" s="561">
        <f t="shared" si="84"/>
        <v>72</v>
      </c>
      <c r="I788" s="1087">
        <f>SUM(H788:H798)</f>
        <v>5709</v>
      </c>
      <c r="J788" s="1088">
        <f>+I788/H804</f>
        <v>0.9817712811693895</v>
      </c>
      <c r="K788" s="539"/>
      <c r="L788" s="544" t="str">
        <f>+'Precios Equipos'!$C$205</f>
        <v>Diseño Ingenieria Tableros Autosoportados</v>
      </c>
      <c r="M788" s="545">
        <f>IFERROR(VLOOKUP(L788,'Precios Equipos'!$C$11:$F$208,3,0),0)</f>
        <v>63</v>
      </c>
      <c r="Q788" s="465">
        <f>+C788*$C$782</f>
        <v>6</v>
      </c>
    </row>
    <row r="789" spans="2:17" x14ac:dyDescent="0.25">
      <c r="B789" s="493"/>
      <c r="C789" s="526"/>
      <c r="D789" s="494"/>
      <c r="E789" s="550"/>
      <c r="F789" s="497"/>
      <c r="G789" s="561" t="str">
        <f>IFERROR(VLOOKUP(D789,'Precios Equipos'!$C$1:$F$2047,3,0),"")</f>
        <v/>
      </c>
      <c r="H789" s="561" t="str">
        <f t="shared" ref="H789:H799" si="85">IFERROR(G789*C789,"")</f>
        <v/>
      </c>
      <c r="I789" s="1087"/>
      <c r="J789" s="1088"/>
      <c r="K789" s="539"/>
      <c r="L789" s="922" t="str">
        <f>+'Precios Equipos'!$C$113</f>
        <v>SISTEMA DE BARRAS 14-16 POLOS</v>
      </c>
      <c r="M789" s="545">
        <f>IFERROR(VLOOKUP(L789,'Precios Equipos'!$C$11:$F$208,3,0),0)</f>
        <v>6</v>
      </c>
    </row>
    <row r="790" spans="2:17" ht="16.5" thickBot="1" x14ac:dyDescent="0.3">
      <c r="B790" s="493"/>
      <c r="C790" s="526"/>
      <c r="D790" s="620" t="s">
        <v>549</v>
      </c>
      <c r="E790" s="550"/>
      <c r="F790" s="497"/>
      <c r="G790" s="561" t="str">
        <f>IFERROR(VLOOKUP(D790,'Precios Equipos'!$C$1:$F$2047,3,0),"")</f>
        <v/>
      </c>
      <c r="H790" s="561" t="str">
        <f t="shared" si="85"/>
        <v/>
      </c>
      <c r="I790" s="1087"/>
      <c r="J790" s="1088"/>
      <c r="K790" s="539"/>
      <c r="L790" s="923" t="str">
        <f>+'Precios Equipos'!$C$138</f>
        <v>CABLEADO 7 DIFERENCIALES, 2P</v>
      </c>
      <c r="M790" s="545">
        <f>IFERROR(VLOOKUP(L790,'Precios Equipos'!$C$11:$F$208,3,0),0)</f>
        <v>0</v>
      </c>
    </row>
    <row r="791" spans="2:17" ht="16.5" thickBot="1" x14ac:dyDescent="0.3">
      <c r="B791" s="493"/>
      <c r="C791" s="526">
        <v>2</v>
      </c>
      <c r="D791" s="494" t="str">
        <f>+'Precios Equipos'!C89</f>
        <v>Centro de Control y Monitoreo de Microgridador de carga 450V/200A</v>
      </c>
      <c r="E791" s="550" t="s">
        <v>575</v>
      </c>
      <c r="F791" s="497"/>
      <c r="G791" s="561">
        <f>IFERROR(VLOOKUP(D791,'Precios Equipos'!$C$1:$F$2047,3,0),"")</f>
        <v>34</v>
      </c>
      <c r="H791" s="561">
        <f t="shared" si="85"/>
        <v>68</v>
      </c>
      <c r="I791" s="1087"/>
      <c r="J791" s="1088"/>
      <c r="K791" s="539"/>
      <c r="L791" s="546" t="s">
        <v>89</v>
      </c>
      <c r="M791" s="560">
        <f>SUM(M787:M790)</f>
        <v>86</v>
      </c>
      <c r="O791" s="468"/>
      <c r="Q791" s="465">
        <f>+C791*$C$782</f>
        <v>4</v>
      </c>
    </row>
    <row r="792" spans="2:17" x14ac:dyDescent="0.25">
      <c r="B792" s="493"/>
      <c r="C792" s="526"/>
      <c r="D792" s="494"/>
      <c r="F792" s="495"/>
      <c r="G792" s="561" t="str">
        <f>IFERROR(VLOOKUP(D792,'Precios Equipos'!$C$1:$F$2047,3,0),"")</f>
        <v/>
      </c>
      <c r="H792" s="561" t="str">
        <f t="shared" si="85"/>
        <v/>
      </c>
      <c r="I792" s="1087"/>
      <c r="J792" s="1088"/>
      <c r="K792" s="539"/>
      <c r="O792" s="468"/>
    </row>
    <row r="793" spans="2:17" x14ac:dyDescent="0.25">
      <c r="B793" s="493"/>
      <c r="C793" s="526"/>
      <c r="D793" s="620" t="s">
        <v>813</v>
      </c>
      <c r="F793" s="495"/>
      <c r="G793" s="561" t="str">
        <f>IFERROR(VLOOKUP(D793,'Precios Equipos'!$C$1:$F$2047,3,0),"")</f>
        <v/>
      </c>
      <c r="H793" s="561" t="str">
        <f t="shared" si="85"/>
        <v/>
      </c>
      <c r="I793" s="1087"/>
      <c r="J793" s="1088"/>
      <c r="K793" s="539"/>
      <c r="O793" s="468"/>
    </row>
    <row r="794" spans="2:17" x14ac:dyDescent="0.25">
      <c r="B794" s="493"/>
      <c r="C794" s="526">
        <v>2</v>
      </c>
      <c r="D794" s="494" t="str">
        <f>+'Precios Equipos'!$C$95</f>
        <v>Aire Acondicionado 1250W</v>
      </c>
      <c r="F794" s="495"/>
      <c r="G794" s="561">
        <f>IFERROR(VLOOKUP(D794,'Precios Equipos'!$C$1:$F$2047,3,0),"")</f>
        <v>30</v>
      </c>
      <c r="H794" s="561">
        <f t="shared" si="85"/>
        <v>60</v>
      </c>
      <c r="I794" s="1087"/>
      <c r="J794" s="1088"/>
      <c r="K794" s="539"/>
      <c r="O794" s="468"/>
      <c r="Q794" s="465">
        <f>+C794*$C$782</f>
        <v>4</v>
      </c>
    </row>
    <row r="795" spans="2:17" x14ac:dyDescent="0.25">
      <c r="B795" s="493"/>
      <c r="C795" s="526"/>
      <c r="D795" s="494"/>
      <c r="F795" s="495"/>
      <c r="G795" s="561" t="str">
        <f>IFERROR(VLOOKUP(D795,'Precios Equipos'!$C$1:$F$2047,3,0),"")</f>
        <v/>
      </c>
      <c r="H795" s="561" t="str">
        <f t="shared" si="85"/>
        <v/>
      </c>
      <c r="I795" s="1087"/>
      <c r="J795" s="1088"/>
      <c r="K795" s="539"/>
      <c r="O795" s="468"/>
    </row>
    <row r="796" spans="2:17" x14ac:dyDescent="0.25">
      <c r="B796" s="493"/>
      <c r="C796" s="526"/>
      <c r="D796" s="620" t="s">
        <v>819</v>
      </c>
      <c r="F796" s="495"/>
      <c r="G796" s="561" t="str">
        <f>IFERROR(VLOOKUP(D796,'Precios Equipos'!$C$1:$F$2047,3,0),"")</f>
        <v/>
      </c>
      <c r="H796" s="561" t="str">
        <f t="shared" si="85"/>
        <v/>
      </c>
      <c r="I796" s="1087"/>
      <c r="J796" s="1088"/>
      <c r="K796" s="539"/>
      <c r="O796" s="468"/>
    </row>
    <row r="797" spans="2:17" x14ac:dyDescent="0.25">
      <c r="B797" s="493"/>
      <c r="C797" s="526">
        <v>7</v>
      </c>
      <c r="D797" s="468" t="str">
        <f>+'Precios Equipos'!$C$55</f>
        <v>Interruptor Riel Din 2x25A. S202M 20kA en 250VDC, ABB</v>
      </c>
      <c r="F797" s="495"/>
      <c r="G797" s="561">
        <f>IFERROR(VLOOKUP(D797,'Precios Equipos'!$C$1:$F$2047,3,0),"")</f>
        <v>382</v>
      </c>
      <c r="H797" s="561">
        <f t="shared" si="85"/>
        <v>2674</v>
      </c>
      <c r="I797" s="1087"/>
      <c r="J797" s="1088"/>
      <c r="K797" s="539"/>
      <c r="O797" s="468"/>
      <c r="Q797" s="465">
        <f>+C797*$C$782</f>
        <v>14</v>
      </c>
    </row>
    <row r="798" spans="2:17" x14ac:dyDescent="0.25">
      <c r="B798" s="493"/>
      <c r="C798" s="526">
        <v>7</v>
      </c>
      <c r="D798" s="468" t="str">
        <f>+'Precios Equipos'!$C$60</f>
        <v>Protector de sobretension SPD DC 2P, 1000V DC, CLAMPER/DC SURGE PROTECCION</v>
      </c>
      <c r="F798" s="495"/>
      <c r="G798" s="561">
        <f>IFERROR(VLOOKUP(D798,'Precios Equipos'!$C$1:$F$2047,3,0),"")</f>
        <v>405</v>
      </c>
      <c r="H798" s="561">
        <f t="shared" si="85"/>
        <v>2835</v>
      </c>
      <c r="I798" s="1087"/>
      <c r="J798" s="1088"/>
      <c r="K798" s="539"/>
      <c r="O798" s="468"/>
      <c r="Q798" s="465">
        <f>+C798*$C$782</f>
        <v>14</v>
      </c>
    </row>
    <row r="799" spans="2:17" x14ac:dyDescent="0.25">
      <c r="B799" s="493"/>
      <c r="C799" s="526"/>
      <c r="D799" s="494"/>
      <c r="F799" s="495"/>
      <c r="G799" s="561" t="str">
        <f>IFERROR(VLOOKUP(D799,'Precios Equipos'!$C$1:$F$2047,3,0),"")</f>
        <v/>
      </c>
      <c r="H799" s="561" t="str">
        <f t="shared" si="85"/>
        <v/>
      </c>
      <c r="I799" s="477"/>
      <c r="K799" s="539"/>
      <c r="O799" s="468"/>
    </row>
    <row r="800" spans="2:17" x14ac:dyDescent="0.25">
      <c r="B800" s="493"/>
      <c r="C800" s="526"/>
      <c r="D800" s="620" t="s">
        <v>87</v>
      </c>
      <c r="F800" s="495"/>
      <c r="G800" s="726"/>
      <c r="H800" s="561">
        <f>+M791</f>
        <v>86</v>
      </c>
      <c r="I800" s="561">
        <f>SUM(H800)</f>
        <v>86</v>
      </c>
      <c r="J800" s="924">
        <f>+I800/H804</f>
        <v>1.4789337919174549E-2</v>
      </c>
      <c r="K800" s="539"/>
      <c r="L800" s="467"/>
      <c r="M800" s="467"/>
      <c r="N800" s="467"/>
      <c r="O800" s="467"/>
      <c r="P800" s="467"/>
    </row>
    <row r="801" spans="1:17" x14ac:dyDescent="0.25">
      <c r="B801" s="493"/>
      <c r="C801" s="526">
        <v>1</v>
      </c>
      <c r="D801" s="494" t="s">
        <v>49</v>
      </c>
      <c r="F801" s="495"/>
      <c r="G801" s="726"/>
      <c r="H801" s="561">
        <f>$O$153</f>
        <v>0</v>
      </c>
      <c r="I801" s="1087">
        <f>SUM(H801:H802)</f>
        <v>0</v>
      </c>
      <c r="J801" s="1088">
        <f>+I801/H804</f>
        <v>0</v>
      </c>
      <c r="K801" s="539"/>
      <c r="O801" s="468"/>
    </row>
    <row r="802" spans="1:17" x14ac:dyDescent="0.25">
      <c r="B802" s="493"/>
      <c r="C802" s="526">
        <v>1</v>
      </c>
      <c r="D802" s="494" t="s">
        <v>51</v>
      </c>
      <c r="F802" s="495"/>
      <c r="G802" s="726"/>
      <c r="H802" s="561">
        <f>$O$154</f>
        <v>0</v>
      </c>
      <c r="I802" s="1087"/>
      <c r="J802" s="1088"/>
      <c r="K802" s="539"/>
      <c r="O802" s="468"/>
    </row>
    <row r="803" spans="1:17" x14ac:dyDescent="0.25">
      <c r="B803" s="493"/>
      <c r="C803" s="526">
        <v>1</v>
      </c>
      <c r="D803" s="467" t="s">
        <v>20</v>
      </c>
      <c r="F803" s="495"/>
      <c r="G803" s="726"/>
      <c r="H803" s="561"/>
      <c r="I803" s="477"/>
      <c r="K803" s="539"/>
      <c r="O803" s="468"/>
    </row>
    <row r="804" spans="1:17" x14ac:dyDescent="0.25">
      <c r="B804" s="493"/>
      <c r="C804" s="526">
        <v>1</v>
      </c>
      <c r="D804" s="467" t="s">
        <v>52</v>
      </c>
      <c r="F804" s="495"/>
      <c r="G804" s="553" t="s">
        <v>97</v>
      </c>
      <c r="H804" s="561">
        <f>SUM(H785:H803)</f>
        <v>5815</v>
      </c>
      <c r="I804" s="477"/>
      <c r="J804" s="924">
        <f>SUM(J785:J802)</f>
        <v>1</v>
      </c>
      <c r="K804" s="539"/>
      <c r="O804" s="468"/>
    </row>
    <row r="805" spans="1:17" x14ac:dyDescent="0.25">
      <c r="B805" s="493"/>
      <c r="C805" s="526">
        <v>1</v>
      </c>
      <c r="D805" s="467" t="s">
        <v>900</v>
      </c>
      <c r="F805" s="495"/>
      <c r="G805" s="553" t="s">
        <v>105</v>
      </c>
      <c r="H805" s="561">
        <f>H804*$M$152</f>
        <v>1163</v>
      </c>
      <c r="I805" s="477"/>
      <c r="J805" s="924">
        <f>J804*$M$152</f>
        <v>0.2</v>
      </c>
      <c r="K805" s="539"/>
      <c r="O805" s="468"/>
    </row>
    <row r="806" spans="1:17" x14ac:dyDescent="0.25">
      <c r="B806" s="521"/>
      <c r="C806" s="527" t="s">
        <v>17</v>
      </c>
      <c r="D806" s="522" t="s">
        <v>48</v>
      </c>
      <c r="E806" s="523"/>
      <c r="F806" s="524"/>
      <c r="G806" s="553" t="s">
        <v>452</v>
      </c>
      <c r="H806" s="561">
        <f>H804+H805</f>
        <v>6978</v>
      </c>
      <c r="I806" s="477"/>
      <c r="K806" s="539"/>
      <c r="O806" s="468"/>
    </row>
    <row r="807" spans="1:17" x14ac:dyDescent="0.25">
      <c r="I807" s="477"/>
      <c r="K807" s="539"/>
      <c r="O807" s="468"/>
    </row>
    <row r="808" spans="1:17" x14ac:dyDescent="0.25">
      <c r="B808" s="514" t="s">
        <v>6</v>
      </c>
      <c r="C808" s="515" t="s">
        <v>0</v>
      </c>
      <c r="D808" s="606" t="s">
        <v>8</v>
      </c>
      <c r="E808" s="516" t="s">
        <v>4</v>
      </c>
      <c r="F808" s="516" t="s">
        <v>3</v>
      </c>
      <c r="G808" s="477"/>
      <c r="H808" s="477"/>
      <c r="I808" s="477"/>
      <c r="K808" s="539"/>
      <c r="O808" s="468"/>
    </row>
    <row r="809" spans="1:17" x14ac:dyDescent="0.25">
      <c r="A809" s="463">
        <v>143</v>
      </c>
      <c r="B809" s="1098">
        <f>B54</f>
        <v>3.1899999999999959</v>
      </c>
      <c r="C809" s="1099">
        <f>C54</f>
        <v>1</v>
      </c>
      <c r="D809" s="1098" t="str">
        <f>D54</f>
        <v>TABLEROS DE POTENCIA TIPO 15 (incluye aire acondicionado)</v>
      </c>
      <c r="E809" s="518">
        <f>H833</f>
        <v>3064.8</v>
      </c>
      <c r="F809" s="518">
        <f>+E809*C809</f>
        <v>3064.8</v>
      </c>
      <c r="G809" s="551" t="s">
        <v>450</v>
      </c>
      <c r="H809" s="552" t="s">
        <v>1</v>
      </c>
      <c r="I809" s="477"/>
      <c r="K809" s="539"/>
      <c r="O809" s="468"/>
    </row>
    <row r="810" spans="1:17" x14ac:dyDescent="0.25">
      <c r="B810" s="1078"/>
      <c r="C810" s="1100"/>
      <c r="D810" s="1078"/>
      <c r="E810" s="520" t="s">
        <v>50</v>
      </c>
      <c r="F810" s="520" t="s">
        <v>50</v>
      </c>
      <c r="G810" s="554" t="s">
        <v>50</v>
      </c>
      <c r="H810" s="554" t="s">
        <v>50</v>
      </c>
      <c r="I810" s="477"/>
      <c r="K810" s="539"/>
      <c r="O810" s="468"/>
    </row>
    <row r="811" spans="1:17" ht="16.5" thickBot="1" x14ac:dyDescent="0.3">
      <c r="B811" s="490"/>
      <c r="C811" s="526"/>
      <c r="D811" s="463"/>
      <c r="E811" s="491"/>
      <c r="F811" s="492"/>
      <c r="G811" s="561" t="str">
        <f>IFERROR(VLOOKUP(D811,'Precios Equipos'!$C$1:$F$2047,3,0),"")</f>
        <v/>
      </c>
      <c r="H811" s="561" t="str">
        <f t="shared" ref="H811:H812" si="86">IFERROR(G811*C811,"")</f>
        <v/>
      </c>
      <c r="I811" s="477"/>
      <c r="K811" s="539"/>
      <c r="O811" s="468"/>
    </row>
    <row r="812" spans="1:17" ht="16.5" thickBot="1" x14ac:dyDescent="0.3">
      <c r="B812" s="493"/>
      <c r="C812" s="526">
        <v>1</v>
      </c>
      <c r="D812" s="500" t="str">
        <f>+'Precios Equipos'!$C$196</f>
        <v>Gabinete Autosoportado 2200x1200(2 Puertas)x700mm. (Alto x ancho x profundidad)</v>
      </c>
      <c r="F812" s="495"/>
      <c r="G812" s="561">
        <f>IFERROR(VLOOKUP(D812,'Precios Equipos'!$C$1:$F$2047,3,0),"")</f>
        <v>20</v>
      </c>
      <c r="H812" s="561">
        <f t="shared" si="86"/>
        <v>20</v>
      </c>
      <c r="I812" s="561">
        <f>+H812</f>
        <v>20</v>
      </c>
      <c r="J812" s="924">
        <f>+I812/H831</f>
        <v>7.8308535630383716E-3</v>
      </c>
      <c r="K812" s="539"/>
      <c r="L812" s="540" t="s">
        <v>451</v>
      </c>
      <c r="M812" s="541"/>
      <c r="O812" s="468"/>
      <c r="Q812" s="465">
        <f>+C812*$C$809</f>
        <v>1</v>
      </c>
    </row>
    <row r="813" spans="1:17" ht="16.5" thickBot="1" x14ac:dyDescent="0.3">
      <c r="B813" s="493"/>
      <c r="C813" s="526"/>
      <c r="D813" s="494"/>
      <c r="F813" s="495"/>
      <c r="G813" s="561" t="str">
        <f>IFERROR(VLOOKUP(D813,'Precios Equipos'!$C$1:$F$2047,3,0),"")</f>
        <v/>
      </c>
      <c r="H813" s="561" t="str">
        <f t="shared" ref="H813:H826" si="87">IFERROR(G813*C813,"")</f>
        <v/>
      </c>
      <c r="I813" s="477"/>
      <c r="K813" s="539"/>
      <c r="L813" s="542" t="s">
        <v>88</v>
      </c>
      <c r="M813" s="543" t="s">
        <v>85</v>
      </c>
      <c r="O813" s="468"/>
    </row>
    <row r="814" spans="1:17" x14ac:dyDescent="0.25">
      <c r="B814" s="493"/>
      <c r="C814" s="526"/>
      <c r="D814" s="620" t="s">
        <v>788</v>
      </c>
      <c r="E814" s="467"/>
      <c r="F814" s="495"/>
      <c r="G814" s="561" t="str">
        <f>IFERROR(VLOOKUP(D814,'Precios Equipos'!$C$1:$F$2047,3,0),"")</f>
        <v/>
      </c>
      <c r="H814" s="561" t="str">
        <f t="shared" si="87"/>
        <v/>
      </c>
      <c r="I814" s="477"/>
      <c r="K814" s="539"/>
      <c r="L814" s="544" t="str">
        <f>+'Precios Equipos'!C148</f>
        <v>M. DE OBRA (TIPO 9 y 14) MONTAJE AIRE ACONDICIONADO Y ACCESORIOS</v>
      </c>
      <c r="M814" s="545">
        <f>IFERROR(VLOOKUP(L814,'Precios Equipos'!$C$11:$F$208,3,0),0)</f>
        <v>17</v>
      </c>
      <c r="O814" s="468"/>
    </row>
    <row r="815" spans="1:17" x14ac:dyDescent="0.25">
      <c r="B815" s="493"/>
      <c r="C815" s="526">
        <v>3</v>
      </c>
      <c r="D815" s="494" t="str">
        <f>+'Precios Equipos'!C103</f>
        <v>Inversor Bidireccional 10 KVA</v>
      </c>
      <c r="E815" s="550" t="s">
        <v>575</v>
      </c>
      <c r="F815" s="497"/>
      <c r="G815" s="561">
        <f>IFERROR(VLOOKUP(D815,'Precios Equipos'!$C$1:$F$2047,3,0),"")</f>
        <v>3</v>
      </c>
      <c r="H815" s="561">
        <f t="shared" si="87"/>
        <v>9</v>
      </c>
      <c r="I815" s="1087">
        <f>SUM(H815:H825)</f>
        <v>2428</v>
      </c>
      <c r="J815" s="1088">
        <f>+I815/H831</f>
        <v>0.95066562255285825</v>
      </c>
      <c r="K815" s="539"/>
      <c r="L815" s="544" t="str">
        <f>+'Precios Equipos'!$C$205</f>
        <v>Diseño Ingenieria Tableros Autosoportados</v>
      </c>
      <c r="M815" s="545">
        <f>IFERROR(VLOOKUP(L815,'Precios Equipos'!$C$11:$F$208,3,0),0)</f>
        <v>63</v>
      </c>
      <c r="Q815" s="465">
        <f>+C815*$C$809</f>
        <v>3</v>
      </c>
    </row>
    <row r="816" spans="1:17" x14ac:dyDescent="0.25">
      <c r="B816" s="493"/>
      <c r="C816" s="526"/>
      <c r="D816" s="494"/>
      <c r="E816" s="550"/>
      <c r="F816" s="497"/>
      <c r="G816" s="561" t="str">
        <f>IFERROR(VLOOKUP(D816,'Precios Equipos'!$C$1:$F$2047,3,0),"")</f>
        <v/>
      </c>
      <c r="H816" s="561" t="str">
        <f t="shared" si="87"/>
        <v/>
      </c>
      <c r="I816" s="1087"/>
      <c r="J816" s="1088"/>
      <c r="K816" s="539"/>
      <c r="L816" s="922" t="str">
        <f>+'Precios Equipos'!$C$111</f>
        <v>SISTEMA DE BARRAS 08-10 POLOS</v>
      </c>
      <c r="M816" s="545">
        <f>IFERROR(VLOOKUP(L816,'Precios Equipos'!$C$11:$F$208,3,0),0)</f>
        <v>23</v>
      </c>
    </row>
    <row r="817" spans="2:17" ht="16.5" thickBot="1" x14ac:dyDescent="0.3">
      <c r="B817" s="493"/>
      <c r="C817" s="526"/>
      <c r="D817" s="620" t="s">
        <v>549</v>
      </c>
      <c r="E817" s="550"/>
      <c r="F817" s="497"/>
      <c r="G817" s="561" t="str">
        <f>IFERROR(VLOOKUP(D817,'Precios Equipos'!$C$1:$F$2047,3,0),"")</f>
        <v/>
      </c>
      <c r="H817" s="561" t="str">
        <f t="shared" si="87"/>
        <v/>
      </c>
      <c r="I817" s="1087"/>
      <c r="J817" s="1088"/>
      <c r="K817" s="539"/>
      <c r="L817" s="923" t="str">
        <f>+'Precios Equipos'!$C$134</f>
        <v>CABLEADO 3 DIFERENCIALES, 2P</v>
      </c>
      <c r="M817" s="545">
        <f>IFERROR(VLOOKUP(L817,'Precios Equipos'!$C$11:$F$208,3,0),0)</f>
        <v>3</v>
      </c>
    </row>
    <row r="818" spans="2:17" ht="16.5" thickBot="1" x14ac:dyDescent="0.3">
      <c r="B818" s="493"/>
      <c r="C818" s="526">
        <v>1</v>
      </c>
      <c r="D818" s="494" t="str">
        <f>+'Precios Equipos'!C89</f>
        <v>Centro de Control y Monitoreo de Microgridador de carga 450V/200A</v>
      </c>
      <c r="E818" s="550" t="s">
        <v>575</v>
      </c>
      <c r="F818" s="497"/>
      <c r="G818" s="561">
        <f>IFERROR(VLOOKUP(D818,'Precios Equipos'!$C$1:$F$2047,3,0),"")</f>
        <v>34</v>
      </c>
      <c r="H818" s="561">
        <f t="shared" si="87"/>
        <v>34</v>
      </c>
      <c r="I818" s="1087"/>
      <c r="J818" s="1088"/>
      <c r="K818" s="539"/>
      <c r="L818" s="546" t="s">
        <v>89</v>
      </c>
      <c r="M818" s="560">
        <f>SUM(M814:M817)</f>
        <v>106</v>
      </c>
      <c r="O818" s="468"/>
      <c r="Q818" s="465">
        <f>+C818*$C$809</f>
        <v>1</v>
      </c>
    </row>
    <row r="819" spans="2:17" x14ac:dyDescent="0.25">
      <c r="B819" s="493"/>
      <c r="C819" s="526"/>
      <c r="D819" s="494"/>
      <c r="F819" s="495"/>
      <c r="G819" s="561" t="str">
        <f>IFERROR(VLOOKUP(D819,'Precios Equipos'!$C$1:$F$2047,3,0),"")</f>
        <v/>
      </c>
      <c r="H819" s="561" t="str">
        <f t="shared" si="87"/>
        <v/>
      </c>
      <c r="I819" s="1087"/>
      <c r="J819" s="1088"/>
      <c r="K819" s="539"/>
      <c r="O819" s="468"/>
    </row>
    <row r="820" spans="2:17" x14ac:dyDescent="0.25">
      <c r="B820" s="493"/>
      <c r="C820" s="526"/>
      <c r="D820" s="620" t="s">
        <v>813</v>
      </c>
      <c r="F820" s="495"/>
      <c r="G820" s="561" t="str">
        <f>IFERROR(VLOOKUP(D820,'Precios Equipos'!$C$1:$F$2047,3,0),"")</f>
        <v/>
      </c>
      <c r="H820" s="561" t="str">
        <f t="shared" si="87"/>
        <v/>
      </c>
      <c r="I820" s="1087"/>
      <c r="J820" s="1088"/>
      <c r="K820" s="539"/>
      <c r="O820" s="468"/>
    </row>
    <row r="821" spans="2:17" x14ac:dyDescent="0.25">
      <c r="B821" s="493"/>
      <c r="C821" s="526">
        <v>2</v>
      </c>
      <c r="D821" s="494" t="str">
        <f>+'Precios Equipos'!$C$94</f>
        <v>Aire Acondicionado 1000W</v>
      </c>
      <c r="F821" s="495"/>
      <c r="G821" s="561">
        <f>IFERROR(VLOOKUP(D821,'Precios Equipos'!$C$1:$F$2047,3,0),"")</f>
        <v>12</v>
      </c>
      <c r="H821" s="561">
        <f t="shared" si="87"/>
        <v>24</v>
      </c>
      <c r="I821" s="1087"/>
      <c r="J821" s="1088"/>
      <c r="K821" s="539"/>
      <c r="O821" s="468"/>
      <c r="Q821" s="465">
        <f>+C821*$C$809</f>
        <v>2</v>
      </c>
    </row>
    <row r="822" spans="2:17" x14ac:dyDescent="0.25">
      <c r="B822" s="493"/>
      <c r="C822" s="526"/>
      <c r="D822" s="494"/>
      <c r="F822" s="495"/>
      <c r="G822" s="561" t="str">
        <f>IFERROR(VLOOKUP(D822,'Precios Equipos'!$C$1:$F$2047,3,0),"")</f>
        <v/>
      </c>
      <c r="H822" s="561" t="str">
        <f t="shared" si="87"/>
        <v/>
      </c>
      <c r="I822" s="1087"/>
      <c r="J822" s="1088"/>
      <c r="K822" s="539"/>
      <c r="O822" s="468"/>
    </row>
    <row r="823" spans="2:17" x14ac:dyDescent="0.25">
      <c r="B823" s="493"/>
      <c r="C823" s="526"/>
      <c r="D823" s="620" t="s">
        <v>819</v>
      </c>
      <c r="F823" s="495"/>
      <c r="G823" s="561" t="str">
        <f>IFERROR(VLOOKUP(D823,'Precios Equipos'!$C$1:$F$2047,3,0),"")</f>
        <v/>
      </c>
      <c r="H823" s="561" t="str">
        <f t="shared" si="87"/>
        <v/>
      </c>
      <c r="I823" s="1087"/>
      <c r="J823" s="1088"/>
      <c r="K823" s="539"/>
      <c r="O823" s="468"/>
    </row>
    <row r="824" spans="2:17" x14ac:dyDescent="0.25">
      <c r="B824" s="493"/>
      <c r="C824" s="526">
        <v>3</v>
      </c>
      <c r="D824" s="468" t="str">
        <f>+'Precios Equipos'!$C$55</f>
        <v>Interruptor Riel Din 2x25A. S202M 20kA en 250VDC, ABB</v>
      </c>
      <c r="F824" s="495"/>
      <c r="G824" s="561">
        <f>IFERROR(VLOOKUP(D824,'Precios Equipos'!$C$1:$F$2047,3,0),"")</f>
        <v>382</v>
      </c>
      <c r="H824" s="561">
        <f t="shared" si="87"/>
        <v>1146</v>
      </c>
      <c r="I824" s="1087"/>
      <c r="J824" s="1088"/>
      <c r="K824" s="539"/>
      <c r="O824" s="468"/>
      <c r="Q824" s="465">
        <f>+C824*$C$809</f>
        <v>3</v>
      </c>
    </row>
    <row r="825" spans="2:17" x14ac:dyDescent="0.25">
      <c r="B825" s="493"/>
      <c r="C825" s="526">
        <v>3</v>
      </c>
      <c r="D825" s="468" t="str">
        <f>+'Precios Equipos'!$C$60</f>
        <v>Protector de sobretension SPD DC 2P, 1000V DC, CLAMPER/DC SURGE PROTECCION</v>
      </c>
      <c r="F825" s="495"/>
      <c r="G825" s="561">
        <f>IFERROR(VLOOKUP(D825,'Precios Equipos'!$C$1:$F$2047,3,0),"")</f>
        <v>405</v>
      </c>
      <c r="H825" s="561">
        <f t="shared" si="87"/>
        <v>1215</v>
      </c>
      <c r="I825" s="1087"/>
      <c r="J825" s="1088"/>
      <c r="K825" s="539"/>
      <c r="O825" s="468"/>
      <c r="Q825" s="465">
        <f>+C825*$C$809</f>
        <v>3</v>
      </c>
    </row>
    <row r="826" spans="2:17" x14ac:dyDescent="0.25">
      <c r="B826" s="493"/>
      <c r="C826" s="526"/>
      <c r="D826" s="494"/>
      <c r="F826" s="495"/>
      <c r="G826" s="561" t="str">
        <f>IFERROR(VLOOKUP(D826,'Precios Equipos'!$C$1:$F$2047,3,0),"")</f>
        <v/>
      </c>
      <c r="H826" s="561" t="str">
        <f t="shared" si="87"/>
        <v/>
      </c>
      <c r="I826" s="477"/>
      <c r="K826" s="539"/>
      <c r="O826" s="468"/>
    </row>
    <row r="827" spans="2:17" x14ac:dyDescent="0.25">
      <c r="B827" s="493"/>
      <c r="C827" s="526"/>
      <c r="D827" s="620" t="s">
        <v>87</v>
      </c>
      <c r="F827" s="495"/>
      <c r="G827" s="726"/>
      <c r="H827" s="561">
        <f>+M818</f>
        <v>106</v>
      </c>
      <c r="I827" s="561">
        <f>SUM(H827)</f>
        <v>106</v>
      </c>
      <c r="J827" s="924">
        <f>+I827/H831</f>
        <v>4.1503523884103367E-2</v>
      </c>
      <c r="K827" s="539"/>
      <c r="L827" s="467"/>
      <c r="M827" s="467"/>
      <c r="N827" s="467"/>
      <c r="O827" s="467"/>
      <c r="P827" s="467"/>
    </row>
    <row r="828" spans="2:17" x14ac:dyDescent="0.25">
      <c r="B828" s="493"/>
      <c r="C828" s="526">
        <v>1</v>
      </c>
      <c r="D828" s="494" t="s">
        <v>49</v>
      </c>
      <c r="F828" s="495"/>
      <c r="G828" s="726"/>
      <c r="H828" s="561">
        <f>$O$153</f>
        <v>0</v>
      </c>
      <c r="I828" s="1087">
        <f>SUM(H828:H829)</f>
        <v>0</v>
      </c>
      <c r="J828" s="1088">
        <f>+I828/H831</f>
        <v>0</v>
      </c>
      <c r="K828" s="539"/>
      <c r="O828" s="468"/>
    </row>
    <row r="829" spans="2:17" x14ac:dyDescent="0.25">
      <c r="B829" s="493"/>
      <c r="C829" s="526">
        <v>1</v>
      </c>
      <c r="D829" s="494" t="s">
        <v>51</v>
      </c>
      <c r="F829" s="495"/>
      <c r="G829" s="726"/>
      <c r="H829" s="561">
        <f>$O$154</f>
        <v>0</v>
      </c>
      <c r="I829" s="1087"/>
      <c r="J829" s="1088"/>
      <c r="K829" s="539"/>
      <c r="O829" s="468"/>
    </row>
    <row r="830" spans="2:17" x14ac:dyDescent="0.25">
      <c r="B830" s="493"/>
      <c r="C830" s="526">
        <v>1</v>
      </c>
      <c r="D830" s="467" t="s">
        <v>20</v>
      </c>
      <c r="F830" s="495"/>
      <c r="G830" s="726"/>
      <c r="H830" s="561"/>
      <c r="I830" s="477"/>
      <c r="K830" s="539"/>
      <c r="O830" s="468"/>
    </row>
    <row r="831" spans="2:17" x14ac:dyDescent="0.25">
      <c r="B831" s="493"/>
      <c r="C831" s="526">
        <v>1</v>
      </c>
      <c r="D831" s="467" t="s">
        <v>52</v>
      </c>
      <c r="F831" s="495"/>
      <c r="G831" s="553" t="s">
        <v>97</v>
      </c>
      <c r="H831" s="561">
        <f>SUM(H812:H830)</f>
        <v>2554</v>
      </c>
      <c r="I831" s="477"/>
      <c r="J831" s="924">
        <f>SUM(J812:J829)</f>
        <v>1</v>
      </c>
      <c r="K831" s="539"/>
      <c r="O831" s="468"/>
    </row>
    <row r="832" spans="2:17" x14ac:dyDescent="0.25">
      <c r="B832" s="493"/>
      <c r="C832" s="526">
        <v>1</v>
      </c>
      <c r="D832" s="467" t="s">
        <v>900</v>
      </c>
      <c r="F832" s="495"/>
      <c r="G832" s="553" t="s">
        <v>105</v>
      </c>
      <c r="H832" s="561">
        <f>H831*$M$152</f>
        <v>510.8</v>
      </c>
      <c r="I832" s="477"/>
      <c r="J832" s="924">
        <f>J831*$M$152</f>
        <v>0.2</v>
      </c>
      <c r="K832" s="539"/>
      <c r="O832" s="468"/>
    </row>
    <row r="833" spans="1:17" x14ac:dyDescent="0.25">
      <c r="B833" s="521"/>
      <c r="C833" s="527" t="s">
        <v>17</v>
      </c>
      <c r="D833" s="522" t="s">
        <v>48</v>
      </c>
      <c r="E833" s="523"/>
      <c r="F833" s="524"/>
      <c r="G833" s="553" t="s">
        <v>452</v>
      </c>
      <c r="H833" s="561">
        <f>H831+H832</f>
        <v>3064.8</v>
      </c>
      <c r="I833" s="477"/>
      <c r="K833" s="539"/>
      <c r="O833" s="468"/>
    </row>
    <row r="834" spans="1:17" ht="16.5" thickBot="1" x14ac:dyDescent="0.3">
      <c r="I834" s="477"/>
      <c r="K834" s="539"/>
      <c r="O834" s="468"/>
    </row>
    <row r="835" spans="1:17" s="467" customFormat="1" ht="16.5" thickBot="1" x14ac:dyDescent="0.3">
      <c r="A835" s="463"/>
      <c r="B835" s="555" t="s">
        <v>6</v>
      </c>
      <c r="C835" s="515" t="s">
        <v>0</v>
      </c>
      <c r="D835" s="525" t="s">
        <v>8</v>
      </c>
      <c r="E835" s="556" t="s">
        <v>4</v>
      </c>
      <c r="F835" s="556" t="s">
        <v>3</v>
      </c>
      <c r="G835" s="477"/>
      <c r="H835" s="477"/>
      <c r="I835" s="477"/>
      <c r="J835" s="925"/>
      <c r="K835" s="539"/>
      <c r="L835" s="540" t="s">
        <v>451</v>
      </c>
      <c r="M835" s="541"/>
      <c r="N835" s="468"/>
      <c r="O835" s="468"/>
      <c r="P835" s="468"/>
      <c r="Q835" s="465"/>
    </row>
    <row r="836" spans="1:17" ht="16.5" thickBot="1" x14ac:dyDescent="0.3">
      <c r="A836" s="463">
        <v>142</v>
      </c>
      <c r="B836" s="1091">
        <f>B55</f>
        <v>3.1999999999999957</v>
      </c>
      <c r="C836" s="1091">
        <f>C55</f>
        <v>1</v>
      </c>
      <c r="D836" s="1089" t="str">
        <f>D55</f>
        <v>TABLEROS DE POTENCIA TIPO 14 (C1.1) (incluye aire acondicionado)</v>
      </c>
      <c r="E836" s="517">
        <f>H853</f>
        <v>321.60000000000002</v>
      </c>
      <c r="F836" s="518">
        <f>+E836*C836</f>
        <v>321.60000000000002</v>
      </c>
      <c r="G836" s="553" t="s">
        <v>450</v>
      </c>
      <c r="H836" s="553" t="s">
        <v>1</v>
      </c>
      <c r="I836" s="477"/>
      <c r="K836" s="539"/>
      <c r="L836" s="542" t="s">
        <v>88</v>
      </c>
      <c r="M836" s="543" t="s">
        <v>85</v>
      </c>
      <c r="O836" s="468"/>
    </row>
    <row r="837" spans="1:17" x14ac:dyDescent="0.25">
      <c r="B837" s="1092"/>
      <c r="C837" s="1092"/>
      <c r="D837" s="1090"/>
      <c r="E837" s="519" t="s">
        <v>50</v>
      </c>
      <c r="F837" s="520" t="s">
        <v>50</v>
      </c>
      <c r="G837" s="553" t="s">
        <v>50</v>
      </c>
      <c r="H837" s="553" t="s">
        <v>50</v>
      </c>
      <c r="I837" s="477"/>
      <c r="K837" s="539"/>
      <c r="L837" s="544" t="str">
        <f>+'Precios Equipos'!C148</f>
        <v>M. DE OBRA (TIPO 9 y 14) MONTAJE AIRE ACONDICIONADO Y ACCESORIOS</v>
      </c>
      <c r="M837" s="545">
        <f>IFERROR(VLOOKUP(L837,'Precios Equipos'!$C$11:$F$208,3,0),0)</f>
        <v>17</v>
      </c>
      <c r="O837" s="468"/>
    </row>
    <row r="838" spans="1:17" ht="16.5" thickBot="1" x14ac:dyDescent="0.3">
      <c r="B838" s="490"/>
      <c r="C838" s="526"/>
      <c r="D838" s="657" t="s">
        <v>550</v>
      </c>
      <c r="E838" s="491"/>
      <c r="F838" s="492"/>
      <c r="G838" s="561" t="str">
        <f>IFERROR(VLOOKUP(D838,'Precios Equipos'!$C$1:$F$2047,3,0),"")</f>
        <v/>
      </c>
      <c r="H838" s="561" t="str">
        <f t="shared" ref="H838:H845" si="88">IFERROR(G838*C838,"")</f>
        <v/>
      </c>
      <c r="I838" s="477"/>
      <c r="K838" s="539"/>
      <c r="L838" s="544" t="str">
        <f>+'Precios Equipos'!C205</f>
        <v>Diseño Ingenieria Tableros Autosoportados</v>
      </c>
      <c r="M838" s="545">
        <f>IFERROR(VLOOKUP(L838,'Precios Equipos'!$C$11:$F$208,3,0),0)</f>
        <v>63</v>
      </c>
      <c r="O838" s="468"/>
    </row>
    <row r="839" spans="1:17" ht="16.5" thickBot="1" x14ac:dyDescent="0.3">
      <c r="B839" s="493"/>
      <c r="C839" s="526">
        <v>1</v>
      </c>
      <c r="D839" s="500" t="str">
        <f>+'Precios Equipos'!$C$196</f>
        <v>Gabinete Autosoportado 2200x1200(2 Puertas)x700mm. (Alto x ancho x profundidad)</v>
      </c>
      <c r="F839" s="495"/>
      <c r="G839" s="561">
        <f>IFERROR(VLOOKUP(D839,'Precios Equipos'!$C$1:$F$2047,3,0),"")</f>
        <v>20</v>
      </c>
      <c r="H839" s="561">
        <f t="shared" si="88"/>
        <v>20</v>
      </c>
      <c r="I839" s="561">
        <f>SUM(H839)</f>
        <v>20</v>
      </c>
      <c r="J839" s="924">
        <f>+I839/H851</f>
        <v>7.4626865671641784E-2</v>
      </c>
      <c r="K839" s="539"/>
      <c r="L839" s="546" t="s">
        <v>89</v>
      </c>
      <c r="M839" s="560">
        <f>SUM(M837:M838)</f>
        <v>80</v>
      </c>
      <c r="O839" s="468"/>
      <c r="Q839" s="465">
        <f>+C839*$C$836</f>
        <v>1</v>
      </c>
    </row>
    <row r="840" spans="1:17" x14ac:dyDescent="0.25">
      <c r="B840" s="493"/>
      <c r="C840" s="526"/>
      <c r="D840" s="494"/>
      <c r="F840" s="495"/>
      <c r="G840" s="561" t="str">
        <f>IFERROR(VLOOKUP(D840,'Precios Equipos'!$C$1:$F$2047,3,0),"")</f>
        <v/>
      </c>
      <c r="H840" s="561" t="str">
        <f t="shared" si="88"/>
        <v/>
      </c>
      <c r="I840" s="477"/>
      <c r="K840" s="539"/>
      <c r="O840" s="468"/>
    </row>
    <row r="841" spans="1:17" x14ac:dyDescent="0.25">
      <c r="B841" s="493"/>
      <c r="C841" s="526"/>
      <c r="D841" s="620" t="s">
        <v>788</v>
      </c>
      <c r="F841" s="495"/>
      <c r="G841" s="561" t="str">
        <f>IFERROR(VLOOKUP(D841,'Precios Equipos'!$C$1:$F$2047,3,0),"")</f>
        <v/>
      </c>
      <c r="H841" s="561" t="str">
        <f t="shared" si="88"/>
        <v/>
      </c>
      <c r="I841" s="477"/>
      <c r="K841" s="539"/>
      <c r="O841" s="468"/>
    </row>
    <row r="842" spans="1:17" x14ac:dyDescent="0.25">
      <c r="B842" s="493"/>
      <c r="C842" s="526">
        <v>3</v>
      </c>
      <c r="D842" s="494" t="str">
        <f>+'Precios Equipos'!C104</f>
        <v>Inversor Bidireccional 15 KVA</v>
      </c>
      <c r="E842" s="550" t="s">
        <v>575</v>
      </c>
      <c r="F842" s="497"/>
      <c r="G842" s="561">
        <f>IFERROR(VLOOKUP(D842,'Precios Equipos'!$C$1:$F$2047,3,0),"")</f>
        <v>36</v>
      </c>
      <c r="H842" s="561">
        <f t="shared" si="88"/>
        <v>108</v>
      </c>
      <c r="I842" s="1087">
        <f>SUM(H842:H845)</f>
        <v>168</v>
      </c>
      <c r="J842" s="1088">
        <f>+I842/H851</f>
        <v>0.62686567164179108</v>
      </c>
      <c r="K842" s="539"/>
      <c r="Q842" s="465">
        <f>+C842*$C$836</f>
        <v>3</v>
      </c>
    </row>
    <row r="843" spans="1:17" x14ac:dyDescent="0.25">
      <c r="B843" s="493"/>
      <c r="C843" s="526"/>
      <c r="D843" s="494"/>
      <c r="F843" s="495"/>
      <c r="G843" s="561" t="str">
        <f>IFERROR(VLOOKUP(D843,'Precios Equipos'!$C$1:$F$2047,3,0),"")</f>
        <v/>
      </c>
      <c r="H843" s="561" t="str">
        <f t="shared" si="88"/>
        <v/>
      </c>
      <c r="I843" s="1087"/>
      <c r="J843" s="1088"/>
      <c r="K843" s="539"/>
      <c r="O843" s="468"/>
    </row>
    <row r="844" spans="1:17" x14ac:dyDescent="0.25">
      <c r="B844" s="493"/>
      <c r="C844" s="526"/>
      <c r="D844" s="620" t="s">
        <v>813</v>
      </c>
      <c r="F844" s="495"/>
      <c r="G844" s="561" t="str">
        <f>IFERROR(VLOOKUP(D844,'Precios Equipos'!$C$1:$F$2047,3,0),"")</f>
        <v/>
      </c>
      <c r="H844" s="561" t="str">
        <f t="shared" si="88"/>
        <v/>
      </c>
      <c r="I844" s="1087"/>
      <c r="J844" s="1088"/>
      <c r="K844" s="539"/>
      <c r="O844" s="468"/>
    </row>
    <row r="845" spans="1:17" x14ac:dyDescent="0.25">
      <c r="B845" s="493"/>
      <c r="C845" s="526">
        <v>2</v>
      </c>
      <c r="D845" s="494" t="str">
        <f>+'Precios Equipos'!$C$95</f>
        <v>Aire Acondicionado 1250W</v>
      </c>
      <c r="F845" s="495"/>
      <c r="G845" s="561">
        <f>IFERROR(VLOOKUP(D845,'Precios Equipos'!$C$1:$F$2047,3,0),"")</f>
        <v>30</v>
      </c>
      <c r="H845" s="561">
        <f t="shared" si="88"/>
        <v>60</v>
      </c>
      <c r="I845" s="1087"/>
      <c r="J845" s="1088"/>
      <c r="K845" s="539"/>
      <c r="O845" s="468"/>
      <c r="Q845" s="465">
        <f>+C845*$C$836</f>
        <v>2</v>
      </c>
    </row>
    <row r="846" spans="1:17" x14ac:dyDescent="0.25">
      <c r="B846" s="493"/>
      <c r="C846" s="526"/>
      <c r="D846" s="494"/>
      <c r="F846" s="495"/>
      <c r="G846" s="561"/>
      <c r="H846" s="561"/>
      <c r="I846" s="477"/>
      <c r="K846" s="539"/>
      <c r="O846" s="468"/>
    </row>
    <row r="847" spans="1:17" x14ac:dyDescent="0.25">
      <c r="B847" s="493"/>
      <c r="C847" s="526"/>
      <c r="D847" s="620" t="s">
        <v>87</v>
      </c>
      <c r="F847" s="495"/>
      <c r="G847" s="561"/>
      <c r="H847" s="561">
        <f>+M839</f>
        <v>80</v>
      </c>
      <c r="I847" s="561">
        <f>SUM(H847)</f>
        <v>80</v>
      </c>
      <c r="J847" s="924">
        <f>+I847/H851</f>
        <v>0.29850746268656714</v>
      </c>
      <c r="K847" s="539"/>
      <c r="O847" s="468"/>
    </row>
    <row r="848" spans="1:17" x14ac:dyDescent="0.25">
      <c r="B848" s="493"/>
      <c r="C848" s="526">
        <v>1</v>
      </c>
      <c r="D848" s="494" t="s">
        <v>49</v>
      </c>
      <c r="F848" s="495"/>
      <c r="G848" s="561"/>
      <c r="H848" s="561">
        <f>$O$153</f>
        <v>0</v>
      </c>
      <c r="I848" s="1081">
        <f>SUM(H848:H849)</f>
        <v>0</v>
      </c>
      <c r="J848" s="1114">
        <f>+I848/H851</f>
        <v>0</v>
      </c>
      <c r="K848" s="539"/>
      <c r="O848" s="468"/>
    </row>
    <row r="849" spans="1:17" x14ac:dyDescent="0.25">
      <c r="B849" s="493"/>
      <c r="C849" s="526">
        <v>1</v>
      </c>
      <c r="D849" s="494" t="s">
        <v>51</v>
      </c>
      <c r="F849" s="495"/>
      <c r="G849" s="561"/>
      <c r="H849" s="561">
        <f>$O$154</f>
        <v>0</v>
      </c>
      <c r="I849" s="1083"/>
      <c r="J849" s="1115"/>
      <c r="K849" s="539"/>
      <c r="O849" s="468"/>
    </row>
    <row r="850" spans="1:17" x14ac:dyDescent="0.25">
      <c r="B850" s="493"/>
      <c r="C850" s="526">
        <v>1</v>
      </c>
      <c r="D850" s="467" t="s">
        <v>20</v>
      </c>
      <c r="F850" s="495"/>
      <c r="G850" s="479"/>
      <c r="H850" s="479"/>
      <c r="I850" s="477"/>
      <c r="K850" s="539"/>
      <c r="O850" s="468"/>
    </row>
    <row r="851" spans="1:17" x14ac:dyDescent="0.25">
      <c r="B851" s="493"/>
      <c r="C851" s="526">
        <v>1</v>
      </c>
      <c r="D851" s="467" t="s">
        <v>52</v>
      </c>
      <c r="F851" s="495"/>
      <c r="G851" s="553" t="s">
        <v>97</v>
      </c>
      <c r="H851" s="561">
        <f>SUM(H839:H850)</f>
        <v>268</v>
      </c>
      <c r="I851" s="477"/>
      <c r="J851" s="924">
        <f>SUM(J839:J849)</f>
        <v>1</v>
      </c>
      <c r="K851" s="539"/>
      <c r="O851" s="468"/>
    </row>
    <row r="852" spans="1:17" x14ac:dyDescent="0.25">
      <c r="B852" s="493"/>
      <c r="C852" s="526">
        <v>1</v>
      </c>
      <c r="D852" s="467" t="s">
        <v>900</v>
      </c>
      <c r="F852" s="495"/>
      <c r="G852" s="553" t="s">
        <v>105</v>
      </c>
      <c r="H852" s="561">
        <f>H851*$M$152</f>
        <v>53.6</v>
      </c>
      <c r="I852" s="477"/>
      <c r="J852" s="924">
        <f>J851*$M$152</f>
        <v>0.2</v>
      </c>
      <c r="K852" s="539"/>
      <c r="O852" s="468"/>
    </row>
    <row r="853" spans="1:17" x14ac:dyDescent="0.25">
      <c r="B853" s="562"/>
      <c r="C853" s="527" t="s">
        <v>17</v>
      </c>
      <c r="D853" s="522" t="s">
        <v>48</v>
      </c>
      <c r="E853" s="523"/>
      <c r="F853" s="523"/>
      <c r="G853" s="553" t="s">
        <v>452</v>
      </c>
      <c r="H853" s="561">
        <f>H851+H852</f>
        <v>321.60000000000002</v>
      </c>
      <c r="I853" s="477"/>
      <c r="K853" s="539"/>
      <c r="O853" s="468"/>
    </row>
    <row r="854" spans="1:17" x14ac:dyDescent="0.25">
      <c r="G854" s="727"/>
      <c r="H854" s="477"/>
      <c r="I854" s="477"/>
      <c r="K854" s="539"/>
      <c r="O854" s="468"/>
    </row>
    <row r="855" spans="1:17" x14ac:dyDescent="0.25">
      <c r="B855" s="514" t="s">
        <v>6</v>
      </c>
      <c r="C855" s="515" t="s">
        <v>0</v>
      </c>
      <c r="D855" s="525" t="s">
        <v>8</v>
      </c>
      <c r="E855" s="516" t="s">
        <v>4</v>
      </c>
      <c r="F855" s="516" t="s">
        <v>3</v>
      </c>
      <c r="G855" s="477"/>
      <c r="H855" s="477"/>
      <c r="I855" s="477"/>
      <c r="K855" s="539"/>
      <c r="O855" s="468"/>
    </row>
    <row r="856" spans="1:17" x14ac:dyDescent="0.25">
      <c r="A856" s="463">
        <v>141</v>
      </c>
      <c r="B856" s="1077">
        <f>B56</f>
        <v>3.2099999999999955</v>
      </c>
      <c r="C856" s="1091">
        <f>C56</f>
        <v>1</v>
      </c>
      <c r="D856" s="1089" t="str">
        <f>D56</f>
        <v>TABLEROS DE POTENCIA TIPO 14 (C1.2) (incluye aire acondicionado)</v>
      </c>
      <c r="E856" s="517">
        <f>H880</f>
        <v>4174.8</v>
      </c>
      <c r="F856" s="518">
        <f>+E856*C856</f>
        <v>4174.8</v>
      </c>
      <c r="G856" s="553" t="s">
        <v>450</v>
      </c>
      <c r="H856" s="553" t="s">
        <v>1</v>
      </c>
      <c r="I856" s="477"/>
      <c r="K856" s="539"/>
      <c r="O856" s="468"/>
    </row>
    <row r="857" spans="1:17" x14ac:dyDescent="0.25">
      <c r="B857" s="1078"/>
      <c r="C857" s="1092"/>
      <c r="D857" s="1090"/>
      <c r="E857" s="519" t="s">
        <v>50</v>
      </c>
      <c r="F857" s="520" t="s">
        <v>50</v>
      </c>
      <c r="G857" s="553" t="s">
        <v>50</v>
      </c>
      <c r="H857" s="553" t="s">
        <v>50</v>
      </c>
      <c r="I857" s="477"/>
      <c r="K857" s="539"/>
      <c r="O857" s="468"/>
    </row>
    <row r="858" spans="1:17" ht="16.5" thickBot="1" x14ac:dyDescent="0.3">
      <c r="B858" s="490"/>
      <c r="C858" s="526"/>
      <c r="D858" s="579" t="s">
        <v>551</v>
      </c>
      <c r="E858" s="491"/>
      <c r="F858" s="492"/>
      <c r="G858" s="561" t="str">
        <f>IFERROR(VLOOKUP(D858,'Precios Equipos'!$C$1:$F$2047,3,0),"")</f>
        <v/>
      </c>
      <c r="H858" s="561" t="str">
        <f t="shared" ref="H858:H868" si="89">IFERROR(G858*C858,"")</f>
        <v/>
      </c>
      <c r="I858" s="477"/>
      <c r="K858" s="539"/>
      <c r="O858" s="468"/>
    </row>
    <row r="859" spans="1:17" ht="16.5" thickBot="1" x14ac:dyDescent="0.3">
      <c r="B859" s="493"/>
      <c r="C859" s="526">
        <v>1</v>
      </c>
      <c r="D859" s="500" t="str">
        <f>+'Precios Equipos'!$C$196</f>
        <v>Gabinete Autosoportado 2200x1200(2 Puertas)x700mm. (Alto x ancho x profundidad)</v>
      </c>
      <c r="F859" s="495"/>
      <c r="G859" s="561">
        <f>IFERROR(VLOOKUP(D859,'Precios Equipos'!$C$1:$F$2047,3,0),"")</f>
        <v>20</v>
      </c>
      <c r="H859" s="561">
        <f t="shared" si="89"/>
        <v>20</v>
      </c>
      <c r="I859" s="561">
        <f>SUM(H859)</f>
        <v>20</v>
      </c>
      <c r="J859" s="924">
        <f>+I859/H878</f>
        <v>5.7487783845932743E-3</v>
      </c>
      <c r="K859" s="539"/>
      <c r="L859" s="540" t="s">
        <v>451</v>
      </c>
      <c r="M859" s="541"/>
      <c r="O859" s="468"/>
      <c r="Q859" s="465">
        <f>+C859*$C$856</f>
        <v>1</v>
      </c>
    </row>
    <row r="860" spans="1:17" ht="16.5" thickBot="1" x14ac:dyDescent="0.3">
      <c r="B860" s="493"/>
      <c r="C860" s="526"/>
      <c r="D860" s="494"/>
      <c r="F860" s="495"/>
      <c r="G860" s="561" t="str">
        <f>IFERROR(VLOOKUP(D860,'Precios Equipos'!$C$1:$F$2047,3,0),"")</f>
        <v/>
      </c>
      <c r="H860" s="561" t="str">
        <f t="shared" si="89"/>
        <v/>
      </c>
      <c r="I860" s="477"/>
      <c r="K860" s="539"/>
      <c r="L860" s="542" t="s">
        <v>88</v>
      </c>
      <c r="M860" s="543" t="s">
        <v>85</v>
      </c>
    </row>
    <row r="861" spans="1:17" x14ac:dyDescent="0.25">
      <c r="B861" s="493"/>
      <c r="C861" s="526"/>
      <c r="D861" s="620" t="s">
        <v>788</v>
      </c>
      <c r="F861" s="497"/>
      <c r="G861" s="561" t="str">
        <f>IFERROR(VLOOKUP(D861,'Precios Equipos'!$C$1:$F$2047,3,0),"")</f>
        <v/>
      </c>
      <c r="H861" s="561" t="str">
        <f t="shared" si="89"/>
        <v/>
      </c>
      <c r="I861" s="477"/>
      <c r="K861" s="539"/>
      <c r="L861" s="920" t="str">
        <f>+'Precios Equipos'!C148</f>
        <v>M. DE OBRA (TIPO 9 y 14) MONTAJE AIRE ACONDICIONADO Y ACCESORIOS</v>
      </c>
      <c r="M861" s="545">
        <f>IFERROR(VLOOKUP(L861,'Precios Equipos'!$C$11:$F$208,3,0),0)</f>
        <v>17</v>
      </c>
    </row>
    <row r="862" spans="1:17" x14ac:dyDescent="0.25">
      <c r="B862" s="493"/>
      <c r="C862" s="526">
        <v>3</v>
      </c>
      <c r="D862" s="494" t="str">
        <f>+'Precios Equipos'!C104</f>
        <v>Inversor Bidireccional 15 KVA</v>
      </c>
      <c r="E862" s="550" t="s">
        <v>575</v>
      </c>
      <c r="F862" s="497"/>
      <c r="G862" s="561">
        <f>IFERROR(VLOOKUP(D862,'Precios Equipos'!$C$1:$F$2047,3,0),"")</f>
        <v>36</v>
      </c>
      <c r="H862" s="561">
        <f t="shared" si="89"/>
        <v>108</v>
      </c>
      <c r="I862" s="1087">
        <f>SUM(H862:H872)</f>
        <v>3350</v>
      </c>
      <c r="J862" s="1088">
        <f>+I862/H878</f>
        <v>0.96292037941937336</v>
      </c>
      <c r="K862" s="539"/>
      <c r="L862" s="920" t="str">
        <f>+'Precios Equipos'!C205</f>
        <v>Diseño Ingenieria Tableros Autosoportados</v>
      </c>
      <c r="M862" s="545">
        <f>IFERROR(VLOOKUP(L862,'Precios Equipos'!$C$11:$F$208,3,0),0)</f>
        <v>63</v>
      </c>
      <c r="Q862" s="465">
        <f>+C862*$C$856</f>
        <v>3</v>
      </c>
    </row>
    <row r="863" spans="1:17" x14ac:dyDescent="0.25">
      <c r="B863" s="493"/>
      <c r="C863" s="526"/>
      <c r="D863" s="494"/>
      <c r="F863" s="497"/>
      <c r="G863" s="561" t="str">
        <f>IFERROR(VLOOKUP(D863,'Precios Equipos'!$C$1:$F$2047,3,0),"")</f>
        <v/>
      </c>
      <c r="H863" s="561" t="str">
        <f t="shared" si="89"/>
        <v/>
      </c>
      <c r="I863" s="1087"/>
      <c r="J863" s="1088"/>
      <c r="K863" s="539"/>
      <c r="L863" s="922" t="str">
        <f>+'Precios Equipos'!C111</f>
        <v>SISTEMA DE BARRAS 08-10 POLOS</v>
      </c>
      <c r="M863" s="545">
        <f>IFERROR(VLOOKUP(L863,'Precios Equipos'!$C$11:$F$208,3,0),0)</f>
        <v>23</v>
      </c>
      <c r="O863" s="468"/>
    </row>
    <row r="864" spans="1:17" ht="16.5" thickBot="1" x14ac:dyDescent="0.3">
      <c r="B864" s="493"/>
      <c r="C864" s="526"/>
      <c r="D864" s="620" t="s">
        <v>549</v>
      </c>
      <c r="F864" s="497"/>
      <c r="G864" s="561" t="str">
        <f>IFERROR(VLOOKUP(D864,'Precios Equipos'!$C$1:$F$2047,3,0),"")</f>
        <v/>
      </c>
      <c r="H864" s="561" t="str">
        <f t="shared" si="89"/>
        <v/>
      </c>
      <c r="I864" s="1087"/>
      <c r="J864" s="1088"/>
      <c r="K864" s="539"/>
      <c r="L864" s="923" t="str">
        <f>+'Precios Equipos'!C135</f>
        <v>CABLEADO 4 DIFERENCIALES, 2P</v>
      </c>
      <c r="M864" s="545">
        <f>IFERROR(VLOOKUP(L864,'Precios Equipos'!$C$11:$F$208,3,0),0)</f>
        <v>6</v>
      </c>
      <c r="O864" s="468"/>
    </row>
    <row r="865" spans="2:17" ht="16.5" thickBot="1" x14ac:dyDescent="0.3">
      <c r="B865" s="493"/>
      <c r="C865" s="526">
        <v>1</v>
      </c>
      <c r="D865" s="494" t="str">
        <f>+'Precios Equipos'!C89</f>
        <v>Centro de Control y Monitoreo de Microgridador de carga 450V/200A</v>
      </c>
      <c r="E865" s="550" t="s">
        <v>575</v>
      </c>
      <c r="F865" s="497"/>
      <c r="G865" s="561">
        <f>IFERROR(VLOOKUP(D865,'Precios Equipos'!$C$1:$F$2047,3,0),"")</f>
        <v>34</v>
      </c>
      <c r="H865" s="561">
        <f t="shared" si="89"/>
        <v>34</v>
      </c>
      <c r="I865" s="1087"/>
      <c r="J865" s="1088"/>
      <c r="K865" s="539"/>
      <c r="L865" s="546" t="s">
        <v>89</v>
      </c>
      <c r="M865" s="560">
        <f>SUM(M861:M864)</f>
        <v>109</v>
      </c>
      <c r="O865" s="468"/>
      <c r="Q865" s="465">
        <f>+C865*$C$856</f>
        <v>1</v>
      </c>
    </row>
    <row r="866" spans="2:17" x14ac:dyDescent="0.25">
      <c r="B866" s="493"/>
      <c r="C866" s="526"/>
      <c r="D866" s="494"/>
      <c r="F866" s="495"/>
      <c r="G866" s="561" t="str">
        <f>IFERROR(VLOOKUP(D866,'Precios Equipos'!$C$1:$F$2047,3,0),"")</f>
        <v/>
      </c>
      <c r="H866" s="561" t="str">
        <f t="shared" si="89"/>
        <v/>
      </c>
      <c r="I866" s="1087"/>
      <c r="J866" s="1088"/>
      <c r="K866" s="539"/>
      <c r="O866" s="468"/>
    </row>
    <row r="867" spans="2:17" x14ac:dyDescent="0.25">
      <c r="B867" s="493"/>
      <c r="C867" s="526"/>
      <c r="D867" s="620" t="s">
        <v>813</v>
      </c>
      <c r="F867" s="495"/>
      <c r="G867" s="561" t="str">
        <f>IFERROR(VLOOKUP(D867,'Precios Equipos'!$C$1:$F$2047,3,0),"")</f>
        <v/>
      </c>
      <c r="H867" s="561" t="str">
        <f t="shared" si="89"/>
        <v/>
      </c>
      <c r="I867" s="1087"/>
      <c r="J867" s="1088"/>
      <c r="K867" s="539"/>
      <c r="O867" s="468"/>
    </row>
    <row r="868" spans="2:17" x14ac:dyDescent="0.25">
      <c r="B868" s="493"/>
      <c r="C868" s="526">
        <v>2</v>
      </c>
      <c r="D868" s="494" t="str">
        <f>+'Precios Equipos'!$C$95</f>
        <v>Aire Acondicionado 1250W</v>
      </c>
      <c r="F868" s="495"/>
      <c r="G868" s="561">
        <f>IFERROR(VLOOKUP(D868,'Precios Equipos'!$C$1:$F$2047,3,0),"")</f>
        <v>30</v>
      </c>
      <c r="H868" s="561">
        <f t="shared" si="89"/>
        <v>60</v>
      </c>
      <c r="I868" s="1087"/>
      <c r="J868" s="1088"/>
      <c r="K868" s="539"/>
      <c r="O868" s="468"/>
      <c r="Q868" s="465">
        <f>+C868*$C$856</f>
        <v>2</v>
      </c>
    </row>
    <row r="869" spans="2:17" x14ac:dyDescent="0.25">
      <c r="B869" s="493"/>
      <c r="C869" s="526"/>
      <c r="D869" s="494"/>
      <c r="F869" s="495"/>
      <c r="G869" s="561" t="str">
        <f>IFERROR(VLOOKUP(D869,'Precios Equipos'!$C$1:$F$2047,3,0),"")</f>
        <v/>
      </c>
      <c r="H869" s="561" t="str">
        <f t="shared" ref="H869:H872" si="90">IFERROR(G869*C869,"")</f>
        <v/>
      </c>
      <c r="I869" s="1087"/>
      <c r="J869" s="1088"/>
      <c r="K869" s="539"/>
      <c r="O869" s="468"/>
    </row>
    <row r="870" spans="2:17" x14ac:dyDescent="0.25">
      <c r="B870" s="493"/>
      <c r="C870" s="526"/>
      <c r="D870" s="620" t="s">
        <v>819</v>
      </c>
      <c r="F870" s="495"/>
      <c r="G870" s="561" t="str">
        <f>IFERROR(VLOOKUP(D870,'Precios Equipos'!$C$1:$F$2047,3,0),"")</f>
        <v/>
      </c>
      <c r="H870" s="561" t="str">
        <f t="shared" si="90"/>
        <v/>
      </c>
      <c r="I870" s="1087"/>
      <c r="J870" s="1088"/>
      <c r="K870" s="539"/>
      <c r="O870" s="468"/>
    </row>
    <row r="871" spans="2:17" x14ac:dyDescent="0.25">
      <c r="B871" s="493"/>
      <c r="C871" s="526">
        <v>4</v>
      </c>
      <c r="D871" s="468" t="str">
        <f>+'Precios Equipos'!$C$55</f>
        <v>Interruptor Riel Din 2x25A. S202M 20kA en 250VDC, ABB</v>
      </c>
      <c r="F871" s="495"/>
      <c r="G871" s="561">
        <f>IFERROR(VLOOKUP(D871,'Precios Equipos'!$C$1:$F$2047,3,0),"")</f>
        <v>382</v>
      </c>
      <c r="H871" s="561">
        <f t="shared" si="90"/>
        <v>1528</v>
      </c>
      <c r="I871" s="1087"/>
      <c r="J871" s="1088"/>
      <c r="K871" s="539"/>
      <c r="O871" s="468"/>
      <c r="Q871" s="465">
        <f>+C871*$C$856</f>
        <v>4</v>
      </c>
    </row>
    <row r="872" spans="2:17" x14ac:dyDescent="0.25">
      <c r="B872" s="493"/>
      <c r="C872" s="526">
        <v>4</v>
      </c>
      <c r="D872" s="468" t="str">
        <f>+'Precios Equipos'!$C$60</f>
        <v>Protector de sobretension SPD DC 2P, 1000V DC, CLAMPER/DC SURGE PROTECCION</v>
      </c>
      <c r="F872" s="495"/>
      <c r="G872" s="561">
        <f>IFERROR(VLOOKUP(D872,'Precios Equipos'!$C$1:$F$2047,3,0),"")</f>
        <v>405</v>
      </c>
      <c r="H872" s="561">
        <f t="shared" si="90"/>
        <v>1620</v>
      </c>
      <c r="I872" s="1087"/>
      <c r="J872" s="1088"/>
      <c r="K872" s="539"/>
      <c r="O872" s="468"/>
      <c r="Q872" s="465">
        <f>+C872*$C$856</f>
        <v>4</v>
      </c>
    </row>
    <row r="873" spans="2:17" x14ac:dyDescent="0.25">
      <c r="B873" s="493"/>
      <c r="C873" s="526"/>
      <c r="D873" s="494"/>
      <c r="F873" s="495"/>
      <c r="G873" s="561"/>
      <c r="H873" s="561"/>
      <c r="I873" s="477"/>
      <c r="K873" s="539"/>
      <c r="O873" s="468"/>
    </row>
    <row r="874" spans="2:17" x14ac:dyDescent="0.25">
      <c r="B874" s="493"/>
      <c r="C874" s="526"/>
      <c r="D874" s="620" t="s">
        <v>87</v>
      </c>
      <c r="F874" s="495"/>
      <c r="G874" s="561"/>
      <c r="H874" s="561">
        <f>+M865</f>
        <v>109</v>
      </c>
      <c r="I874" s="561">
        <f>SUM(H874)</f>
        <v>109</v>
      </c>
      <c r="J874" s="924">
        <f>+I874/H878</f>
        <v>3.133084219603334E-2</v>
      </c>
      <c r="K874" s="539"/>
      <c r="O874" s="468"/>
    </row>
    <row r="875" spans="2:17" x14ac:dyDescent="0.25">
      <c r="B875" s="493"/>
      <c r="C875" s="526">
        <v>1</v>
      </c>
      <c r="D875" s="494" t="s">
        <v>49</v>
      </c>
      <c r="F875" s="495"/>
      <c r="G875" s="561"/>
      <c r="H875" s="561">
        <f>$O$153</f>
        <v>0</v>
      </c>
      <c r="I875" s="1087">
        <f>SUM(H875:H876)</f>
        <v>0</v>
      </c>
      <c r="J875" s="1088">
        <f>+I875/H878</f>
        <v>0</v>
      </c>
      <c r="K875" s="539"/>
      <c r="O875" s="468"/>
    </row>
    <row r="876" spans="2:17" x14ac:dyDescent="0.25">
      <c r="B876" s="493"/>
      <c r="C876" s="526">
        <v>1</v>
      </c>
      <c r="D876" s="494" t="s">
        <v>51</v>
      </c>
      <c r="F876" s="495"/>
      <c r="G876" s="561"/>
      <c r="H876" s="561">
        <f>$O$154</f>
        <v>0</v>
      </c>
      <c r="I876" s="1087"/>
      <c r="J876" s="1088"/>
      <c r="K876" s="539"/>
      <c r="O876" s="468"/>
    </row>
    <row r="877" spans="2:17" x14ac:dyDescent="0.25">
      <c r="B877" s="493"/>
      <c r="C877" s="526">
        <v>1</v>
      </c>
      <c r="D877" s="467" t="s">
        <v>20</v>
      </c>
      <c r="F877" s="495"/>
      <c r="G877" s="479"/>
      <c r="H877" s="479"/>
      <c r="I877" s="477"/>
      <c r="K877" s="539"/>
      <c r="O877" s="468"/>
    </row>
    <row r="878" spans="2:17" x14ac:dyDescent="0.25">
      <c r="B878" s="493"/>
      <c r="C878" s="526">
        <v>1</v>
      </c>
      <c r="D878" s="467" t="s">
        <v>52</v>
      </c>
      <c r="F878" s="495"/>
      <c r="G878" s="553" t="s">
        <v>97</v>
      </c>
      <c r="H878" s="577">
        <f>SUM(H859:H877)</f>
        <v>3479</v>
      </c>
      <c r="I878" s="477"/>
      <c r="K878" s="539"/>
      <c r="O878" s="468"/>
    </row>
    <row r="879" spans="2:17" x14ac:dyDescent="0.25">
      <c r="B879" s="493"/>
      <c r="C879" s="526">
        <v>1</v>
      </c>
      <c r="D879" s="467" t="s">
        <v>900</v>
      </c>
      <c r="F879" s="495"/>
      <c r="G879" s="553" t="s">
        <v>105</v>
      </c>
      <c r="H879" s="561">
        <f>H878*$M$152</f>
        <v>695.80000000000007</v>
      </c>
      <c r="I879" s="477"/>
      <c r="K879" s="539"/>
      <c r="O879" s="468"/>
    </row>
    <row r="880" spans="2:17" x14ac:dyDescent="0.25">
      <c r="B880" s="562"/>
      <c r="C880" s="527" t="s">
        <v>17</v>
      </c>
      <c r="D880" s="522" t="s">
        <v>48</v>
      </c>
      <c r="E880" s="523"/>
      <c r="F880" s="523"/>
      <c r="G880" s="553" t="s">
        <v>452</v>
      </c>
      <c r="H880" s="577">
        <f>H878+H879</f>
        <v>4174.8</v>
      </c>
      <c r="I880" s="477"/>
      <c r="K880" s="539"/>
      <c r="O880" s="468"/>
    </row>
    <row r="881" spans="1:17" x14ac:dyDescent="0.25">
      <c r="I881" s="477"/>
      <c r="K881" s="539"/>
      <c r="O881" s="468"/>
    </row>
    <row r="882" spans="1:17" x14ac:dyDescent="0.25">
      <c r="B882" s="514" t="s">
        <v>6</v>
      </c>
      <c r="C882" s="515" t="s">
        <v>0</v>
      </c>
      <c r="D882" s="606" t="s">
        <v>8</v>
      </c>
      <c r="E882" s="516" t="s">
        <v>4</v>
      </c>
      <c r="F882" s="516" t="s">
        <v>3</v>
      </c>
      <c r="G882" s="477"/>
      <c r="H882" s="477"/>
      <c r="I882" s="477"/>
      <c r="K882" s="539"/>
      <c r="O882" s="468"/>
    </row>
    <row r="883" spans="1:17" x14ac:dyDescent="0.25">
      <c r="A883" s="463">
        <v>140</v>
      </c>
      <c r="B883" s="1077">
        <f>B57</f>
        <v>3.2199999999999953</v>
      </c>
      <c r="C883" s="1091">
        <f>C57</f>
        <v>1</v>
      </c>
      <c r="D883" s="1095" t="str">
        <f>D57</f>
        <v>TABLEROS DE POTENCIA TIPO 14 (C1.3) (incluye aire acondicionado)</v>
      </c>
      <c r="E883" s="518">
        <f>H900</f>
        <v>321.60000000000002</v>
      </c>
      <c r="F883" s="518">
        <f>+E883*C883</f>
        <v>321.60000000000002</v>
      </c>
      <c r="G883" s="553" t="s">
        <v>450</v>
      </c>
      <c r="H883" s="553" t="s">
        <v>1</v>
      </c>
      <c r="I883" s="477"/>
      <c r="K883" s="539"/>
      <c r="O883" s="468"/>
    </row>
    <row r="884" spans="1:17" x14ac:dyDescent="0.25">
      <c r="B884" s="1078"/>
      <c r="C884" s="1092"/>
      <c r="D884" s="1096"/>
      <c r="E884" s="520" t="s">
        <v>50</v>
      </c>
      <c r="F884" s="520" t="s">
        <v>50</v>
      </c>
      <c r="G884" s="553" t="s">
        <v>50</v>
      </c>
      <c r="H884" s="553" t="s">
        <v>50</v>
      </c>
      <c r="I884" s="477"/>
      <c r="K884" s="539"/>
      <c r="O884" s="468"/>
    </row>
    <row r="885" spans="1:17" ht="16.5" thickBot="1" x14ac:dyDescent="0.3">
      <c r="B885" s="493"/>
      <c r="C885" s="526"/>
      <c r="D885" s="658" t="s">
        <v>552</v>
      </c>
      <c r="F885" s="495"/>
      <c r="G885" s="561" t="str">
        <f>IFERROR(VLOOKUP(D885,'Precios Equipos'!$C$1:$F$2047,3,0),"")</f>
        <v/>
      </c>
      <c r="H885" s="561" t="str">
        <f t="shared" ref="H885:H892" si="91">IFERROR(G885*C885,"")</f>
        <v/>
      </c>
      <c r="I885" s="477"/>
      <c r="K885" s="539"/>
      <c r="O885" s="468"/>
    </row>
    <row r="886" spans="1:17" ht="16.5" thickBot="1" x14ac:dyDescent="0.3">
      <c r="B886" s="493"/>
      <c r="C886" s="526">
        <v>1</v>
      </c>
      <c r="D886" s="500" t="str">
        <f>+'Precios Equipos'!$C$196</f>
        <v>Gabinete Autosoportado 2200x1200(2 Puertas)x700mm. (Alto x ancho x profundidad)</v>
      </c>
      <c r="F886" s="495"/>
      <c r="G886" s="561">
        <f>IFERROR(VLOOKUP(D886,'Precios Equipos'!$C$1:$F$2047,3,0),"")</f>
        <v>20</v>
      </c>
      <c r="H886" s="561">
        <f t="shared" si="91"/>
        <v>20</v>
      </c>
      <c r="I886" s="561">
        <f>SUM(H886)</f>
        <v>20</v>
      </c>
      <c r="J886" s="924">
        <f>+I886/H898</f>
        <v>7.4626865671641784E-2</v>
      </c>
      <c r="K886" s="539"/>
      <c r="L886" s="540" t="s">
        <v>451</v>
      </c>
      <c r="M886" s="541"/>
      <c r="O886" s="468"/>
      <c r="Q886" s="465">
        <f>+C886*$C$883</f>
        <v>1</v>
      </c>
    </row>
    <row r="887" spans="1:17" ht="16.5" thickBot="1" x14ac:dyDescent="0.3">
      <c r="B887" s="493"/>
      <c r="C887" s="526"/>
      <c r="D887" s="494"/>
      <c r="F887" s="495"/>
      <c r="G887" s="561" t="str">
        <f>IFERROR(VLOOKUP(D887,'Precios Equipos'!$C$1:$F$2047,3,0),"")</f>
        <v/>
      </c>
      <c r="H887" s="561" t="str">
        <f t="shared" si="91"/>
        <v/>
      </c>
      <c r="I887" s="477"/>
      <c r="K887" s="539"/>
      <c r="L887" s="542" t="s">
        <v>88</v>
      </c>
      <c r="M887" s="543" t="s">
        <v>85</v>
      </c>
    </row>
    <row r="888" spans="1:17" x14ac:dyDescent="0.25">
      <c r="B888" s="493"/>
      <c r="C888" s="526"/>
      <c r="D888" s="620" t="s">
        <v>788</v>
      </c>
      <c r="F888" s="497"/>
      <c r="G888" s="561" t="str">
        <f>IFERROR(VLOOKUP(D888,'Precios Equipos'!$C$1:$F$2047,3,0),"")</f>
        <v/>
      </c>
      <c r="H888" s="561" t="str">
        <f t="shared" si="91"/>
        <v/>
      </c>
      <c r="I888" s="477"/>
      <c r="K888" s="539"/>
      <c r="L888" s="544" t="str">
        <f>+'Precios Equipos'!C148</f>
        <v>M. DE OBRA (TIPO 9 y 14) MONTAJE AIRE ACONDICIONADO Y ACCESORIOS</v>
      </c>
      <c r="M888" s="545">
        <f>IFERROR(VLOOKUP(L888,'Precios Equipos'!$C$11:$F$208,3,0),0)</f>
        <v>17</v>
      </c>
    </row>
    <row r="889" spans="1:17" ht="16.5" thickBot="1" x14ac:dyDescent="0.3">
      <c r="B889" s="493"/>
      <c r="C889" s="526">
        <v>3</v>
      </c>
      <c r="D889" s="494" t="str">
        <f>+'Precios Equipos'!C104</f>
        <v>Inversor Bidireccional 15 KVA</v>
      </c>
      <c r="E889" s="550" t="s">
        <v>575</v>
      </c>
      <c r="F889" s="497"/>
      <c r="G889" s="561">
        <f>IFERROR(VLOOKUP(D889,'Precios Equipos'!$C$1:$F$2047,3,0),"")</f>
        <v>36</v>
      </c>
      <c r="H889" s="561">
        <f t="shared" si="91"/>
        <v>108</v>
      </c>
      <c r="I889" s="1081">
        <f>SUM(H889:H892)</f>
        <v>168</v>
      </c>
      <c r="J889" s="1114">
        <f>+I889/H898</f>
        <v>0.62686567164179108</v>
      </c>
      <c r="K889" s="539"/>
      <c r="L889" s="544" t="str">
        <f>+'Precios Equipos'!C205</f>
        <v>Diseño Ingenieria Tableros Autosoportados</v>
      </c>
      <c r="M889" s="545">
        <f>IFERROR(VLOOKUP(L889,'Precios Equipos'!$C$11:$F$208,3,0),0)</f>
        <v>63</v>
      </c>
      <c r="Q889" s="465">
        <f>+C889*$C$883</f>
        <v>3</v>
      </c>
    </row>
    <row r="890" spans="1:17" ht="16.5" thickBot="1" x14ac:dyDescent="0.3">
      <c r="B890" s="493"/>
      <c r="C890" s="526"/>
      <c r="D890" s="494"/>
      <c r="F890" s="497"/>
      <c r="G890" s="561" t="str">
        <f>IFERROR(VLOOKUP(D890,'Precios Equipos'!$C$1:$F$2047,3,0),"")</f>
        <v/>
      </c>
      <c r="H890" s="561" t="str">
        <f t="shared" si="91"/>
        <v/>
      </c>
      <c r="I890" s="1082"/>
      <c r="J890" s="1120"/>
      <c r="K890" s="539"/>
      <c r="L890" s="546" t="s">
        <v>89</v>
      </c>
      <c r="M890" s="560">
        <f>SUM(M888:M889)</f>
        <v>80</v>
      </c>
    </row>
    <row r="891" spans="1:17" x14ac:dyDescent="0.25">
      <c r="B891" s="493"/>
      <c r="C891" s="526"/>
      <c r="D891" s="620" t="s">
        <v>813</v>
      </c>
      <c r="F891" s="497"/>
      <c r="G891" s="561" t="str">
        <f>IFERROR(VLOOKUP(D891,'Precios Equipos'!$C$1:$F$2047,3,0),"")</f>
        <v/>
      </c>
      <c r="H891" s="561" t="str">
        <f t="shared" si="91"/>
        <v/>
      </c>
      <c r="I891" s="1082"/>
      <c r="J891" s="1120"/>
      <c r="K891" s="539"/>
    </row>
    <row r="892" spans="1:17" x14ac:dyDescent="0.25">
      <c r="B892" s="493"/>
      <c r="C892" s="526">
        <v>2</v>
      </c>
      <c r="D892" s="494" t="str">
        <f>+'Precios Equipos'!$C$95</f>
        <v>Aire Acondicionado 1250W</v>
      </c>
      <c r="F892" s="497"/>
      <c r="G892" s="561">
        <f>IFERROR(VLOOKUP(D892,'Precios Equipos'!$C$1:$F$2047,3,0),"")</f>
        <v>30</v>
      </c>
      <c r="H892" s="561">
        <f t="shared" si="91"/>
        <v>60</v>
      </c>
      <c r="I892" s="1083"/>
      <c r="J892" s="1115"/>
      <c r="K892" s="539"/>
      <c r="L892" s="467"/>
      <c r="M892" s="500"/>
      <c r="Q892" s="465">
        <f>+C892*$C$883</f>
        <v>2</v>
      </c>
    </row>
    <row r="893" spans="1:17" x14ac:dyDescent="0.25">
      <c r="B893" s="493"/>
      <c r="C893" s="526"/>
      <c r="D893" s="494"/>
      <c r="F893" s="497"/>
      <c r="G893" s="561"/>
      <c r="H893" s="561"/>
      <c r="I893" s="660"/>
      <c r="J893" s="972"/>
      <c r="K893" s="539"/>
      <c r="L893" s="467"/>
      <c r="M893" s="500"/>
    </row>
    <row r="894" spans="1:17" x14ac:dyDescent="0.25">
      <c r="B894" s="493"/>
      <c r="C894" s="526"/>
      <c r="D894" s="620" t="s">
        <v>87</v>
      </c>
      <c r="F894" s="495"/>
      <c r="G894" s="561"/>
      <c r="H894" s="561">
        <f>+M890</f>
        <v>80</v>
      </c>
      <c r="I894" s="561">
        <f>SUM(H894)</f>
        <v>80</v>
      </c>
      <c r="J894" s="924">
        <f>+I894/H898</f>
        <v>0.29850746268656714</v>
      </c>
      <c r="K894" s="539"/>
      <c r="O894" s="468"/>
    </row>
    <row r="895" spans="1:17" x14ac:dyDescent="0.25">
      <c r="B895" s="493"/>
      <c r="C895" s="526">
        <v>1</v>
      </c>
      <c r="D895" s="494" t="s">
        <v>49</v>
      </c>
      <c r="F895" s="495"/>
      <c r="G895" s="561"/>
      <c r="H895" s="561">
        <f>$O$153</f>
        <v>0</v>
      </c>
      <c r="I895" s="1081">
        <f>SUM(H895:H896)</f>
        <v>0</v>
      </c>
      <c r="J895" s="1114">
        <f>+I895/H898</f>
        <v>0</v>
      </c>
      <c r="K895" s="539"/>
      <c r="O895" s="468"/>
    </row>
    <row r="896" spans="1:17" x14ac:dyDescent="0.25">
      <c r="B896" s="493"/>
      <c r="C896" s="526">
        <v>1</v>
      </c>
      <c r="D896" s="494" t="s">
        <v>51</v>
      </c>
      <c r="F896" s="495"/>
      <c r="G896" s="561"/>
      <c r="H896" s="561">
        <f>$O$154</f>
        <v>0</v>
      </c>
      <c r="I896" s="1083"/>
      <c r="J896" s="1115"/>
      <c r="K896" s="539"/>
      <c r="O896" s="468"/>
    </row>
    <row r="897" spans="1:17" x14ac:dyDescent="0.25">
      <c r="B897" s="493"/>
      <c r="C897" s="526">
        <v>1</v>
      </c>
      <c r="D897" s="467" t="s">
        <v>20</v>
      </c>
      <c r="F897" s="495"/>
      <c r="G897" s="479"/>
      <c r="H897" s="479"/>
      <c r="I897" s="477"/>
      <c r="K897" s="539"/>
      <c r="O897" s="468"/>
    </row>
    <row r="898" spans="1:17" x14ac:dyDescent="0.25">
      <c r="B898" s="493"/>
      <c r="C898" s="526">
        <v>1</v>
      </c>
      <c r="D898" s="467" t="s">
        <v>52</v>
      </c>
      <c r="F898" s="495"/>
      <c r="G898" s="553" t="s">
        <v>97</v>
      </c>
      <c r="H898" s="577">
        <f>SUM(H885:H897)</f>
        <v>268</v>
      </c>
      <c r="I898" s="477"/>
      <c r="J898" s="924">
        <f>SUM(J886:J896)</f>
        <v>1</v>
      </c>
      <c r="K898" s="539"/>
      <c r="O898" s="468"/>
    </row>
    <row r="899" spans="1:17" x14ac:dyDescent="0.25">
      <c r="B899" s="493"/>
      <c r="C899" s="526" t="s">
        <v>17</v>
      </c>
      <c r="D899" s="467" t="s">
        <v>900</v>
      </c>
      <c r="F899" s="495"/>
      <c r="G899" s="553" t="s">
        <v>105</v>
      </c>
      <c r="H899" s="561">
        <f>H898*$M$152</f>
        <v>53.6</v>
      </c>
      <c r="I899" s="477"/>
      <c r="J899" s="924">
        <f>J898*$M$152</f>
        <v>0.2</v>
      </c>
      <c r="K899" s="539"/>
      <c r="O899" s="468"/>
    </row>
    <row r="900" spans="1:17" x14ac:dyDescent="0.25">
      <c r="B900" s="562"/>
      <c r="C900" s="527"/>
      <c r="D900" s="522" t="s">
        <v>48</v>
      </c>
      <c r="E900" s="523"/>
      <c r="F900" s="523"/>
      <c r="G900" s="553" t="s">
        <v>452</v>
      </c>
      <c r="H900" s="577">
        <f>H898+H899</f>
        <v>321.60000000000002</v>
      </c>
      <c r="I900" s="477"/>
      <c r="K900" s="539"/>
      <c r="O900" s="468"/>
    </row>
    <row r="901" spans="1:17" x14ac:dyDescent="0.25">
      <c r="I901" s="477"/>
      <c r="K901" s="539"/>
      <c r="O901" s="468"/>
    </row>
    <row r="902" spans="1:17" x14ac:dyDescent="0.25">
      <c r="B902" s="514" t="s">
        <v>6</v>
      </c>
      <c r="C902" s="515" t="s">
        <v>0</v>
      </c>
      <c r="D902" s="525" t="s">
        <v>8</v>
      </c>
      <c r="E902" s="516" t="s">
        <v>4</v>
      </c>
      <c r="F902" s="516" t="s">
        <v>3</v>
      </c>
      <c r="G902" s="477"/>
      <c r="H902" s="477"/>
      <c r="I902" s="477"/>
      <c r="K902" s="539"/>
      <c r="O902" s="468"/>
    </row>
    <row r="903" spans="1:17" x14ac:dyDescent="0.25">
      <c r="A903" s="463">
        <v>139</v>
      </c>
      <c r="B903" s="1077">
        <f>B58</f>
        <v>3.2299999999999951</v>
      </c>
      <c r="C903" s="1091">
        <f>C58</f>
        <v>1</v>
      </c>
      <c r="D903" s="1089" t="str">
        <f>D58</f>
        <v>TABLEROS DE POTENCIA TIPO 14 (C1.4) (incluye aire acondicionado)</v>
      </c>
      <c r="E903" s="517">
        <f>H927</f>
        <v>4150.8</v>
      </c>
      <c r="F903" s="518">
        <f>+E903*C903</f>
        <v>4150.8</v>
      </c>
      <c r="G903" s="553" t="s">
        <v>450</v>
      </c>
      <c r="H903" s="553" t="s">
        <v>1</v>
      </c>
      <c r="I903" s="477"/>
      <c r="K903" s="539"/>
      <c r="O903" s="468"/>
    </row>
    <row r="904" spans="1:17" x14ac:dyDescent="0.25">
      <c r="B904" s="1078"/>
      <c r="C904" s="1092"/>
      <c r="D904" s="1090"/>
      <c r="E904" s="519" t="s">
        <v>50</v>
      </c>
      <c r="F904" s="520" t="s">
        <v>50</v>
      </c>
      <c r="G904" s="553" t="s">
        <v>50</v>
      </c>
      <c r="H904" s="553" t="s">
        <v>50</v>
      </c>
      <c r="I904" s="477"/>
      <c r="K904" s="539"/>
      <c r="O904" s="468"/>
    </row>
    <row r="905" spans="1:17" ht="16.5" thickBot="1" x14ac:dyDescent="0.3">
      <c r="B905" s="490"/>
      <c r="C905" s="526"/>
      <c r="D905" s="579" t="s">
        <v>553</v>
      </c>
      <c r="E905" s="491"/>
      <c r="F905" s="492"/>
      <c r="G905" s="561" t="str">
        <f>IFERROR(VLOOKUP(D905,'Precios Equipos'!$C$1:$F$2047,3,0),"")</f>
        <v/>
      </c>
      <c r="H905" s="561" t="str">
        <f t="shared" ref="H905:H915" si="92">IFERROR(G905*C905,"")</f>
        <v/>
      </c>
      <c r="I905" s="477"/>
      <c r="K905" s="539"/>
      <c r="O905" s="468"/>
    </row>
    <row r="906" spans="1:17" ht="16.5" thickBot="1" x14ac:dyDescent="0.3">
      <c r="B906" s="493"/>
      <c r="C906" s="526">
        <v>1</v>
      </c>
      <c r="D906" s="500" t="str">
        <f>+'Precios Equipos'!$C$196</f>
        <v>Gabinete Autosoportado 2200x1200(2 Puertas)x700mm. (Alto x ancho x profundidad)</v>
      </c>
      <c r="F906" s="495"/>
      <c r="G906" s="561">
        <f>IFERROR(VLOOKUP(D906,'Precios Equipos'!$C$1:$F$2047,3,0),"")</f>
        <v>20</v>
      </c>
      <c r="H906" s="561">
        <f t="shared" si="92"/>
        <v>20</v>
      </c>
      <c r="I906" s="561">
        <f>SUM(H906)</f>
        <v>20</v>
      </c>
      <c r="J906" s="924">
        <f>+I906/H925</f>
        <v>5.7820179242555649E-3</v>
      </c>
      <c r="K906" s="539"/>
      <c r="L906" s="540" t="s">
        <v>451</v>
      </c>
      <c r="M906" s="541"/>
      <c r="O906" s="468"/>
      <c r="Q906" s="465">
        <f>+C906*$C$903</f>
        <v>1</v>
      </c>
    </row>
    <row r="907" spans="1:17" ht="16.5" thickBot="1" x14ac:dyDescent="0.3">
      <c r="B907" s="493"/>
      <c r="C907" s="526"/>
      <c r="D907" s="494"/>
      <c r="F907" s="495"/>
      <c r="G907" s="561" t="str">
        <f>IFERROR(VLOOKUP(D907,'Precios Equipos'!$C$1:$F$2047,3,0),"")</f>
        <v/>
      </c>
      <c r="H907" s="561" t="str">
        <f t="shared" si="92"/>
        <v/>
      </c>
      <c r="I907" s="477"/>
      <c r="K907" s="539"/>
      <c r="L907" s="542" t="s">
        <v>88</v>
      </c>
      <c r="M907" s="543" t="s">
        <v>85</v>
      </c>
      <c r="O907" s="468"/>
    </row>
    <row r="908" spans="1:17" x14ac:dyDescent="0.25">
      <c r="B908" s="493"/>
      <c r="C908" s="526"/>
      <c r="D908" s="620" t="s">
        <v>788</v>
      </c>
      <c r="F908" s="497"/>
      <c r="G908" s="561" t="str">
        <f>IFERROR(VLOOKUP(D908,'Precios Equipos'!$C$1:$F$2047,3,0),"")</f>
        <v/>
      </c>
      <c r="H908" s="561" t="str">
        <f t="shared" si="92"/>
        <v/>
      </c>
      <c r="I908" s="477"/>
      <c r="K908" s="539"/>
      <c r="L908" s="920" t="str">
        <f>+'Precios Equipos'!C148</f>
        <v>M. DE OBRA (TIPO 9 y 14) MONTAJE AIRE ACONDICIONADO Y ACCESORIOS</v>
      </c>
      <c r="M908" s="545">
        <f>IFERROR(VLOOKUP(L908,'Precios Equipos'!$C$11:$F$208,3,0),0)</f>
        <v>17</v>
      </c>
      <c r="O908" s="468"/>
    </row>
    <row r="909" spans="1:17" x14ac:dyDescent="0.25">
      <c r="B909" s="493"/>
      <c r="C909" s="526">
        <v>3</v>
      </c>
      <c r="D909" s="494" t="str">
        <f>+'Precios Equipos'!C104</f>
        <v>Inversor Bidireccional 15 KVA</v>
      </c>
      <c r="E909" s="550" t="s">
        <v>575</v>
      </c>
      <c r="F909" s="497"/>
      <c r="G909" s="561">
        <f>IFERROR(VLOOKUP(D909,'Precios Equipos'!$C$1:$F$2047,3,0),"")</f>
        <v>36</v>
      </c>
      <c r="H909" s="561">
        <f t="shared" si="92"/>
        <v>108</v>
      </c>
      <c r="I909" s="1087">
        <f>SUM(H909:H919)</f>
        <v>3350</v>
      </c>
      <c r="J909" s="1088">
        <f>+I909/H925</f>
        <v>0.96848800231280718</v>
      </c>
      <c r="K909" s="539"/>
      <c r="L909" s="920" t="str">
        <f>+'Precios Equipos'!C205</f>
        <v>Diseño Ingenieria Tableros Autosoportados</v>
      </c>
      <c r="M909" s="545">
        <f>IFERROR(VLOOKUP(L909,'Precios Equipos'!$C$11:$F$208,3,0),0)</f>
        <v>63</v>
      </c>
      <c r="Q909" s="465">
        <f>+C909*$C$903</f>
        <v>3</v>
      </c>
    </row>
    <row r="910" spans="1:17" x14ac:dyDescent="0.25">
      <c r="B910" s="493"/>
      <c r="C910" s="526"/>
      <c r="D910" s="494"/>
      <c r="F910" s="497"/>
      <c r="G910" s="561" t="str">
        <f>IFERROR(VLOOKUP(D910,'Precios Equipos'!$C$1:$F$2047,3,0),"")</f>
        <v/>
      </c>
      <c r="H910" s="561" t="str">
        <f t="shared" si="92"/>
        <v/>
      </c>
      <c r="I910" s="1087"/>
      <c r="J910" s="1088"/>
      <c r="K910" s="539"/>
      <c r="L910" s="922" t="str">
        <f>+'Precios Equipos'!C112</f>
        <v>SISTEMA DE BARRAS 10-12 POLOS</v>
      </c>
      <c r="M910" s="545">
        <f>IFERROR(VLOOKUP(L910,'Precios Equipos'!$C$11:$F$208,3,0),0)</f>
        <v>3</v>
      </c>
    </row>
    <row r="911" spans="1:17" ht="16.5" thickBot="1" x14ac:dyDescent="0.3">
      <c r="B911" s="493"/>
      <c r="C911" s="526"/>
      <c r="D911" s="620" t="s">
        <v>549</v>
      </c>
      <c r="F911" s="497"/>
      <c r="G911" s="561" t="str">
        <f>IFERROR(VLOOKUP(D911,'Precios Equipos'!$C$1:$F$2047,3,0),"")</f>
        <v/>
      </c>
      <c r="H911" s="561" t="str">
        <f t="shared" si="92"/>
        <v/>
      </c>
      <c r="I911" s="1087"/>
      <c r="J911" s="1088"/>
      <c r="K911" s="539"/>
      <c r="L911" s="923" t="str">
        <f>+'Precios Equipos'!C135</f>
        <v>CABLEADO 4 DIFERENCIALES, 2P</v>
      </c>
      <c r="M911" s="545">
        <f>IFERROR(VLOOKUP(L911,'Precios Equipos'!$C$11:$F$208,3,0),0)</f>
        <v>6</v>
      </c>
    </row>
    <row r="912" spans="1:17" ht="16.5" thickBot="1" x14ac:dyDescent="0.3">
      <c r="B912" s="493"/>
      <c r="C912" s="526">
        <v>1</v>
      </c>
      <c r="D912" s="494" t="str">
        <f>+'Precios Equipos'!C89</f>
        <v>Centro de Control y Monitoreo de Microgridador de carga 450V/200A</v>
      </c>
      <c r="E912" s="550" t="s">
        <v>575</v>
      </c>
      <c r="F912" s="497"/>
      <c r="G912" s="561">
        <f>IFERROR(VLOOKUP(D912,'Precios Equipos'!$C$1:$F$2047,3,0),"")</f>
        <v>34</v>
      </c>
      <c r="H912" s="561">
        <f t="shared" si="92"/>
        <v>34</v>
      </c>
      <c r="I912" s="1087"/>
      <c r="J912" s="1088"/>
      <c r="K912" s="539"/>
      <c r="L912" s="546" t="s">
        <v>89</v>
      </c>
      <c r="M912" s="560">
        <f>SUM(M908:M911)</f>
        <v>89</v>
      </c>
      <c r="O912" s="468"/>
      <c r="Q912" s="465">
        <f>+C912*$C$903</f>
        <v>1</v>
      </c>
    </row>
    <row r="913" spans="2:17" x14ac:dyDescent="0.25">
      <c r="B913" s="493"/>
      <c r="C913" s="526"/>
      <c r="D913" s="494"/>
      <c r="F913" s="495"/>
      <c r="G913" s="561" t="str">
        <f>IFERROR(VLOOKUP(D913,'Precios Equipos'!$C$1:$F$2047,3,0),"")</f>
        <v/>
      </c>
      <c r="H913" s="561" t="str">
        <f t="shared" si="92"/>
        <v/>
      </c>
      <c r="I913" s="1087"/>
      <c r="J913" s="1088"/>
      <c r="K913" s="539"/>
      <c r="O913" s="468"/>
    </row>
    <row r="914" spans="2:17" x14ac:dyDescent="0.25">
      <c r="B914" s="493"/>
      <c r="C914" s="526"/>
      <c r="D914" s="620" t="s">
        <v>813</v>
      </c>
      <c r="F914" s="495"/>
      <c r="G914" s="561" t="str">
        <f>IFERROR(VLOOKUP(D914,'Precios Equipos'!$C$1:$F$2047,3,0),"")</f>
        <v/>
      </c>
      <c r="H914" s="561" t="str">
        <f t="shared" si="92"/>
        <v/>
      </c>
      <c r="I914" s="1087"/>
      <c r="J914" s="1088"/>
      <c r="K914" s="539"/>
      <c r="O914" s="468"/>
    </row>
    <row r="915" spans="2:17" x14ac:dyDescent="0.25">
      <c r="B915" s="493"/>
      <c r="C915" s="526">
        <v>2</v>
      </c>
      <c r="D915" s="494" t="str">
        <f>+'Precios Equipos'!$C$95</f>
        <v>Aire Acondicionado 1250W</v>
      </c>
      <c r="F915" s="495"/>
      <c r="G915" s="561">
        <f>IFERROR(VLOOKUP(D915,'Precios Equipos'!$C$1:$F$2047,3,0),"")</f>
        <v>30</v>
      </c>
      <c r="H915" s="561">
        <f t="shared" si="92"/>
        <v>60</v>
      </c>
      <c r="I915" s="1087"/>
      <c r="J915" s="1088"/>
      <c r="K915" s="539"/>
      <c r="O915" s="468"/>
      <c r="Q915" s="465">
        <f>+C915*$C$903</f>
        <v>2</v>
      </c>
    </row>
    <row r="916" spans="2:17" x14ac:dyDescent="0.25">
      <c r="B916" s="493"/>
      <c r="C916" s="526"/>
      <c r="D916" s="494"/>
      <c r="F916" s="495"/>
      <c r="G916" s="561" t="str">
        <f>IFERROR(VLOOKUP(D916,'Precios Equipos'!$C$1:$F$2047,3,0),"")</f>
        <v/>
      </c>
      <c r="H916" s="561" t="str">
        <f t="shared" ref="H916:H919" si="93">IFERROR(G916*C916,"")</f>
        <v/>
      </c>
      <c r="I916" s="1087"/>
      <c r="J916" s="1088"/>
      <c r="K916" s="539"/>
      <c r="O916" s="468"/>
    </row>
    <row r="917" spans="2:17" x14ac:dyDescent="0.25">
      <c r="B917" s="493"/>
      <c r="C917" s="526"/>
      <c r="D917" s="620" t="s">
        <v>819</v>
      </c>
      <c r="F917" s="495"/>
      <c r="G917" s="561" t="str">
        <f>IFERROR(VLOOKUP(D917,'Precios Equipos'!$C$1:$F$2047,3,0),"")</f>
        <v/>
      </c>
      <c r="H917" s="561" t="str">
        <f t="shared" si="93"/>
        <v/>
      </c>
      <c r="I917" s="1087"/>
      <c r="J917" s="1088"/>
      <c r="K917" s="539"/>
      <c r="O917" s="468"/>
    </row>
    <row r="918" spans="2:17" x14ac:dyDescent="0.25">
      <c r="B918" s="493"/>
      <c r="C918" s="526">
        <v>4</v>
      </c>
      <c r="D918" s="468" t="str">
        <f>+'Precios Equipos'!$C$55</f>
        <v>Interruptor Riel Din 2x25A. S202M 20kA en 250VDC, ABB</v>
      </c>
      <c r="F918" s="495"/>
      <c r="G918" s="561">
        <f>IFERROR(VLOOKUP(D918,'Precios Equipos'!$C$1:$F$2047,3,0),"")</f>
        <v>382</v>
      </c>
      <c r="H918" s="561">
        <f t="shared" si="93"/>
        <v>1528</v>
      </c>
      <c r="I918" s="1087"/>
      <c r="J918" s="1088"/>
      <c r="K918" s="539"/>
      <c r="O918" s="468"/>
      <c r="Q918" s="465">
        <f>+C918*$C$903</f>
        <v>4</v>
      </c>
    </row>
    <row r="919" spans="2:17" x14ac:dyDescent="0.25">
      <c r="B919" s="493"/>
      <c r="C919" s="526">
        <v>4</v>
      </c>
      <c r="D919" s="468" t="str">
        <f>+'Precios Equipos'!$C$60</f>
        <v>Protector de sobretension SPD DC 2P, 1000V DC, CLAMPER/DC SURGE PROTECCION</v>
      </c>
      <c r="F919" s="495"/>
      <c r="G919" s="561">
        <f>IFERROR(VLOOKUP(D919,'Precios Equipos'!$C$1:$F$2047,3,0),"")</f>
        <v>405</v>
      </c>
      <c r="H919" s="561">
        <f t="shared" si="93"/>
        <v>1620</v>
      </c>
      <c r="I919" s="1087"/>
      <c r="J919" s="1088"/>
      <c r="K919" s="539"/>
      <c r="O919" s="468"/>
      <c r="Q919" s="465">
        <f>+C919*$C$903</f>
        <v>4</v>
      </c>
    </row>
    <row r="920" spans="2:17" x14ac:dyDescent="0.25">
      <c r="B920" s="493"/>
      <c r="C920" s="526"/>
      <c r="D920" s="494"/>
      <c r="F920" s="495"/>
      <c r="G920" s="561"/>
      <c r="H920" s="561"/>
      <c r="I920" s="477"/>
      <c r="K920" s="539"/>
      <c r="O920" s="468"/>
    </row>
    <row r="921" spans="2:17" x14ac:dyDescent="0.25">
      <c r="B921" s="493"/>
      <c r="C921" s="526"/>
      <c r="D921" s="620" t="s">
        <v>87</v>
      </c>
      <c r="F921" s="495"/>
      <c r="G921" s="561"/>
      <c r="H921" s="561">
        <f>+M912</f>
        <v>89</v>
      </c>
      <c r="I921" s="561">
        <f>SUM(H921)</f>
        <v>89</v>
      </c>
      <c r="J921" s="924">
        <f>+I921/H925</f>
        <v>2.5729979762937265E-2</v>
      </c>
      <c r="K921" s="539"/>
      <c r="O921" s="468"/>
    </row>
    <row r="922" spans="2:17" x14ac:dyDescent="0.25">
      <c r="B922" s="493"/>
      <c r="C922" s="526">
        <v>1</v>
      </c>
      <c r="D922" s="494" t="s">
        <v>49</v>
      </c>
      <c r="F922" s="495"/>
      <c r="G922" s="561"/>
      <c r="H922" s="561">
        <f>$O$153</f>
        <v>0</v>
      </c>
      <c r="I922" s="1081">
        <f>SUM(H922:H923)</f>
        <v>0</v>
      </c>
      <c r="J922" s="1114">
        <f>+I922/H925</f>
        <v>0</v>
      </c>
      <c r="K922" s="539"/>
      <c r="O922" s="468"/>
    </row>
    <row r="923" spans="2:17" x14ac:dyDescent="0.25">
      <c r="B923" s="493"/>
      <c r="C923" s="526">
        <v>1</v>
      </c>
      <c r="D923" s="494" t="s">
        <v>51</v>
      </c>
      <c r="F923" s="495"/>
      <c r="G923" s="561"/>
      <c r="H923" s="561">
        <f>$O$154</f>
        <v>0</v>
      </c>
      <c r="I923" s="1083"/>
      <c r="J923" s="1115"/>
      <c r="K923" s="539"/>
      <c r="O923" s="468"/>
    </row>
    <row r="924" spans="2:17" x14ac:dyDescent="0.25">
      <c r="B924" s="493"/>
      <c r="C924" s="526">
        <v>1</v>
      </c>
      <c r="D924" s="467" t="s">
        <v>20</v>
      </c>
      <c r="F924" s="495"/>
      <c r="G924" s="479"/>
      <c r="H924" s="479"/>
      <c r="I924" s="477"/>
      <c r="K924" s="539"/>
      <c r="O924" s="468"/>
    </row>
    <row r="925" spans="2:17" x14ac:dyDescent="0.25">
      <c r="B925" s="493"/>
      <c r="C925" s="526">
        <v>1</v>
      </c>
      <c r="D925" s="467" t="s">
        <v>52</v>
      </c>
      <c r="F925" s="495"/>
      <c r="G925" s="553" t="s">
        <v>97</v>
      </c>
      <c r="H925" s="561">
        <f>SUM(H906:H924)</f>
        <v>3459</v>
      </c>
      <c r="I925" s="477"/>
      <c r="J925" s="924">
        <f>SUM(J906:J923)</f>
        <v>1</v>
      </c>
      <c r="K925" s="539"/>
      <c r="O925" s="468"/>
    </row>
    <row r="926" spans="2:17" x14ac:dyDescent="0.25">
      <c r="B926" s="493"/>
      <c r="C926" s="526">
        <v>1</v>
      </c>
      <c r="D926" s="467" t="s">
        <v>900</v>
      </c>
      <c r="F926" s="495"/>
      <c r="G926" s="553" t="s">
        <v>105</v>
      </c>
      <c r="H926" s="561">
        <f>H925*$M$152</f>
        <v>691.80000000000007</v>
      </c>
      <c r="I926" s="477"/>
      <c r="J926" s="924">
        <f>J925*$M$152</f>
        <v>0.2</v>
      </c>
      <c r="K926" s="539"/>
      <c r="O926" s="468"/>
    </row>
    <row r="927" spans="2:17" x14ac:dyDescent="0.25">
      <c r="B927" s="562"/>
      <c r="C927" s="527" t="s">
        <v>17</v>
      </c>
      <c r="D927" s="522" t="s">
        <v>48</v>
      </c>
      <c r="E927" s="523"/>
      <c r="F927" s="523"/>
      <c r="G927" s="553" t="s">
        <v>452</v>
      </c>
      <c r="H927" s="561">
        <f>H925+H926</f>
        <v>4150.8</v>
      </c>
      <c r="I927" s="477"/>
      <c r="K927" s="539"/>
      <c r="O927" s="468"/>
    </row>
    <row r="928" spans="2:17" x14ac:dyDescent="0.25">
      <c r="I928" s="477"/>
      <c r="K928" s="539"/>
      <c r="O928" s="468"/>
    </row>
    <row r="929" spans="1:17" x14ac:dyDescent="0.25">
      <c r="B929" s="514" t="s">
        <v>6</v>
      </c>
      <c r="C929" s="515" t="s">
        <v>0</v>
      </c>
      <c r="D929" s="525" t="s">
        <v>8</v>
      </c>
      <c r="E929" s="516" t="s">
        <v>4</v>
      </c>
      <c r="F929" s="516" t="s">
        <v>3</v>
      </c>
      <c r="G929" s="477"/>
      <c r="H929" s="477"/>
      <c r="I929" s="477"/>
      <c r="K929" s="539"/>
      <c r="O929" s="468"/>
    </row>
    <row r="930" spans="1:17" ht="16.5" thickBot="1" x14ac:dyDescent="0.3">
      <c r="A930" s="463">
        <v>161</v>
      </c>
      <c r="B930" s="1077">
        <f>B59</f>
        <v>3.2399999999999949</v>
      </c>
      <c r="C930" s="1091">
        <f>C59</f>
        <v>1</v>
      </c>
      <c r="D930" s="1089" t="str">
        <f>D59</f>
        <v>TABLEROS DE POTENCIA TIPO 14 (C2.1) (incluye aire acondicionado)</v>
      </c>
      <c r="E930" s="517">
        <f>H947</f>
        <v>321.60000000000002</v>
      </c>
      <c r="F930" s="518">
        <f>+E930*C930</f>
        <v>321.60000000000002</v>
      </c>
      <c r="G930" s="553" t="s">
        <v>450</v>
      </c>
      <c r="H930" s="553" t="s">
        <v>1</v>
      </c>
      <c r="I930" s="477"/>
      <c r="K930" s="539"/>
      <c r="O930" s="468"/>
    </row>
    <row r="931" spans="1:17" ht="16.5" thickBot="1" x14ac:dyDescent="0.3">
      <c r="B931" s="1078"/>
      <c r="C931" s="1092"/>
      <c r="D931" s="1090"/>
      <c r="E931" s="519" t="s">
        <v>50</v>
      </c>
      <c r="F931" s="520" t="s">
        <v>50</v>
      </c>
      <c r="G931" s="553" t="s">
        <v>50</v>
      </c>
      <c r="H931" s="553" t="s">
        <v>50</v>
      </c>
      <c r="I931" s="477"/>
      <c r="K931" s="539"/>
      <c r="L931" s="540" t="s">
        <v>451</v>
      </c>
      <c r="M931" s="541"/>
      <c r="O931" s="468"/>
    </row>
    <row r="932" spans="1:17" ht="16.5" thickBot="1" x14ac:dyDescent="0.3">
      <c r="B932" s="490"/>
      <c r="C932" s="526"/>
      <c r="D932" s="657" t="s">
        <v>554</v>
      </c>
      <c r="E932" s="491"/>
      <c r="F932" s="492"/>
      <c r="G932" s="561" t="str">
        <f>IFERROR(VLOOKUP(D932,'Precios Equipos'!$C$1:$F$2047,3,0),"")</f>
        <v/>
      </c>
      <c r="H932" s="561" t="str">
        <f t="shared" ref="H932:H939" si="94">IFERROR(G932*C932,"")</f>
        <v/>
      </c>
      <c r="I932" s="477"/>
      <c r="K932" s="539"/>
      <c r="L932" s="542" t="s">
        <v>88</v>
      </c>
      <c r="M932" s="543" t="s">
        <v>85</v>
      </c>
      <c r="O932" s="468"/>
    </row>
    <row r="933" spans="1:17" x14ac:dyDescent="0.25">
      <c r="B933" s="493"/>
      <c r="C933" s="526">
        <v>1</v>
      </c>
      <c r="D933" s="500" t="str">
        <f>+'Precios Equipos'!$C$196</f>
        <v>Gabinete Autosoportado 2200x1200(2 Puertas)x700mm. (Alto x ancho x profundidad)</v>
      </c>
      <c r="F933" s="495"/>
      <c r="G933" s="561">
        <f>IFERROR(VLOOKUP(D933,'Precios Equipos'!$C$1:$F$2047,3,0),"")</f>
        <v>20</v>
      </c>
      <c r="H933" s="561">
        <f t="shared" si="94"/>
        <v>20</v>
      </c>
      <c r="I933" s="561">
        <f>SUM(H933)</f>
        <v>20</v>
      </c>
      <c r="J933" s="924">
        <f>+I933/H945</f>
        <v>7.4626865671641784E-2</v>
      </c>
      <c r="K933" s="539"/>
      <c r="L933" s="544" t="str">
        <f>+'Precios Equipos'!C148</f>
        <v>M. DE OBRA (TIPO 9 y 14) MONTAJE AIRE ACONDICIONADO Y ACCESORIOS</v>
      </c>
      <c r="M933" s="545">
        <f>IFERROR(VLOOKUP(L933,'Precios Equipos'!$C$11:$F$208,3,0),0)</f>
        <v>17</v>
      </c>
      <c r="O933" s="468"/>
      <c r="Q933" s="465">
        <f>+C933*$C$930</f>
        <v>1</v>
      </c>
    </row>
    <row r="934" spans="1:17" ht="16.5" thickBot="1" x14ac:dyDescent="0.3">
      <c r="B934" s="493"/>
      <c r="C934" s="526"/>
      <c r="D934" s="494"/>
      <c r="F934" s="495"/>
      <c r="G934" s="561" t="str">
        <f>IFERROR(VLOOKUP(D934,'Precios Equipos'!$C$1:$F$2047,3,0),"")</f>
        <v/>
      </c>
      <c r="H934" s="561" t="str">
        <f t="shared" si="94"/>
        <v/>
      </c>
      <c r="I934" s="477"/>
      <c r="K934" s="539"/>
      <c r="L934" s="544" t="str">
        <f>+'Precios Equipos'!C205</f>
        <v>Diseño Ingenieria Tableros Autosoportados</v>
      </c>
      <c r="M934" s="545">
        <f>IFERROR(VLOOKUP(L934,'Precios Equipos'!$C$11:$F$208,3,0),0)</f>
        <v>63</v>
      </c>
      <c r="O934" s="468"/>
    </row>
    <row r="935" spans="1:17" ht="16.5" thickBot="1" x14ac:dyDescent="0.3">
      <c r="B935" s="493"/>
      <c r="C935" s="526"/>
      <c r="D935" s="620" t="s">
        <v>788</v>
      </c>
      <c r="F935" s="497"/>
      <c r="G935" s="561" t="str">
        <f>IFERROR(VLOOKUP(D935,'Precios Equipos'!$C$1:$F$2047,3,0),"")</f>
        <v/>
      </c>
      <c r="H935" s="561" t="str">
        <f t="shared" si="94"/>
        <v/>
      </c>
      <c r="I935" s="477"/>
      <c r="K935" s="539"/>
      <c r="L935" s="546" t="s">
        <v>89</v>
      </c>
      <c r="M935" s="560">
        <f>SUM(M933:M934)</f>
        <v>80</v>
      </c>
    </row>
    <row r="936" spans="1:17" x14ac:dyDescent="0.25">
      <c r="B936" s="493"/>
      <c r="C936" s="526">
        <v>3</v>
      </c>
      <c r="D936" s="494" t="str">
        <f>+'Precios Equipos'!C104</f>
        <v>Inversor Bidireccional 15 KVA</v>
      </c>
      <c r="E936" s="550" t="s">
        <v>575</v>
      </c>
      <c r="F936" s="495"/>
      <c r="G936" s="561">
        <f>IFERROR(VLOOKUP(D936,'Precios Equipos'!$C$1:$F$2047,3,0),"")</f>
        <v>36</v>
      </c>
      <c r="H936" s="561">
        <f t="shared" si="94"/>
        <v>108</v>
      </c>
      <c r="I936" s="1087">
        <f>SUM(H936:H939)</f>
        <v>168</v>
      </c>
      <c r="J936" s="1088">
        <f>+I936/H945</f>
        <v>0.62686567164179108</v>
      </c>
      <c r="K936" s="539"/>
      <c r="Q936" s="465">
        <f>+C936*$C$930</f>
        <v>3</v>
      </c>
    </row>
    <row r="937" spans="1:17" x14ac:dyDescent="0.25">
      <c r="B937" s="493"/>
      <c r="C937" s="526"/>
      <c r="D937" s="494"/>
      <c r="F937" s="495"/>
      <c r="G937" s="561" t="str">
        <f>IFERROR(VLOOKUP(D937,'Precios Equipos'!$C$1:$F$2047,3,0),"")</f>
        <v/>
      </c>
      <c r="H937" s="561" t="str">
        <f t="shared" si="94"/>
        <v/>
      </c>
      <c r="I937" s="1087"/>
      <c r="J937" s="1088"/>
      <c r="K937" s="539"/>
      <c r="O937" s="468"/>
    </row>
    <row r="938" spans="1:17" x14ac:dyDescent="0.25">
      <c r="B938" s="493"/>
      <c r="C938" s="526"/>
      <c r="D938" s="620" t="s">
        <v>813</v>
      </c>
      <c r="F938" s="495"/>
      <c r="G938" s="561" t="str">
        <f>IFERROR(VLOOKUP(D938,'Precios Equipos'!$C$1:$F$2047,3,0),"")</f>
        <v/>
      </c>
      <c r="H938" s="561" t="str">
        <f t="shared" si="94"/>
        <v/>
      </c>
      <c r="I938" s="1087"/>
      <c r="J938" s="1088"/>
      <c r="K938" s="539"/>
      <c r="O938" s="468"/>
    </row>
    <row r="939" spans="1:17" x14ac:dyDescent="0.25">
      <c r="B939" s="493"/>
      <c r="C939" s="526">
        <v>2</v>
      </c>
      <c r="D939" s="494" t="str">
        <f>+'Precios Equipos'!$C$95</f>
        <v>Aire Acondicionado 1250W</v>
      </c>
      <c r="F939" s="495"/>
      <c r="G939" s="561">
        <f>IFERROR(VLOOKUP(D939,'Precios Equipos'!$C$1:$F$2047,3,0),"")</f>
        <v>30</v>
      </c>
      <c r="H939" s="561">
        <f t="shared" si="94"/>
        <v>60</v>
      </c>
      <c r="I939" s="1087"/>
      <c r="J939" s="1088"/>
      <c r="K939" s="539"/>
      <c r="O939" s="468"/>
      <c r="Q939" s="465">
        <f>+C939*$C$930</f>
        <v>2</v>
      </c>
    </row>
    <row r="940" spans="1:17" x14ac:dyDescent="0.25">
      <c r="B940" s="493"/>
      <c r="C940" s="526"/>
      <c r="D940" s="494"/>
      <c r="F940" s="495"/>
      <c r="G940" s="561"/>
      <c r="H940" s="561"/>
      <c r="I940" s="477"/>
      <c r="K940" s="539"/>
      <c r="O940" s="468"/>
    </row>
    <row r="941" spans="1:17" x14ac:dyDescent="0.25">
      <c r="B941" s="493"/>
      <c r="C941" s="526"/>
      <c r="D941" s="620" t="s">
        <v>87</v>
      </c>
      <c r="F941" s="495"/>
      <c r="G941" s="561"/>
      <c r="H941" s="561">
        <f>+M935</f>
        <v>80</v>
      </c>
      <c r="I941" s="561">
        <f>SUM(H941)</f>
        <v>80</v>
      </c>
      <c r="J941" s="924">
        <f>+I941/H945</f>
        <v>0.29850746268656714</v>
      </c>
      <c r="K941" s="539"/>
      <c r="O941" s="468"/>
    </row>
    <row r="942" spans="1:17" x14ac:dyDescent="0.25">
      <c r="B942" s="493"/>
      <c r="C942" s="526">
        <v>1</v>
      </c>
      <c r="D942" s="494" t="s">
        <v>49</v>
      </c>
      <c r="F942" s="495"/>
      <c r="G942" s="561"/>
      <c r="H942" s="561">
        <f>$O$153</f>
        <v>0</v>
      </c>
      <c r="I942" s="1081">
        <f>SUM(H942:H943)</f>
        <v>0</v>
      </c>
      <c r="J942" s="1114">
        <f>+I942/H945</f>
        <v>0</v>
      </c>
      <c r="K942" s="539"/>
      <c r="O942" s="468"/>
    </row>
    <row r="943" spans="1:17" x14ac:dyDescent="0.25">
      <c r="B943" s="493"/>
      <c r="C943" s="526">
        <v>1</v>
      </c>
      <c r="D943" s="494" t="s">
        <v>51</v>
      </c>
      <c r="F943" s="495"/>
      <c r="G943" s="561"/>
      <c r="H943" s="561">
        <f>$O$154</f>
        <v>0</v>
      </c>
      <c r="I943" s="1083"/>
      <c r="J943" s="1115"/>
      <c r="K943" s="539"/>
      <c r="O943" s="468"/>
    </row>
    <row r="944" spans="1:17" x14ac:dyDescent="0.25">
      <c r="B944" s="493"/>
      <c r="C944" s="526">
        <v>1</v>
      </c>
      <c r="D944" s="467" t="s">
        <v>20</v>
      </c>
      <c r="F944" s="495"/>
      <c r="G944" s="479"/>
      <c r="H944" s="479"/>
      <c r="I944" s="477"/>
      <c r="K944" s="539"/>
      <c r="O944" s="468"/>
    </row>
    <row r="945" spans="1:17" x14ac:dyDescent="0.25">
      <c r="B945" s="493"/>
      <c r="C945" s="526">
        <v>1</v>
      </c>
      <c r="D945" s="467" t="s">
        <v>52</v>
      </c>
      <c r="F945" s="495"/>
      <c r="G945" s="553" t="s">
        <v>97</v>
      </c>
      <c r="H945" s="561">
        <f>SUM(H933:H944)</f>
        <v>268</v>
      </c>
      <c r="I945" s="477"/>
      <c r="J945" s="924">
        <f>SUM(J933:J943)</f>
        <v>1</v>
      </c>
      <c r="K945" s="539"/>
      <c r="O945" s="468"/>
    </row>
    <row r="946" spans="1:17" x14ac:dyDescent="0.25">
      <c r="B946" s="493"/>
      <c r="C946" s="526">
        <v>1</v>
      </c>
      <c r="D946" s="467" t="s">
        <v>900</v>
      </c>
      <c r="F946" s="495"/>
      <c r="G946" s="553" t="s">
        <v>105</v>
      </c>
      <c r="H946" s="561">
        <f>H945*$M$152</f>
        <v>53.6</v>
      </c>
      <c r="I946" s="477"/>
      <c r="J946" s="924">
        <f>J945*$M$152</f>
        <v>0.2</v>
      </c>
      <c r="K946" s="539"/>
      <c r="O946" s="468"/>
    </row>
    <row r="947" spans="1:17" x14ac:dyDescent="0.25">
      <c r="B947" s="562"/>
      <c r="C947" s="527" t="s">
        <v>17</v>
      </c>
      <c r="D947" s="522" t="s">
        <v>48</v>
      </c>
      <c r="E947" s="523"/>
      <c r="F947" s="523"/>
      <c r="G947" s="553" t="s">
        <v>452</v>
      </c>
      <c r="H947" s="561">
        <f>H945+H946</f>
        <v>321.60000000000002</v>
      </c>
      <c r="I947" s="477"/>
      <c r="K947" s="539"/>
      <c r="O947" s="468"/>
    </row>
    <row r="948" spans="1:17" x14ac:dyDescent="0.25">
      <c r="I948" s="477"/>
      <c r="K948" s="539"/>
      <c r="O948" s="468"/>
    </row>
    <row r="949" spans="1:17" x14ac:dyDescent="0.25">
      <c r="B949" s="514" t="s">
        <v>6</v>
      </c>
      <c r="C949" s="515" t="s">
        <v>0</v>
      </c>
      <c r="D949" s="525" t="s">
        <v>8</v>
      </c>
      <c r="E949" s="516" t="s">
        <v>4</v>
      </c>
      <c r="F949" s="516" t="s">
        <v>3</v>
      </c>
      <c r="G949" s="477"/>
      <c r="H949" s="477"/>
      <c r="I949" s="477"/>
      <c r="K949" s="539"/>
      <c r="O949" s="468"/>
    </row>
    <row r="950" spans="1:17" x14ac:dyDescent="0.25">
      <c r="A950" s="463">
        <v>153</v>
      </c>
      <c r="B950" s="1077">
        <f>B60</f>
        <v>3.2499999999999947</v>
      </c>
      <c r="C950" s="1091">
        <f>C60</f>
        <v>1</v>
      </c>
      <c r="D950" s="1089" t="str">
        <f>D60</f>
        <v>TABLEROS DE POTENCIA TIPO 14 (C2.2) (incluye aire acondicionado)</v>
      </c>
      <c r="E950" s="517">
        <f>H974</f>
        <v>4150.8</v>
      </c>
      <c r="F950" s="518">
        <f>+E950*C950</f>
        <v>4150.8</v>
      </c>
      <c r="G950" s="553" t="s">
        <v>450</v>
      </c>
      <c r="H950" s="553" t="s">
        <v>1</v>
      </c>
      <c r="I950" s="477"/>
      <c r="K950" s="539"/>
      <c r="O950" s="468"/>
    </row>
    <row r="951" spans="1:17" ht="16.5" thickBot="1" x14ac:dyDescent="0.3">
      <c r="B951" s="1078"/>
      <c r="C951" s="1092"/>
      <c r="D951" s="1090"/>
      <c r="E951" s="519" t="s">
        <v>50</v>
      </c>
      <c r="F951" s="520" t="s">
        <v>50</v>
      </c>
      <c r="G951" s="553" t="s">
        <v>50</v>
      </c>
      <c r="H951" s="553" t="s">
        <v>50</v>
      </c>
      <c r="I951" s="477"/>
      <c r="K951" s="539"/>
      <c r="O951" s="468"/>
    </row>
    <row r="952" spans="1:17" ht="16.5" thickBot="1" x14ac:dyDescent="0.3">
      <c r="B952" s="493"/>
      <c r="C952" s="526"/>
      <c r="D952" s="657" t="s">
        <v>555</v>
      </c>
      <c r="F952" s="495"/>
      <c r="G952" s="561" t="str">
        <f>IFERROR(VLOOKUP(D952,'Precios Equipos'!$C$1:$F$2047,3,0),"")</f>
        <v/>
      </c>
      <c r="H952" s="561" t="str">
        <f t="shared" ref="H952:H962" si="95">IFERROR(G952*C952,"")</f>
        <v/>
      </c>
      <c r="I952" s="477"/>
      <c r="K952" s="539"/>
      <c r="L952" s="540" t="s">
        <v>451</v>
      </c>
      <c r="M952" s="541"/>
      <c r="O952" s="468"/>
    </row>
    <row r="953" spans="1:17" ht="16.5" thickBot="1" x14ac:dyDescent="0.3">
      <c r="B953" s="493"/>
      <c r="C953" s="526">
        <v>1</v>
      </c>
      <c r="D953" s="558" t="str">
        <f>+'Precios Equipos'!$C$196</f>
        <v>Gabinete Autosoportado 2200x1200(2 Puertas)x700mm. (Alto x ancho x profundidad)</v>
      </c>
      <c r="F953" s="495"/>
      <c r="G953" s="561">
        <f>IFERROR(VLOOKUP(D953,'Precios Equipos'!$C$1:$F$2047,3,0),"")</f>
        <v>20</v>
      </c>
      <c r="H953" s="561">
        <f t="shared" si="95"/>
        <v>20</v>
      </c>
      <c r="I953" s="561">
        <f>SUM(H953)</f>
        <v>20</v>
      </c>
      <c r="J953" s="924">
        <f>+I953/H972</f>
        <v>5.7820179242555649E-3</v>
      </c>
      <c r="K953" s="539"/>
      <c r="L953" s="542" t="s">
        <v>88</v>
      </c>
      <c r="M953" s="543" t="s">
        <v>85</v>
      </c>
      <c r="O953" s="468"/>
      <c r="Q953" s="465">
        <f>+C953*$C$950</f>
        <v>1</v>
      </c>
    </row>
    <row r="954" spans="1:17" x14ac:dyDescent="0.25">
      <c r="B954" s="493"/>
      <c r="C954" s="526"/>
      <c r="D954" s="494"/>
      <c r="F954" s="495"/>
      <c r="G954" s="561" t="str">
        <f>IFERROR(VLOOKUP(D954,'Precios Equipos'!$C$1:$F$2047,3,0),"")</f>
        <v/>
      </c>
      <c r="H954" s="561" t="str">
        <f t="shared" si="95"/>
        <v/>
      </c>
      <c r="I954" s="477"/>
      <c r="K954" s="539"/>
      <c r="L954" s="920" t="str">
        <f>+'Precios Equipos'!C148</f>
        <v>M. DE OBRA (TIPO 9 y 14) MONTAJE AIRE ACONDICIONADO Y ACCESORIOS</v>
      </c>
      <c r="M954" s="545">
        <f>IFERROR(VLOOKUP(L954,'Precios Equipos'!$C$11:$F$208,3,0),0)</f>
        <v>17</v>
      </c>
      <c r="O954" s="468"/>
    </row>
    <row r="955" spans="1:17" x14ac:dyDescent="0.25">
      <c r="B955" s="493"/>
      <c r="C955" s="526"/>
      <c r="D955" s="620" t="s">
        <v>788</v>
      </c>
      <c r="F955" s="497"/>
      <c r="G955" s="561" t="str">
        <f>IFERROR(VLOOKUP(D955,'Precios Equipos'!$C$1:$F$2047,3,0),"")</f>
        <v/>
      </c>
      <c r="H955" s="561" t="str">
        <f t="shared" si="95"/>
        <v/>
      </c>
      <c r="I955" s="477"/>
      <c r="K955" s="539"/>
      <c r="L955" s="920" t="str">
        <f>+'Precios Equipos'!C205</f>
        <v>Diseño Ingenieria Tableros Autosoportados</v>
      </c>
      <c r="M955" s="545">
        <f>IFERROR(VLOOKUP(L955,'Precios Equipos'!$C$11:$F$208,3,0),0)</f>
        <v>63</v>
      </c>
      <c r="O955" s="468"/>
    </row>
    <row r="956" spans="1:17" x14ac:dyDescent="0.25">
      <c r="B956" s="493"/>
      <c r="C956" s="526">
        <v>3</v>
      </c>
      <c r="D956" s="494" t="str">
        <f>+'Precios Equipos'!C104</f>
        <v>Inversor Bidireccional 15 KVA</v>
      </c>
      <c r="E956" s="550" t="s">
        <v>575</v>
      </c>
      <c r="F956" s="497"/>
      <c r="G956" s="561">
        <f>IFERROR(VLOOKUP(D956,'Precios Equipos'!$C$1:$F$2047,3,0),"")</f>
        <v>36</v>
      </c>
      <c r="H956" s="561">
        <f t="shared" si="95"/>
        <v>108</v>
      </c>
      <c r="I956" s="1087">
        <f>SUM(H956:H966)</f>
        <v>3350</v>
      </c>
      <c r="J956" s="1088">
        <f>+I956/H972</f>
        <v>0.96848800231280718</v>
      </c>
      <c r="K956" s="539"/>
      <c r="L956" s="922" t="str">
        <f>+'Precios Equipos'!C112</f>
        <v>SISTEMA DE BARRAS 10-12 POLOS</v>
      </c>
      <c r="M956" s="545">
        <f>IFERROR(VLOOKUP(L956,'Precios Equipos'!$C$11:$F$208,3,0),0)</f>
        <v>3</v>
      </c>
      <c r="Q956" s="465">
        <f>+C956*$C$950</f>
        <v>3</v>
      </c>
    </row>
    <row r="957" spans="1:17" ht="16.5" thickBot="1" x14ac:dyDescent="0.3">
      <c r="B957" s="493"/>
      <c r="C957" s="526"/>
      <c r="D957" s="494"/>
      <c r="F957" s="497"/>
      <c r="G957" s="561" t="str">
        <f>IFERROR(VLOOKUP(D957,'Precios Equipos'!$C$1:$F$2047,3,0),"")</f>
        <v/>
      </c>
      <c r="H957" s="561" t="str">
        <f t="shared" si="95"/>
        <v/>
      </c>
      <c r="I957" s="1087"/>
      <c r="J957" s="1088"/>
      <c r="K957" s="539"/>
      <c r="L957" s="923" t="str">
        <f>+'Precios Equipos'!C135</f>
        <v>CABLEADO 4 DIFERENCIALES, 2P</v>
      </c>
      <c r="M957" s="545">
        <f>IFERROR(VLOOKUP(L957,'Precios Equipos'!$C$11:$F$208,3,0),0)</f>
        <v>6</v>
      </c>
    </row>
    <row r="958" spans="1:17" ht="16.5" thickBot="1" x14ac:dyDescent="0.3">
      <c r="B958" s="493"/>
      <c r="C958" s="526"/>
      <c r="D958" s="620" t="s">
        <v>549</v>
      </c>
      <c r="F958" s="497"/>
      <c r="G958" s="561" t="str">
        <f>IFERROR(VLOOKUP(D958,'Precios Equipos'!$C$1:$F$2047,3,0),"")</f>
        <v/>
      </c>
      <c r="H958" s="561" t="str">
        <f t="shared" si="95"/>
        <v/>
      </c>
      <c r="I958" s="1087"/>
      <c r="J958" s="1088"/>
      <c r="K958" s="539"/>
      <c r="L958" s="546" t="s">
        <v>89</v>
      </c>
      <c r="M958" s="560">
        <f>SUM(M954:M957)</f>
        <v>89</v>
      </c>
    </row>
    <row r="959" spans="1:17" x14ac:dyDescent="0.25">
      <c r="B959" s="493"/>
      <c r="C959" s="526">
        <v>1</v>
      </c>
      <c r="D959" s="494" t="str">
        <f>+'Precios Equipos'!C89</f>
        <v>Centro de Control y Monitoreo de Microgridador de carga 450V/200A</v>
      </c>
      <c r="E959" s="550" t="s">
        <v>575</v>
      </c>
      <c r="F959" s="497"/>
      <c r="G959" s="561">
        <f>IFERROR(VLOOKUP(D959,'Precios Equipos'!$C$1:$F$2047,3,0),"")</f>
        <v>34</v>
      </c>
      <c r="H959" s="561">
        <f t="shared" si="95"/>
        <v>34</v>
      </c>
      <c r="I959" s="1087"/>
      <c r="J959" s="1088"/>
      <c r="K959" s="539"/>
      <c r="O959" s="468"/>
      <c r="Q959" s="465">
        <f>+C959*$C$950</f>
        <v>1</v>
      </c>
    </row>
    <row r="960" spans="1:17" x14ac:dyDescent="0.25">
      <c r="B960" s="493"/>
      <c r="C960" s="526"/>
      <c r="D960" s="494"/>
      <c r="F960" s="495"/>
      <c r="G960" s="561" t="str">
        <f>IFERROR(VLOOKUP(D960,'Precios Equipos'!$C$1:$F$2047,3,0),"")</f>
        <v/>
      </c>
      <c r="H960" s="561" t="str">
        <f t="shared" si="95"/>
        <v/>
      </c>
      <c r="I960" s="1087"/>
      <c r="J960" s="1088"/>
      <c r="K960" s="539"/>
      <c r="O960" s="468"/>
    </row>
    <row r="961" spans="2:17" x14ac:dyDescent="0.25">
      <c r="B961" s="493"/>
      <c r="C961" s="526"/>
      <c r="D961" s="620" t="s">
        <v>813</v>
      </c>
      <c r="F961" s="495"/>
      <c r="G961" s="561" t="str">
        <f>IFERROR(VLOOKUP(D961,'Precios Equipos'!$C$1:$F$2047,3,0),"")</f>
        <v/>
      </c>
      <c r="H961" s="561" t="str">
        <f t="shared" si="95"/>
        <v/>
      </c>
      <c r="I961" s="1087"/>
      <c r="J961" s="1088"/>
      <c r="K961" s="539"/>
      <c r="O961" s="468"/>
    </row>
    <row r="962" spans="2:17" x14ac:dyDescent="0.25">
      <c r="B962" s="493"/>
      <c r="C962" s="526">
        <v>2</v>
      </c>
      <c r="D962" s="494" t="str">
        <f>+'Precios Equipos'!$C$95</f>
        <v>Aire Acondicionado 1250W</v>
      </c>
      <c r="F962" s="495"/>
      <c r="G962" s="561">
        <f>IFERROR(VLOOKUP(D962,'Precios Equipos'!$C$1:$F$2047,3,0),"")</f>
        <v>30</v>
      </c>
      <c r="H962" s="561">
        <f t="shared" si="95"/>
        <v>60</v>
      </c>
      <c r="I962" s="1087"/>
      <c r="J962" s="1088"/>
      <c r="K962" s="539"/>
      <c r="O962" s="468"/>
      <c r="Q962" s="465">
        <f>+C962*$C$950</f>
        <v>2</v>
      </c>
    </row>
    <row r="963" spans="2:17" x14ac:dyDescent="0.25">
      <c r="B963" s="493"/>
      <c r="C963" s="526"/>
      <c r="D963" s="494"/>
      <c r="F963" s="495"/>
      <c r="G963" s="561" t="str">
        <f>IFERROR(VLOOKUP(D963,'Precios Equipos'!$C$1:$F$2047,3,0),"")</f>
        <v/>
      </c>
      <c r="H963" s="561" t="str">
        <f t="shared" ref="H963:H966" si="96">IFERROR(G963*C963,"")</f>
        <v/>
      </c>
      <c r="I963" s="1087"/>
      <c r="J963" s="1088"/>
      <c r="K963" s="539"/>
      <c r="O963" s="468"/>
    </row>
    <row r="964" spans="2:17" x14ac:dyDescent="0.25">
      <c r="B964" s="493"/>
      <c r="C964" s="526"/>
      <c r="D964" s="620" t="s">
        <v>819</v>
      </c>
      <c r="F964" s="495"/>
      <c r="G964" s="561" t="str">
        <f>IFERROR(VLOOKUP(D964,'Precios Equipos'!$C$1:$F$2047,3,0),"")</f>
        <v/>
      </c>
      <c r="H964" s="561" t="str">
        <f t="shared" si="96"/>
        <v/>
      </c>
      <c r="I964" s="1087"/>
      <c r="J964" s="1088"/>
      <c r="K964" s="539"/>
      <c r="O964" s="468"/>
    </row>
    <row r="965" spans="2:17" x14ac:dyDescent="0.25">
      <c r="B965" s="493"/>
      <c r="C965" s="526">
        <v>4</v>
      </c>
      <c r="D965" s="468" t="str">
        <f>+'Precios Equipos'!$C$55</f>
        <v>Interruptor Riel Din 2x25A. S202M 20kA en 250VDC, ABB</v>
      </c>
      <c r="F965" s="495"/>
      <c r="G965" s="561">
        <f>IFERROR(VLOOKUP(D965,'Precios Equipos'!$C$1:$F$2047,3,0),"")</f>
        <v>382</v>
      </c>
      <c r="H965" s="561">
        <f t="shared" si="96"/>
        <v>1528</v>
      </c>
      <c r="I965" s="1087"/>
      <c r="J965" s="1088"/>
      <c r="K965" s="539"/>
      <c r="O965" s="468"/>
      <c r="Q965" s="465">
        <f>+C965*$C$950</f>
        <v>4</v>
      </c>
    </row>
    <row r="966" spans="2:17" x14ac:dyDescent="0.25">
      <c r="B966" s="493"/>
      <c r="C966" s="526">
        <v>4</v>
      </c>
      <c r="D966" s="468" t="str">
        <f>+'Precios Equipos'!$C$60</f>
        <v>Protector de sobretension SPD DC 2P, 1000V DC, CLAMPER/DC SURGE PROTECCION</v>
      </c>
      <c r="F966" s="495"/>
      <c r="G966" s="561">
        <f>IFERROR(VLOOKUP(D966,'Precios Equipos'!$C$1:$F$2047,3,0),"")</f>
        <v>405</v>
      </c>
      <c r="H966" s="561">
        <f t="shared" si="96"/>
        <v>1620</v>
      </c>
      <c r="I966" s="1087"/>
      <c r="J966" s="1088"/>
      <c r="K966" s="539"/>
      <c r="O966" s="468"/>
      <c r="Q966" s="465">
        <f>+C966*$C$950</f>
        <v>4</v>
      </c>
    </row>
    <row r="967" spans="2:17" x14ac:dyDescent="0.25">
      <c r="B967" s="493"/>
      <c r="C967" s="526"/>
      <c r="D967" s="494"/>
      <c r="F967" s="495"/>
      <c r="G967" s="561"/>
      <c r="H967" s="561"/>
      <c r="I967" s="477"/>
      <c r="K967" s="539"/>
      <c r="O967" s="468"/>
    </row>
    <row r="968" spans="2:17" x14ac:dyDescent="0.25">
      <c r="B968" s="493"/>
      <c r="C968" s="526"/>
      <c r="D968" s="620" t="s">
        <v>87</v>
      </c>
      <c r="F968" s="495"/>
      <c r="G968" s="561"/>
      <c r="H968" s="561">
        <f>+M958</f>
        <v>89</v>
      </c>
      <c r="I968" s="561">
        <f>SUM(H968)</f>
        <v>89</v>
      </c>
      <c r="J968" s="924">
        <f>+I968/H972</f>
        <v>2.5729979762937265E-2</v>
      </c>
      <c r="K968" s="539"/>
      <c r="O968" s="468"/>
    </row>
    <row r="969" spans="2:17" x14ac:dyDescent="0.25">
      <c r="B969" s="493"/>
      <c r="C969" s="526">
        <v>1</v>
      </c>
      <c r="D969" s="494" t="s">
        <v>49</v>
      </c>
      <c r="F969" s="495"/>
      <c r="G969" s="561"/>
      <c r="H969" s="561">
        <f>$O$153</f>
        <v>0</v>
      </c>
      <c r="I969" s="1081">
        <f>SUM(H969:H970)</f>
        <v>0</v>
      </c>
      <c r="J969" s="1114">
        <f>+I969/H972</f>
        <v>0</v>
      </c>
      <c r="K969" s="539"/>
      <c r="O969" s="468"/>
    </row>
    <row r="970" spans="2:17" x14ac:dyDescent="0.25">
      <c r="B970" s="493"/>
      <c r="C970" s="526">
        <v>1</v>
      </c>
      <c r="D970" s="494" t="s">
        <v>51</v>
      </c>
      <c r="F970" s="495"/>
      <c r="G970" s="561"/>
      <c r="H970" s="561">
        <f>$O$154</f>
        <v>0</v>
      </c>
      <c r="I970" s="1083"/>
      <c r="J970" s="1115"/>
      <c r="K970" s="539"/>
      <c r="O970" s="468"/>
    </row>
    <row r="971" spans="2:17" x14ac:dyDescent="0.25">
      <c r="B971" s="493"/>
      <c r="C971" s="526">
        <v>1</v>
      </c>
      <c r="D971" s="467" t="s">
        <v>20</v>
      </c>
      <c r="F971" s="495"/>
      <c r="G971" s="479"/>
      <c r="H971" s="479"/>
      <c r="I971" s="477"/>
      <c r="K971" s="539"/>
      <c r="O971" s="468"/>
    </row>
    <row r="972" spans="2:17" x14ac:dyDescent="0.25">
      <c r="B972" s="493"/>
      <c r="C972" s="526">
        <v>1</v>
      </c>
      <c r="D972" s="467" t="s">
        <v>52</v>
      </c>
      <c r="F972" s="495"/>
      <c r="G972" s="553" t="s">
        <v>97</v>
      </c>
      <c r="H972" s="561">
        <f>SUM(H952:H971)</f>
        <v>3459</v>
      </c>
      <c r="I972" s="477"/>
      <c r="J972" s="924">
        <f>SUM(J953:J970)</f>
        <v>1</v>
      </c>
      <c r="K972" s="539"/>
      <c r="O972" s="468"/>
    </row>
    <row r="973" spans="2:17" x14ac:dyDescent="0.25">
      <c r="B973" s="493"/>
      <c r="C973" s="526">
        <v>1</v>
      </c>
      <c r="D973" s="467" t="s">
        <v>900</v>
      </c>
      <c r="F973" s="495"/>
      <c r="G973" s="553" t="s">
        <v>105</v>
      </c>
      <c r="H973" s="561">
        <f>H972*$M$152</f>
        <v>691.80000000000007</v>
      </c>
      <c r="I973" s="477"/>
      <c r="J973" s="924">
        <f>J972*$M$152</f>
        <v>0.2</v>
      </c>
      <c r="K973" s="539"/>
      <c r="O973" s="468"/>
    </row>
    <row r="974" spans="2:17" x14ac:dyDescent="0.25">
      <c r="B974" s="562"/>
      <c r="C974" s="527" t="s">
        <v>17</v>
      </c>
      <c r="D974" s="522" t="s">
        <v>48</v>
      </c>
      <c r="E974" s="523"/>
      <c r="F974" s="523"/>
      <c r="G974" s="553" t="s">
        <v>452</v>
      </c>
      <c r="H974" s="561">
        <f>H972+H973</f>
        <v>4150.8</v>
      </c>
      <c r="I974" s="477"/>
      <c r="K974" s="539"/>
      <c r="O974" s="468"/>
    </row>
    <row r="975" spans="2:17" x14ac:dyDescent="0.25">
      <c r="I975" s="477"/>
      <c r="K975" s="539"/>
      <c r="O975" s="468"/>
    </row>
    <row r="976" spans="2:17" x14ac:dyDescent="0.25">
      <c r="B976" s="514" t="s">
        <v>6</v>
      </c>
      <c r="C976" s="515" t="s">
        <v>0</v>
      </c>
      <c r="D976" s="525" t="s">
        <v>8</v>
      </c>
      <c r="E976" s="516" t="s">
        <v>4</v>
      </c>
      <c r="F976" s="516" t="s">
        <v>3</v>
      </c>
      <c r="G976" s="477"/>
      <c r="H976" s="477"/>
      <c r="I976" s="477"/>
      <c r="K976" s="539"/>
      <c r="O976" s="468"/>
    </row>
    <row r="977" spans="1:17" x14ac:dyDescent="0.25">
      <c r="A977" s="463">
        <v>150</v>
      </c>
      <c r="B977" s="1077">
        <f>B61</f>
        <v>3.2599999999999945</v>
      </c>
      <c r="C977" s="1091">
        <f>C61</f>
        <v>1</v>
      </c>
      <c r="D977" s="1089" t="str">
        <f>D61</f>
        <v>TABLEROS DE POTENCIA TIPO 14 (C2.3) (incluye aire acondicionado)</v>
      </c>
      <c r="E977" s="517">
        <f>H994</f>
        <v>321.60000000000002</v>
      </c>
      <c r="F977" s="518">
        <f>+E977*C977</f>
        <v>321.60000000000002</v>
      </c>
      <c r="G977" s="553" t="s">
        <v>450</v>
      </c>
      <c r="H977" s="553" t="s">
        <v>1</v>
      </c>
      <c r="I977" s="477"/>
      <c r="K977" s="539"/>
      <c r="O977" s="468"/>
    </row>
    <row r="978" spans="1:17" ht="16.5" thickBot="1" x14ac:dyDescent="0.3">
      <c r="B978" s="1078"/>
      <c r="C978" s="1092"/>
      <c r="D978" s="1090"/>
      <c r="E978" s="519" t="s">
        <v>50</v>
      </c>
      <c r="F978" s="520" t="s">
        <v>50</v>
      </c>
      <c r="G978" s="553" t="s">
        <v>50</v>
      </c>
      <c r="H978" s="553" t="s">
        <v>50</v>
      </c>
      <c r="I978" s="477"/>
      <c r="K978" s="539"/>
      <c r="O978" s="468"/>
    </row>
    <row r="979" spans="1:17" ht="16.5" thickBot="1" x14ac:dyDescent="0.3">
      <c r="B979" s="493"/>
      <c r="C979" s="526"/>
      <c r="D979" s="657" t="s">
        <v>556</v>
      </c>
      <c r="E979" s="491"/>
      <c r="F979" s="492"/>
      <c r="G979" s="561" t="str">
        <f>IFERROR(VLOOKUP(D979,'Precios Equipos'!$C$1:$F$2047,3,0),"")</f>
        <v/>
      </c>
      <c r="H979" s="561" t="str">
        <f t="shared" ref="H979:H986" si="97">IFERROR(G979*C979,"")</f>
        <v/>
      </c>
      <c r="I979" s="477"/>
      <c r="K979" s="539"/>
      <c r="L979" s="540" t="s">
        <v>451</v>
      </c>
      <c r="M979" s="541"/>
      <c r="O979" s="468"/>
    </row>
    <row r="980" spans="1:17" ht="16.5" thickBot="1" x14ac:dyDescent="0.3">
      <c r="B980" s="493"/>
      <c r="C980" s="526">
        <v>1</v>
      </c>
      <c r="D980" s="558" t="str">
        <f>+'Precios Equipos'!$C$196</f>
        <v>Gabinete Autosoportado 2200x1200(2 Puertas)x700mm. (Alto x ancho x profundidad)</v>
      </c>
      <c r="F980" s="495"/>
      <c r="G980" s="561">
        <f>IFERROR(VLOOKUP(D980,'Precios Equipos'!$C$1:$F$2047,3,0),"")</f>
        <v>20</v>
      </c>
      <c r="H980" s="561">
        <f t="shared" si="97"/>
        <v>20</v>
      </c>
      <c r="I980" s="561">
        <f>SUM(H980)</f>
        <v>20</v>
      </c>
      <c r="J980" s="924">
        <f>+I980/H992</f>
        <v>7.4626865671641784E-2</v>
      </c>
      <c r="K980" s="539"/>
      <c r="L980" s="542" t="s">
        <v>88</v>
      </c>
      <c r="M980" s="543" t="s">
        <v>85</v>
      </c>
      <c r="O980" s="468"/>
      <c r="P980" s="465"/>
      <c r="Q980" s="465">
        <f>+C980*$C$977</f>
        <v>1</v>
      </c>
    </row>
    <row r="981" spans="1:17" x14ac:dyDescent="0.25">
      <c r="B981" s="493"/>
      <c r="C981" s="526"/>
      <c r="D981" s="494"/>
      <c r="F981" s="495"/>
      <c r="G981" s="561" t="str">
        <f>IFERROR(VLOOKUP(D981,'Precios Equipos'!$C$1:$F$2047,3,0),"")</f>
        <v/>
      </c>
      <c r="H981" s="561" t="str">
        <f t="shared" si="97"/>
        <v/>
      </c>
      <c r="I981" s="477"/>
      <c r="K981" s="539"/>
      <c r="L981" s="544" t="str">
        <f>+'Precios Equipos'!C148</f>
        <v>M. DE OBRA (TIPO 9 y 14) MONTAJE AIRE ACONDICIONADO Y ACCESORIOS</v>
      </c>
      <c r="M981" s="545">
        <f>IFERROR(VLOOKUP(L981,'Precios Equipos'!$C$11:$F$208,3,0),0)</f>
        <v>17</v>
      </c>
      <c r="P981" s="465"/>
    </row>
    <row r="982" spans="1:17" ht="16.5" thickBot="1" x14ac:dyDescent="0.3">
      <c r="B982" s="493"/>
      <c r="C982" s="526"/>
      <c r="D982" s="620" t="s">
        <v>788</v>
      </c>
      <c r="F982" s="495"/>
      <c r="G982" s="561" t="str">
        <f>IFERROR(VLOOKUP(D982,'Precios Equipos'!$C$1:$F$2047,3,0),"")</f>
        <v/>
      </c>
      <c r="H982" s="561" t="str">
        <f t="shared" si="97"/>
        <v/>
      </c>
      <c r="I982" s="477"/>
      <c r="K982" s="539"/>
      <c r="L982" s="544" t="str">
        <f>+'Precios Equipos'!C205</f>
        <v>Diseño Ingenieria Tableros Autosoportados</v>
      </c>
      <c r="M982" s="545">
        <f>IFERROR(VLOOKUP(L982,'Precios Equipos'!$C$11:$F$208,3,0),0)</f>
        <v>63</v>
      </c>
      <c r="P982" s="465"/>
    </row>
    <row r="983" spans="1:17" ht="16.5" thickBot="1" x14ac:dyDescent="0.3">
      <c r="B983" s="493"/>
      <c r="C983" s="526">
        <v>3</v>
      </c>
      <c r="D983" s="494" t="str">
        <f>+'Precios Equipos'!C104</f>
        <v>Inversor Bidireccional 15 KVA</v>
      </c>
      <c r="E983" s="550" t="s">
        <v>575</v>
      </c>
      <c r="F983" s="497"/>
      <c r="G983" s="561">
        <f>IFERROR(VLOOKUP(D983,'Precios Equipos'!$C$1:$F$2047,3,0),"")</f>
        <v>36</v>
      </c>
      <c r="H983" s="561">
        <f t="shared" si="97"/>
        <v>108</v>
      </c>
      <c r="I983" s="1087">
        <f>SUM(H983:H986)</f>
        <v>168</v>
      </c>
      <c r="J983" s="1088">
        <f>+I983/H992</f>
        <v>0.62686567164179108</v>
      </c>
      <c r="K983" s="539"/>
      <c r="L983" s="546" t="s">
        <v>89</v>
      </c>
      <c r="M983" s="560">
        <f>SUM(M981:M982)</f>
        <v>80</v>
      </c>
      <c r="P983" s="465"/>
      <c r="Q983" s="465">
        <f>+C983*$C$977</f>
        <v>3</v>
      </c>
    </row>
    <row r="984" spans="1:17" x14ac:dyDescent="0.25">
      <c r="B984" s="493"/>
      <c r="C984" s="526"/>
      <c r="D984" s="494"/>
      <c r="F984" s="495"/>
      <c r="G984" s="561" t="str">
        <f>IFERROR(VLOOKUP(D984,'Precios Equipos'!$C$1:$F$2047,3,0),"")</f>
        <v/>
      </c>
      <c r="H984" s="561" t="str">
        <f t="shared" si="97"/>
        <v/>
      </c>
      <c r="I984" s="1087"/>
      <c r="J984" s="1088"/>
      <c r="K984" s="539"/>
      <c r="O984" s="468"/>
      <c r="P984" s="465"/>
    </row>
    <row r="985" spans="1:17" x14ac:dyDescent="0.25">
      <c r="B985" s="493"/>
      <c r="C985" s="526"/>
      <c r="D985" s="620" t="s">
        <v>813</v>
      </c>
      <c r="F985" s="495"/>
      <c r="G985" s="561" t="str">
        <f>IFERROR(VLOOKUP(D985,'Precios Equipos'!$C$1:$F$2047,3,0),"")</f>
        <v/>
      </c>
      <c r="H985" s="561" t="str">
        <f t="shared" si="97"/>
        <v/>
      </c>
      <c r="I985" s="1087"/>
      <c r="J985" s="1088"/>
      <c r="K985" s="539"/>
      <c r="L985" s="593"/>
      <c r="M985" s="594"/>
      <c r="O985" s="468"/>
      <c r="P985" s="465"/>
    </row>
    <row r="986" spans="1:17" x14ac:dyDescent="0.25">
      <c r="B986" s="493"/>
      <c r="C986" s="526">
        <v>2</v>
      </c>
      <c r="D986" s="494" t="str">
        <f>+'Precios Equipos'!$C$95</f>
        <v>Aire Acondicionado 1250W</v>
      </c>
      <c r="F986" s="495"/>
      <c r="G986" s="561">
        <f>IFERROR(VLOOKUP(D986,'Precios Equipos'!$C$1:$F$2047,3,0),"")</f>
        <v>30</v>
      </c>
      <c r="H986" s="561">
        <f t="shared" si="97"/>
        <v>60</v>
      </c>
      <c r="I986" s="1087"/>
      <c r="J986" s="1088"/>
      <c r="K986" s="539"/>
      <c r="L986" s="593"/>
      <c r="M986" s="594"/>
      <c r="O986" s="468"/>
      <c r="P986" s="465"/>
      <c r="Q986" s="465">
        <f>+C986*$C$977</f>
        <v>2</v>
      </c>
    </row>
    <row r="987" spans="1:17" x14ac:dyDescent="0.25">
      <c r="B987" s="493"/>
      <c r="C987" s="526"/>
      <c r="D987" s="494"/>
      <c r="F987" s="495"/>
      <c r="G987" s="561"/>
      <c r="H987" s="561"/>
      <c r="I987" s="477"/>
      <c r="K987" s="539"/>
      <c r="L987" s="593"/>
      <c r="M987" s="594"/>
      <c r="O987" s="468"/>
      <c r="P987" s="465"/>
    </row>
    <row r="988" spans="1:17" x14ac:dyDescent="0.25">
      <c r="B988" s="493"/>
      <c r="C988" s="526"/>
      <c r="D988" s="620" t="s">
        <v>87</v>
      </c>
      <c r="F988" s="495"/>
      <c r="G988" s="561"/>
      <c r="H988" s="561">
        <f>+M983</f>
        <v>80</v>
      </c>
      <c r="I988" s="561">
        <f>SUM(H988)</f>
        <v>80</v>
      </c>
      <c r="J988" s="924">
        <f>+I988/H992</f>
        <v>0.29850746268656714</v>
      </c>
      <c r="K988" s="539"/>
      <c r="O988" s="468"/>
      <c r="P988" s="465"/>
    </row>
    <row r="989" spans="1:17" x14ac:dyDescent="0.25">
      <c r="B989" s="493"/>
      <c r="C989" s="526">
        <v>1</v>
      </c>
      <c r="D989" s="494" t="s">
        <v>49</v>
      </c>
      <c r="F989" s="495"/>
      <c r="G989" s="561"/>
      <c r="H989" s="561">
        <f>$O$153</f>
        <v>0</v>
      </c>
      <c r="I989" s="1081">
        <f>SUM(H989:H990)</f>
        <v>0</v>
      </c>
      <c r="J989" s="1114">
        <f>+I989/H992</f>
        <v>0</v>
      </c>
      <c r="K989" s="539"/>
      <c r="O989" s="468"/>
    </row>
    <row r="990" spans="1:17" x14ac:dyDescent="0.25">
      <c r="B990" s="493"/>
      <c r="C990" s="526">
        <v>1</v>
      </c>
      <c r="D990" s="494" t="s">
        <v>51</v>
      </c>
      <c r="F990" s="495"/>
      <c r="G990" s="561"/>
      <c r="H990" s="561">
        <f>$O$154</f>
        <v>0</v>
      </c>
      <c r="I990" s="1083"/>
      <c r="J990" s="1115"/>
      <c r="K990" s="539"/>
      <c r="O990" s="468"/>
    </row>
    <row r="991" spans="1:17" x14ac:dyDescent="0.25">
      <c r="B991" s="493"/>
      <c r="C991" s="526">
        <v>1</v>
      </c>
      <c r="D991" s="467" t="s">
        <v>20</v>
      </c>
      <c r="F991" s="495"/>
      <c r="G991" s="561"/>
      <c r="H991" s="561"/>
      <c r="I991" s="477"/>
      <c r="K991" s="539"/>
      <c r="O991" s="468"/>
    </row>
    <row r="992" spans="1:17" x14ac:dyDescent="0.25">
      <c r="B992" s="493"/>
      <c r="C992" s="526">
        <v>1</v>
      </c>
      <c r="D992" s="467" t="s">
        <v>52</v>
      </c>
      <c r="F992" s="495"/>
      <c r="G992" s="553" t="s">
        <v>97</v>
      </c>
      <c r="H992" s="561">
        <f>SUM(H980:H991)</f>
        <v>268</v>
      </c>
      <c r="I992" s="477"/>
      <c r="J992" s="924">
        <f>SUM(J980:J990)</f>
        <v>1</v>
      </c>
      <c r="K992" s="539"/>
      <c r="O992" s="468"/>
    </row>
    <row r="993" spans="1:17" x14ac:dyDescent="0.25">
      <c r="B993" s="493"/>
      <c r="C993" s="526">
        <v>1</v>
      </c>
      <c r="D993" s="467" t="s">
        <v>900</v>
      </c>
      <c r="F993" s="495"/>
      <c r="G993" s="553" t="s">
        <v>105</v>
      </c>
      <c r="H993" s="561">
        <f>H992*$M$152</f>
        <v>53.6</v>
      </c>
      <c r="I993" s="477"/>
      <c r="J993" s="924">
        <f>J992*$M$152</f>
        <v>0.2</v>
      </c>
      <c r="K993" s="539"/>
      <c r="O993" s="468"/>
    </row>
    <row r="994" spans="1:17" x14ac:dyDescent="0.25">
      <c r="B994" s="521"/>
      <c r="C994" s="527" t="s">
        <v>17</v>
      </c>
      <c r="D994" s="522" t="s">
        <v>48</v>
      </c>
      <c r="E994" s="523"/>
      <c r="F994" s="524"/>
      <c r="G994" s="553" t="s">
        <v>452</v>
      </c>
      <c r="H994" s="561">
        <f>H992+H993</f>
        <v>321.60000000000002</v>
      </c>
      <c r="I994" s="477"/>
      <c r="K994" s="539"/>
      <c r="O994" s="468"/>
    </row>
    <row r="995" spans="1:17" x14ac:dyDescent="0.25">
      <c r="D995" s="468"/>
      <c r="I995" s="477"/>
      <c r="K995" s="539"/>
      <c r="O995" s="468"/>
    </row>
    <row r="996" spans="1:17" x14ac:dyDescent="0.25">
      <c r="B996" s="514" t="s">
        <v>6</v>
      </c>
      <c r="C996" s="515" t="s">
        <v>0</v>
      </c>
      <c r="D996" s="525" t="s">
        <v>8</v>
      </c>
      <c r="E996" s="516" t="s">
        <v>4</v>
      </c>
      <c r="F996" s="516" t="s">
        <v>3</v>
      </c>
      <c r="G996" s="477"/>
      <c r="H996" s="477"/>
      <c r="I996" s="477"/>
      <c r="K996" s="539"/>
      <c r="O996" s="468"/>
    </row>
    <row r="997" spans="1:17" x14ac:dyDescent="0.25">
      <c r="A997" s="463">
        <v>151</v>
      </c>
      <c r="B997" s="1077">
        <f>B62</f>
        <v>3.2699999999999942</v>
      </c>
      <c r="C997" s="1091">
        <f>C62</f>
        <v>1</v>
      </c>
      <c r="D997" s="1089" t="str">
        <f>D62</f>
        <v>TABLEROS DE POTENCIA TIPO 14 (C2.4) (incluye aire acondicionado)</v>
      </c>
      <c r="E997" s="517">
        <f>H1021</f>
        <v>4150.8</v>
      </c>
      <c r="F997" s="518">
        <f>+E997*C997</f>
        <v>4150.8</v>
      </c>
      <c r="G997" s="553" t="s">
        <v>450</v>
      </c>
      <c r="H997" s="553" t="s">
        <v>1</v>
      </c>
      <c r="I997" s="477"/>
      <c r="K997" s="539"/>
      <c r="O997" s="468"/>
    </row>
    <row r="998" spans="1:17" x14ac:dyDescent="0.25">
      <c r="B998" s="1078"/>
      <c r="C998" s="1092"/>
      <c r="D998" s="1090"/>
      <c r="E998" s="519" t="s">
        <v>50</v>
      </c>
      <c r="F998" s="520" t="s">
        <v>50</v>
      </c>
      <c r="G998" s="553" t="s">
        <v>50</v>
      </c>
      <c r="H998" s="553" t="s">
        <v>50</v>
      </c>
      <c r="I998" s="477"/>
      <c r="K998" s="539"/>
      <c r="O998" s="468"/>
    </row>
    <row r="999" spans="1:17" ht="16.5" thickBot="1" x14ac:dyDescent="0.3">
      <c r="B999" s="490"/>
      <c r="C999" s="526"/>
      <c r="D999" s="657" t="s">
        <v>557</v>
      </c>
      <c r="E999" s="491"/>
      <c r="F999" s="492"/>
      <c r="G999" s="561" t="str">
        <f>IFERROR(VLOOKUP(D999,'Precios Equipos'!$C$1:$F$2047,3,0),"")</f>
        <v/>
      </c>
      <c r="H999" s="561" t="str">
        <f t="shared" ref="H999:H1009" si="98">IFERROR(G999*C999,"")</f>
        <v/>
      </c>
      <c r="I999" s="477"/>
      <c r="K999" s="539"/>
      <c r="O999" s="468"/>
    </row>
    <row r="1000" spans="1:17" ht="16.5" thickBot="1" x14ac:dyDescent="0.3">
      <c r="B1000" s="493"/>
      <c r="C1000" s="526">
        <v>1</v>
      </c>
      <c r="D1000" s="558" t="str">
        <f>+'Precios Equipos'!$C$196</f>
        <v>Gabinete Autosoportado 2200x1200(2 Puertas)x700mm. (Alto x ancho x profundidad)</v>
      </c>
      <c r="F1000" s="495"/>
      <c r="G1000" s="561">
        <f>IFERROR(VLOOKUP(D1000,'Precios Equipos'!$C$1:$F$2047,3,0),"")</f>
        <v>20</v>
      </c>
      <c r="H1000" s="561">
        <f t="shared" si="98"/>
        <v>20</v>
      </c>
      <c r="I1000" s="561">
        <f>SUM(H1000)</f>
        <v>20</v>
      </c>
      <c r="J1000" s="924">
        <f>+I1000/H1019</f>
        <v>5.7820179242555649E-3</v>
      </c>
      <c r="K1000" s="539"/>
      <c r="L1000" s="540" t="s">
        <v>451</v>
      </c>
      <c r="M1000" s="541"/>
      <c r="O1000" s="468"/>
      <c r="Q1000" s="465">
        <f>+C1000*$C$997</f>
        <v>1</v>
      </c>
    </row>
    <row r="1001" spans="1:17" ht="16.5" thickBot="1" x14ac:dyDescent="0.3">
      <c r="B1001" s="493"/>
      <c r="C1001" s="526"/>
      <c r="D1001" s="494"/>
      <c r="F1001" s="495"/>
      <c r="G1001" s="561" t="str">
        <f>IFERROR(VLOOKUP(D1001,'Precios Equipos'!$C$1:$F$2047,3,0),"")</f>
        <v/>
      </c>
      <c r="H1001" s="561" t="str">
        <f t="shared" si="98"/>
        <v/>
      </c>
      <c r="I1001" s="477"/>
      <c r="K1001" s="539"/>
      <c r="L1001" s="542" t="s">
        <v>88</v>
      </c>
      <c r="M1001" s="543" t="s">
        <v>85</v>
      </c>
      <c r="O1001" s="468"/>
    </row>
    <row r="1002" spans="1:17" x14ac:dyDescent="0.25">
      <c r="B1002" s="493"/>
      <c r="C1002" s="526"/>
      <c r="D1002" s="620" t="s">
        <v>788</v>
      </c>
      <c r="F1002" s="495"/>
      <c r="G1002" s="561" t="str">
        <f>IFERROR(VLOOKUP(D1002,'Precios Equipos'!$C$1:$F$2047,3,0),"")</f>
        <v/>
      </c>
      <c r="H1002" s="561" t="str">
        <f t="shared" si="98"/>
        <v/>
      </c>
      <c r="I1002" s="477"/>
      <c r="K1002" s="539"/>
      <c r="L1002" s="920" t="str">
        <f>+'Precios Equipos'!C148</f>
        <v>M. DE OBRA (TIPO 9 y 14) MONTAJE AIRE ACONDICIONADO Y ACCESORIOS</v>
      </c>
      <c r="M1002" s="545">
        <f>IFERROR(VLOOKUP(L1002,'Precios Equipos'!$C$11:$F$208,3,0),0)</f>
        <v>17</v>
      </c>
    </row>
    <row r="1003" spans="1:17" x14ac:dyDescent="0.25">
      <c r="B1003" s="493"/>
      <c r="C1003" s="526">
        <v>3</v>
      </c>
      <c r="D1003" s="494" t="str">
        <f>+'Precios Equipos'!C104</f>
        <v>Inversor Bidireccional 15 KVA</v>
      </c>
      <c r="E1003" s="550" t="s">
        <v>575</v>
      </c>
      <c r="F1003" s="497"/>
      <c r="G1003" s="561">
        <f>IFERROR(VLOOKUP(D1003,'Precios Equipos'!$C$1:$F$2047,3,0),"")</f>
        <v>36</v>
      </c>
      <c r="H1003" s="561">
        <f t="shared" si="98"/>
        <v>108</v>
      </c>
      <c r="I1003" s="1087">
        <f>SUM(H1003:H1013)</f>
        <v>3350</v>
      </c>
      <c r="J1003" s="1088">
        <f>+I1003/H1019</f>
        <v>0.96848800231280718</v>
      </c>
      <c r="K1003" s="539"/>
      <c r="L1003" s="920" t="str">
        <f>+'Precios Equipos'!C205</f>
        <v>Diseño Ingenieria Tableros Autosoportados</v>
      </c>
      <c r="M1003" s="545">
        <f>IFERROR(VLOOKUP(L1003,'Precios Equipos'!$C$11:$F$208,3,0),0)</f>
        <v>63</v>
      </c>
      <c r="Q1003" s="465">
        <f>+C1003*$C$997</f>
        <v>3</v>
      </c>
    </row>
    <row r="1004" spans="1:17" x14ac:dyDescent="0.25">
      <c r="B1004" s="493"/>
      <c r="C1004" s="526"/>
      <c r="D1004" s="494"/>
      <c r="F1004" s="497"/>
      <c r="G1004" s="561" t="str">
        <f>IFERROR(VLOOKUP(D1004,'Precios Equipos'!$C$1:$F$2047,3,0),"")</f>
        <v/>
      </c>
      <c r="H1004" s="561" t="str">
        <f t="shared" si="98"/>
        <v/>
      </c>
      <c r="I1004" s="1087"/>
      <c r="J1004" s="1088"/>
      <c r="K1004" s="539"/>
      <c r="L1004" s="922" t="str">
        <f>+'Precios Equipos'!C112</f>
        <v>SISTEMA DE BARRAS 10-12 POLOS</v>
      </c>
      <c r="M1004" s="545">
        <f>IFERROR(VLOOKUP(L1004,'Precios Equipos'!$C$11:$F$208,3,0),0)</f>
        <v>3</v>
      </c>
    </row>
    <row r="1005" spans="1:17" ht="16.5" thickBot="1" x14ac:dyDescent="0.3">
      <c r="B1005" s="493"/>
      <c r="C1005" s="526"/>
      <c r="D1005" s="620" t="s">
        <v>549</v>
      </c>
      <c r="F1005" s="497"/>
      <c r="G1005" s="561" t="str">
        <f>IFERROR(VLOOKUP(D1005,'Precios Equipos'!$C$1:$F$2047,3,0),"")</f>
        <v/>
      </c>
      <c r="H1005" s="561" t="str">
        <f t="shared" si="98"/>
        <v/>
      </c>
      <c r="I1005" s="1087"/>
      <c r="J1005" s="1088"/>
      <c r="K1005" s="539"/>
      <c r="L1005" s="923" t="str">
        <f>+'Precios Equipos'!C135</f>
        <v>CABLEADO 4 DIFERENCIALES, 2P</v>
      </c>
      <c r="M1005" s="545">
        <f>IFERROR(VLOOKUP(L1005,'Precios Equipos'!$C$11:$F$208,3,0),0)</f>
        <v>6</v>
      </c>
      <c r="O1005" s="468"/>
    </row>
    <row r="1006" spans="1:17" ht="16.5" thickBot="1" x14ac:dyDescent="0.3">
      <c r="B1006" s="493"/>
      <c r="C1006" s="526">
        <v>1</v>
      </c>
      <c r="D1006" s="494" t="str">
        <f>+'Precios Equipos'!C89</f>
        <v>Centro de Control y Monitoreo de Microgridador de carga 450V/200A</v>
      </c>
      <c r="E1006" s="550" t="s">
        <v>575</v>
      </c>
      <c r="F1006" s="497"/>
      <c r="G1006" s="561">
        <f>IFERROR(VLOOKUP(D1006,'Precios Equipos'!$C$1:$F$2047,3,0),"")</f>
        <v>34</v>
      </c>
      <c r="H1006" s="561">
        <f t="shared" si="98"/>
        <v>34</v>
      </c>
      <c r="I1006" s="1087"/>
      <c r="J1006" s="1088"/>
      <c r="K1006" s="539"/>
      <c r="L1006" s="546" t="s">
        <v>89</v>
      </c>
      <c r="M1006" s="560">
        <f>SUM(M1002:M1005)</f>
        <v>89</v>
      </c>
      <c r="O1006" s="468"/>
      <c r="Q1006" s="465">
        <f>+C1006*$C$997</f>
        <v>1</v>
      </c>
    </row>
    <row r="1007" spans="1:17" x14ac:dyDescent="0.25">
      <c r="B1007" s="493"/>
      <c r="C1007" s="526"/>
      <c r="D1007" s="494"/>
      <c r="F1007" s="495"/>
      <c r="G1007" s="561" t="str">
        <f>IFERROR(VLOOKUP(D1007,'Precios Equipos'!$C$1:$F$2047,3,0),"")</f>
        <v/>
      </c>
      <c r="H1007" s="561" t="str">
        <f t="shared" si="98"/>
        <v/>
      </c>
      <c r="I1007" s="1087"/>
      <c r="J1007" s="1088"/>
      <c r="K1007" s="539"/>
      <c r="O1007" s="468"/>
    </row>
    <row r="1008" spans="1:17" x14ac:dyDescent="0.25">
      <c r="B1008" s="493"/>
      <c r="C1008" s="526"/>
      <c r="D1008" s="620" t="s">
        <v>813</v>
      </c>
      <c r="F1008" s="495"/>
      <c r="G1008" s="561" t="str">
        <f>IFERROR(VLOOKUP(D1008,'Precios Equipos'!$C$1:$F$2047,3,0),"")</f>
        <v/>
      </c>
      <c r="H1008" s="561" t="str">
        <f t="shared" si="98"/>
        <v/>
      </c>
      <c r="I1008" s="1087"/>
      <c r="J1008" s="1088"/>
      <c r="K1008" s="539"/>
      <c r="O1008" s="468"/>
    </row>
    <row r="1009" spans="1:17" x14ac:dyDescent="0.25">
      <c r="B1009" s="493"/>
      <c r="C1009" s="526">
        <v>2</v>
      </c>
      <c r="D1009" s="494" t="str">
        <f>+'Precios Equipos'!$C$95</f>
        <v>Aire Acondicionado 1250W</v>
      </c>
      <c r="F1009" s="495"/>
      <c r="G1009" s="561">
        <f>IFERROR(VLOOKUP(D1009,'Precios Equipos'!$C$1:$F$2047,3,0),"")</f>
        <v>30</v>
      </c>
      <c r="H1009" s="561">
        <f t="shared" si="98"/>
        <v>60</v>
      </c>
      <c r="I1009" s="1087"/>
      <c r="J1009" s="1088"/>
      <c r="K1009" s="539"/>
      <c r="O1009" s="468"/>
      <c r="Q1009" s="465">
        <f>+C1009*$C$997</f>
        <v>2</v>
      </c>
    </row>
    <row r="1010" spans="1:17" x14ac:dyDescent="0.25">
      <c r="B1010" s="493"/>
      <c r="C1010" s="526"/>
      <c r="D1010" s="494"/>
      <c r="F1010" s="495"/>
      <c r="G1010" s="561" t="str">
        <f>IFERROR(VLOOKUP(D1010,'Precios Equipos'!$C$1:$F$2047,3,0),"")</f>
        <v/>
      </c>
      <c r="H1010" s="561" t="str">
        <f t="shared" ref="H1010:H1013" si="99">IFERROR(G1010*C1010,"")</f>
        <v/>
      </c>
      <c r="I1010" s="1087"/>
      <c r="J1010" s="1088"/>
      <c r="K1010" s="539"/>
      <c r="O1010" s="468"/>
    </row>
    <row r="1011" spans="1:17" x14ac:dyDescent="0.25">
      <c r="B1011" s="493"/>
      <c r="C1011" s="526"/>
      <c r="D1011" s="620" t="s">
        <v>819</v>
      </c>
      <c r="F1011" s="495"/>
      <c r="G1011" s="561" t="str">
        <f>IFERROR(VLOOKUP(D1011,'Precios Equipos'!$C$1:$F$2047,3,0),"")</f>
        <v/>
      </c>
      <c r="H1011" s="561" t="str">
        <f t="shared" si="99"/>
        <v/>
      </c>
      <c r="I1011" s="1087"/>
      <c r="J1011" s="1088"/>
      <c r="K1011" s="539"/>
      <c r="O1011" s="468"/>
    </row>
    <row r="1012" spans="1:17" x14ac:dyDescent="0.25">
      <c r="B1012" s="493"/>
      <c r="C1012" s="526">
        <v>4</v>
      </c>
      <c r="D1012" s="468" t="str">
        <f>+'Precios Equipos'!$C$55</f>
        <v>Interruptor Riel Din 2x25A. S202M 20kA en 250VDC, ABB</v>
      </c>
      <c r="F1012" s="495"/>
      <c r="G1012" s="561">
        <f>IFERROR(VLOOKUP(D1012,'Precios Equipos'!$C$1:$F$2047,3,0),"")</f>
        <v>382</v>
      </c>
      <c r="H1012" s="561">
        <f t="shared" si="99"/>
        <v>1528</v>
      </c>
      <c r="I1012" s="1087"/>
      <c r="J1012" s="1088"/>
      <c r="K1012" s="539"/>
      <c r="O1012" s="468"/>
      <c r="Q1012" s="465">
        <f>+C1012*$C$997</f>
        <v>4</v>
      </c>
    </row>
    <row r="1013" spans="1:17" x14ac:dyDescent="0.25">
      <c r="B1013" s="493"/>
      <c r="C1013" s="526">
        <v>4</v>
      </c>
      <c r="D1013" s="468" t="str">
        <f>+'Precios Equipos'!$C$60</f>
        <v>Protector de sobretension SPD DC 2P, 1000V DC, CLAMPER/DC SURGE PROTECCION</v>
      </c>
      <c r="F1013" s="495"/>
      <c r="G1013" s="561">
        <f>IFERROR(VLOOKUP(D1013,'Precios Equipos'!$C$1:$F$2047,3,0),"")</f>
        <v>405</v>
      </c>
      <c r="H1013" s="561">
        <f t="shared" si="99"/>
        <v>1620</v>
      </c>
      <c r="I1013" s="1087"/>
      <c r="J1013" s="1088"/>
      <c r="K1013" s="539"/>
      <c r="O1013" s="468"/>
      <c r="Q1013" s="465">
        <f>+C1013*$C$997</f>
        <v>4</v>
      </c>
    </row>
    <row r="1014" spans="1:17" x14ac:dyDescent="0.25">
      <c r="B1014" s="493"/>
      <c r="C1014" s="526"/>
      <c r="D1014" s="494"/>
      <c r="F1014" s="495"/>
      <c r="G1014" s="561"/>
      <c r="H1014" s="561"/>
      <c r="I1014" s="477"/>
      <c r="K1014" s="539"/>
      <c r="O1014" s="468"/>
    </row>
    <row r="1015" spans="1:17" x14ac:dyDescent="0.25">
      <c r="B1015" s="493"/>
      <c r="C1015" s="526"/>
      <c r="D1015" s="620" t="s">
        <v>87</v>
      </c>
      <c r="F1015" s="495"/>
      <c r="G1015" s="561"/>
      <c r="H1015" s="561">
        <f>+M1006</f>
        <v>89</v>
      </c>
      <c r="I1015" s="561">
        <f>SUM(H1015)</f>
        <v>89</v>
      </c>
      <c r="J1015" s="924">
        <f>+I1015/H1019</f>
        <v>2.5729979762937265E-2</v>
      </c>
      <c r="K1015" s="539"/>
      <c r="O1015" s="468"/>
    </row>
    <row r="1016" spans="1:17" x14ac:dyDescent="0.25">
      <c r="B1016" s="493"/>
      <c r="C1016" s="526">
        <v>1</v>
      </c>
      <c r="D1016" s="494" t="s">
        <v>49</v>
      </c>
      <c r="F1016" s="495"/>
      <c r="G1016" s="561"/>
      <c r="H1016" s="561">
        <f>$O$153</f>
        <v>0</v>
      </c>
      <c r="I1016" s="1087">
        <f>SUM(H1016:H1017)</f>
        <v>0</v>
      </c>
      <c r="J1016" s="1088">
        <f>+I1016/H1019</f>
        <v>0</v>
      </c>
      <c r="K1016" s="539"/>
      <c r="O1016" s="468"/>
    </row>
    <row r="1017" spans="1:17" x14ac:dyDescent="0.25">
      <c r="B1017" s="493"/>
      <c r="C1017" s="526">
        <v>1</v>
      </c>
      <c r="D1017" s="494" t="s">
        <v>51</v>
      </c>
      <c r="F1017" s="495"/>
      <c r="G1017" s="561"/>
      <c r="H1017" s="561">
        <f>$O$154</f>
        <v>0</v>
      </c>
      <c r="I1017" s="1087"/>
      <c r="J1017" s="1088"/>
      <c r="K1017" s="539"/>
      <c r="O1017" s="468"/>
    </row>
    <row r="1018" spans="1:17" x14ac:dyDescent="0.25">
      <c r="B1018" s="493"/>
      <c r="C1018" s="526">
        <v>1</v>
      </c>
      <c r="D1018" s="467" t="s">
        <v>20</v>
      </c>
      <c r="F1018" s="495"/>
      <c r="G1018" s="561"/>
      <c r="H1018" s="561"/>
      <c r="I1018" s="477"/>
      <c r="K1018" s="539"/>
      <c r="O1018" s="468"/>
    </row>
    <row r="1019" spans="1:17" x14ac:dyDescent="0.25">
      <c r="B1019" s="493"/>
      <c r="C1019" s="526">
        <v>1</v>
      </c>
      <c r="D1019" s="467" t="s">
        <v>52</v>
      </c>
      <c r="F1019" s="495"/>
      <c r="G1019" s="553" t="s">
        <v>97</v>
      </c>
      <c r="H1019" s="577">
        <f>SUM(H1000:H1018)</f>
        <v>3459</v>
      </c>
      <c r="I1019" s="477"/>
      <c r="J1019" s="924">
        <f>SUM(J1000:J1017)</f>
        <v>1</v>
      </c>
      <c r="K1019" s="539"/>
      <c r="O1019" s="468"/>
    </row>
    <row r="1020" spans="1:17" x14ac:dyDescent="0.25">
      <c r="B1020" s="493"/>
      <c r="C1020" s="526">
        <v>1</v>
      </c>
      <c r="D1020" s="467" t="s">
        <v>900</v>
      </c>
      <c r="F1020" s="495"/>
      <c r="G1020" s="553" t="s">
        <v>105</v>
      </c>
      <c r="H1020" s="561">
        <f>H1019*$M$152</f>
        <v>691.80000000000007</v>
      </c>
      <c r="I1020" s="477"/>
      <c r="J1020" s="924">
        <f>J1019*$M$152</f>
        <v>0.2</v>
      </c>
      <c r="K1020" s="539"/>
      <c r="O1020" s="468"/>
    </row>
    <row r="1021" spans="1:17" x14ac:dyDescent="0.25">
      <c r="B1021" s="521"/>
      <c r="C1021" s="527" t="s">
        <v>17</v>
      </c>
      <c r="D1021" s="522" t="s">
        <v>48</v>
      </c>
      <c r="E1021" s="523"/>
      <c r="F1021" s="524"/>
      <c r="G1021" s="553" t="s">
        <v>452</v>
      </c>
      <c r="H1021" s="577">
        <f>H1019+H1020</f>
        <v>4150.8</v>
      </c>
      <c r="I1021" s="477"/>
      <c r="K1021" s="539"/>
      <c r="O1021" s="468"/>
    </row>
    <row r="1022" spans="1:17" x14ac:dyDescent="0.25">
      <c r="I1022" s="477"/>
      <c r="K1022" s="539"/>
      <c r="O1022" s="468"/>
    </row>
    <row r="1023" spans="1:17" x14ac:dyDescent="0.25">
      <c r="B1023" s="514" t="s">
        <v>6</v>
      </c>
      <c r="C1023" s="515" t="s">
        <v>0</v>
      </c>
      <c r="D1023" s="525" t="s">
        <v>8</v>
      </c>
      <c r="E1023" s="516" t="s">
        <v>4</v>
      </c>
      <c r="F1023" s="516" t="s">
        <v>3</v>
      </c>
      <c r="G1023" s="477"/>
      <c r="H1023" s="477"/>
      <c r="I1023" s="477"/>
      <c r="K1023" s="539"/>
      <c r="O1023" s="468"/>
    </row>
    <row r="1024" spans="1:17" x14ac:dyDescent="0.25">
      <c r="A1024" s="463">
        <v>152</v>
      </c>
      <c r="B1024" s="1077">
        <f>B63</f>
        <v>3.279999999999994</v>
      </c>
      <c r="C1024" s="1091">
        <f>C63</f>
        <v>1</v>
      </c>
      <c r="D1024" s="1089" t="str">
        <f>D63</f>
        <v>TABLEROS DE POTENCIA TIPO 14 (C3.1) (incluye aire acondicionado)</v>
      </c>
      <c r="E1024" s="517">
        <f>H1041</f>
        <v>321.60000000000002</v>
      </c>
      <c r="F1024" s="518">
        <f>+E1024*C1024</f>
        <v>321.60000000000002</v>
      </c>
      <c r="G1024" s="553" t="s">
        <v>450</v>
      </c>
      <c r="H1024" s="553" t="s">
        <v>1</v>
      </c>
      <c r="I1024" s="477"/>
      <c r="K1024" s="539"/>
      <c r="O1024" s="468"/>
    </row>
    <row r="1025" spans="2:17" ht="16.5" thickBot="1" x14ac:dyDescent="0.3">
      <c r="B1025" s="1078"/>
      <c r="C1025" s="1092"/>
      <c r="D1025" s="1090"/>
      <c r="E1025" s="519" t="s">
        <v>50</v>
      </c>
      <c r="F1025" s="520" t="s">
        <v>50</v>
      </c>
      <c r="G1025" s="553" t="s">
        <v>50</v>
      </c>
      <c r="H1025" s="553" t="s">
        <v>50</v>
      </c>
      <c r="I1025" s="477"/>
      <c r="K1025" s="539"/>
      <c r="O1025" s="468"/>
    </row>
    <row r="1026" spans="2:17" ht="16.5" thickBot="1" x14ac:dyDescent="0.3">
      <c r="B1026" s="490"/>
      <c r="C1026" s="526"/>
      <c r="D1026" s="463" t="s">
        <v>558</v>
      </c>
      <c r="E1026" s="491"/>
      <c r="F1026" s="492"/>
      <c r="G1026" s="561" t="str">
        <f>IFERROR(VLOOKUP(D1026,'Precios Equipos'!$C$1:$F$2047,3,0),"")</f>
        <v/>
      </c>
      <c r="H1026" s="561" t="str">
        <f t="shared" ref="H1026:H1035" si="100">IFERROR(G1026*C1026,"")</f>
        <v/>
      </c>
      <c r="I1026" s="477"/>
      <c r="K1026" s="539"/>
      <c r="L1026" s="540" t="s">
        <v>451</v>
      </c>
      <c r="M1026" s="541"/>
      <c r="O1026" s="468"/>
    </row>
    <row r="1027" spans="2:17" ht="16.5" thickBot="1" x14ac:dyDescent="0.3">
      <c r="B1027" s="493"/>
      <c r="C1027" s="526">
        <v>1</v>
      </c>
      <c r="D1027" s="558" t="str">
        <f>+'Precios Equipos'!$C$196</f>
        <v>Gabinete Autosoportado 2200x1200(2 Puertas)x700mm. (Alto x ancho x profundidad)</v>
      </c>
      <c r="F1027" s="495"/>
      <c r="G1027" s="561">
        <f>IFERROR(VLOOKUP(D1027,'Precios Equipos'!$C$1:$F$2047,3,0),"")</f>
        <v>20</v>
      </c>
      <c r="H1027" s="561">
        <f t="shared" si="100"/>
        <v>20</v>
      </c>
      <c r="I1027" s="561">
        <f>SUM(H1027)</f>
        <v>20</v>
      </c>
      <c r="J1027" s="924">
        <f>+I1027/H1039</f>
        <v>7.4626865671641784E-2</v>
      </c>
      <c r="K1027" s="539"/>
      <c r="L1027" s="542" t="s">
        <v>88</v>
      </c>
      <c r="M1027" s="543" t="s">
        <v>85</v>
      </c>
      <c r="Q1027" s="465">
        <f>+C1027*$C$1024</f>
        <v>1</v>
      </c>
    </row>
    <row r="1028" spans="2:17" x14ac:dyDescent="0.25">
      <c r="B1028" s="493"/>
      <c r="C1028" s="526"/>
      <c r="D1028" s="494"/>
      <c r="F1028" s="495"/>
      <c r="G1028" s="561" t="str">
        <f>IFERROR(VLOOKUP(D1028,'Precios Equipos'!$C$1:$F$2047,3,0),"")</f>
        <v/>
      </c>
      <c r="H1028" s="561" t="str">
        <f t="shared" si="100"/>
        <v/>
      </c>
      <c r="I1028" s="477"/>
      <c r="K1028" s="539"/>
      <c r="L1028" s="544" t="str">
        <f>+'Precios Equipos'!C148</f>
        <v>M. DE OBRA (TIPO 9 y 14) MONTAJE AIRE ACONDICIONADO Y ACCESORIOS</v>
      </c>
      <c r="M1028" s="545">
        <f>IFERROR(VLOOKUP(L1028,'Precios Equipos'!$C$11:$F$208,3,0),0)</f>
        <v>17</v>
      </c>
    </row>
    <row r="1029" spans="2:17" ht="16.5" thickBot="1" x14ac:dyDescent="0.3">
      <c r="B1029" s="493"/>
      <c r="C1029" s="526"/>
      <c r="D1029" s="620" t="s">
        <v>788</v>
      </c>
      <c r="F1029" s="495"/>
      <c r="G1029" s="561" t="str">
        <f>IFERROR(VLOOKUP(D1029,'Precios Equipos'!$C$1:$F$2047,3,0),"")</f>
        <v/>
      </c>
      <c r="H1029" s="561" t="str">
        <f t="shared" si="100"/>
        <v/>
      </c>
      <c r="I1029" s="477"/>
      <c r="K1029" s="539"/>
      <c r="L1029" s="544" t="str">
        <f>+'Precios Equipos'!C205</f>
        <v>Diseño Ingenieria Tableros Autosoportados</v>
      </c>
      <c r="M1029" s="545">
        <f>IFERROR(VLOOKUP(L1029,'Precios Equipos'!$C$11:$F$208,3,0),0)</f>
        <v>63</v>
      </c>
    </row>
    <row r="1030" spans="2:17" ht="16.5" thickBot="1" x14ac:dyDescent="0.3">
      <c r="B1030" s="493"/>
      <c r="C1030" s="526">
        <v>3</v>
      </c>
      <c r="D1030" s="494" t="str">
        <f>+'Precios Equipos'!C104</f>
        <v>Inversor Bidireccional 15 KVA</v>
      </c>
      <c r="E1030" s="550" t="s">
        <v>575</v>
      </c>
      <c r="F1030" s="497"/>
      <c r="G1030" s="561">
        <f>IFERROR(VLOOKUP(D1030,'Precios Equipos'!$C$1:$F$2047,3,0),"")</f>
        <v>36</v>
      </c>
      <c r="H1030" s="561">
        <f t="shared" si="100"/>
        <v>108</v>
      </c>
      <c r="I1030" s="1087">
        <f>SUM(H1030:H1033)</f>
        <v>168</v>
      </c>
      <c r="J1030" s="1088">
        <f>+I1030/H1039</f>
        <v>0.62686567164179108</v>
      </c>
      <c r="K1030" s="539"/>
      <c r="L1030" s="546" t="s">
        <v>89</v>
      </c>
      <c r="M1030" s="560">
        <f>SUM(M1028:M1029)</f>
        <v>80</v>
      </c>
      <c r="Q1030" s="465">
        <f>+C1030*$C$1024</f>
        <v>3</v>
      </c>
    </row>
    <row r="1031" spans="2:17" x14ac:dyDescent="0.25">
      <c r="B1031" s="493"/>
      <c r="C1031" s="526"/>
      <c r="D1031" s="494"/>
      <c r="F1031" s="495"/>
      <c r="G1031" s="561" t="str">
        <f>IFERROR(VLOOKUP(D1031,'Precios Equipos'!$C$1:$F$2047,3,0),"")</f>
        <v/>
      </c>
      <c r="H1031" s="561" t="str">
        <f t="shared" si="100"/>
        <v/>
      </c>
      <c r="I1031" s="1087"/>
      <c r="J1031" s="1088"/>
      <c r="K1031" s="539"/>
      <c r="O1031" s="468"/>
    </row>
    <row r="1032" spans="2:17" x14ac:dyDescent="0.25">
      <c r="B1032" s="493"/>
      <c r="C1032" s="526"/>
      <c r="D1032" s="620" t="s">
        <v>813</v>
      </c>
      <c r="F1032" s="495"/>
      <c r="G1032" s="561" t="str">
        <f>IFERROR(VLOOKUP(D1032,'Precios Equipos'!$C$1:$F$2047,3,0),"")</f>
        <v/>
      </c>
      <c r="H1032" s="561" t="str">
        <f t="shared" si="100"/>
        <v/>
      </c>
      <c r="I1032" s="1087"/>
      <c r="J1032" s="1088"/>
      <c r="K1032" s="539"/>
      <c r="L1032" s="593"/>
      <c r="M1032" s="594"/>
      <c r="O1032" s="468"/>
    </row>
    <row r="1033" spans="2:17" x14ac:dyDescent="0.25">
      <c r="B1033" s="493"/>
      <c r="C1033" s="526">
        <v>2</v>
      </c>
      <c r="D1033" s="494" t="str">
        <f>+'Precios Equipos'!$C$95</f>
        <v>Aire Acondicionado 1250W</v>
      </c>
      <c r="F1033" s="495"/>
      <c r="G1033" s="561">
        <f>IFERROR(VLOOKUP(D1033,'Precios Equipos'!$C$1:$F$2047,3,0),"")</f>
        <v>30</v>
      </c>
      <c r="H1033" s="561">
        <f t="shared" si="100"/>
        <v>60</v>
      </c>
      <c r="I1033" s="1087"/>
      <c r="J1033" s="1088"/>
      <c r="K1033" s="539"/>
      <c r="L1033" s="593"/>
      <c r="M1033" s="594"/>
      <c r="O1033" s="468"/>
      <c r="Q1033" s="465">
        <f>+C1033*$C$1024</f>
        <v>2</v>
      </c>
    </row>
    <row r="1034" spans="2:17" x14ac:dyDescent="0.25">
      <c r="B1034" s="493"/>
      <c r="C1034" s="526"/>
      <c r="D1034" s="494"/>
      <c r="F1034" s="495"/>
      <c r="G1034" s="561"/>
      <c r="H1034" s="561"/>
      <c r="I1034" s="477"/>
      <c r="K1034" s="539"/>
      <c r="L1034" s="593"/>
      <c r="M1034" s="594"/>
      <c r="O1034" s="468"/>
    </row>
    <row r="1035" spans="2:17" x14ac:dyDescent="0.25">
      <c r="B1035" s="493"/>
      <c r="C1035" s="526"/>
      <c r="D1035" s="620" t="s">
        <v>87</v>
      </c>
      <c r="F1035" s="495"/>
      <c r="G1035" s="561" t="str">
        <f>IFERROR(VLOOKUP(D1035,'Precios Equipos'!$C$1:$F$2047,3,0),"")</f>
        <v/>
      </c>
      <c r="H1035" s="561" t="str">
        <f t="shared" si="100"/>
        <v/>
      </c>
      <c r="I1035" s="477"/>
      <c r="K1035" s="539"/>
      <c r="O1035" s="468"/>
    </row>
    <row r="1036" spans="2:17" x14ac:dyDescent="0.25">
      <c r="B1036" s="493"/>
      <c r="C1036" s="526">
        <v>1</v>
      </c>
      <c r="D1036" s="494" t="s">
        <v>49</v>
      </c>
      <c r="F1036" s="495"/>
      <c r="G1036" s="561"/>
      <c r="H1036" s="561">
        <f>M1030</f>
        <v>80</v>
      </c>
      <c r="I1036" s="561">
        <f>SUM(H1036)</f>
        <v>80</v>
      </c>
      <c r="J1036" s="924">
        <f>+I1036/H1039</f>
        <v>0.29850746268656714</v>
      </c>
      <c r="K1036" s="539"/>
      <c r="O1036" s="468"/>
    </row>
    <row r="1037" spans="2:17" x14ac:dyDescent="0.25">
      <c r="B1037" s="493"/>
      <c r="C1037" s="526">
        <v>1</v>
      </c>
      <c r="D1037" s="494" t="s">
        <v>51</v>
      </c>
      <c r="F1037" s="495"/>
      <c r="G1037" s="561"/>
      <c r="H1037" s="561">
        <f>$O$153</f>
        <v>0</v>
      </c>
      <c r="I1037" s="1081">
        <f>SUM(H1037:H1038)</f>
        <v>0</v>
      </c>
      <c r="J1037" s="1114">
        <f>+I1037/H1039</f>
        <v>0</v>
      </c>
      <c r="K1037" s="539"/>
      <c r="O1037" s="468"/>
    </row>
    <row r="1038" spans="2:17" x14ac:dyDescent="0.25">
      <c r="B1038" s="493"/>
      <c r="C1038" s="526">
        <v>1</v>
      </c>
      <c r="D1038" s="467" t="s">
        <v>20</v>
      </c>
      <c r="F1038" s="495"/>
      <c r="G1038" s="561"/>
      <c r="H1038" s="561">
        <f>$O$154</f>
        <v>0</v>
      </c>
      <c r="I1038" s="1083"/>
      <c r="J1038" s="1115"/>
      <c r="K1038" s="539"/>
      <c r="O1038" s="468"/>
    </row>
    <row r="1039" spans="2:17" x14ac:dyDescent="0.25">
      <c r="B1039" s="493"/>
      <c r="C1039" s="526">
        <v>1</v>
      </c>
      <c r="D1039" s="467" t="s">
        <v>52</v>
      </c>
      <c r="F1039" s="495"/>
      <c r="G1039" s="553" t="s">
        <v>97</v>
      </c>
      <c r="H1039" s="561">
        <f>SUM(H1027:H1038)</f>
        <v>268</v>
      </c>
      <c r="I1039" s="477"/>
      <c r="J1039" s="924">
        <f>SUM(J1027:J1038)</f>
        <v>1</v>
      </c>
      <c r="K1039" s="539"/>
      <c r="O1039" s="468"/>
    </row>
    <row r="1040" spans="2:17" x14ac:dyDescent="0.25">
      <c r="B1040" s="493"/>
      <c r="C1040" s="526">
        <v>1</v>
      </c>
      <c r="D1040" s="467" t="s">
        <v>900</v>
      </c>
      <c r="F1040" s="495"/>
      <c r="G1040" s="553" t="s">
        <v>105</v>
      </c>
      <c r="H1040" s="561">
        <f>H1039*$M$152</f>
        <v>53.6</v>
      </c>
      <c r="I1040" s="477"/>
      <c r="J1040" s="924">
        <f>J1039*$M$152</f>
        <v>0.2</v>
      </c>
      <c r="K1040" s="539"/>
      <c r="O1040" s="468"/>
    </row>
    <row r="1041" spans="2:17" x14ac:dyDescent="0.25">
      <c r="B1041" s="521"/>
      <c r="C1041" s="527" t="s">
        <v>17</v>
      </c>
      <c r="D1041" s="522" t="s">
        <v>48</v>
      </c>
      <c r="E1041" s="523"/>
      <c r="F1041" s="524"/>
      <c r="G1041" s="553" t="s">
        <v>452</v>
      </c>
      <c r="H1041" s="561">
        <f>H1039+H1040</f>
        <v>321.60000000000002</v>
      </c>
      <c r="I1041" s="477"/>
      <c r="K1041" s="539"/>
      <c r="O1041" s="468"/>
    </row>
    <row r="1042" spans="2:17" x14ac:dyDescent="0.25">
      <c r="I1042" s="477"/>
      <c r="K1042" s="539"/>
      <c r="O1042" s="468"/>
    </row>
    <row r="1043" spans="2:17" x14ac:dyDescent="0.25">
      <c r="B1043" s="514" t="s">
        <v>6</v>
      </c>
      <c r="C1043" s="515" t="s">
        <v>0</v>
      </c>
      <c r="D1043" s="525" t="s">
        <v>8</v>
      </c>
      <c r="E1043" s="516" t="s">
        <v>4</v>
      </c>
      <c r="F1043" s="516" t="s">
        <v>3</v>
      </c>
      <c r="G1043" s="477"/>
      <c r="H1043" s="477"/>
      <c r="I1043" s="477"/>
      <c r="K1043" s="539"/>
      <c r="O1043" s="468"/>
    </row>
    <row r="1044" spans="2:17" x14ac:dyDescent="0.25">
      <c r="B1044" s="1077">
        <f>B64</f>
        <v>3.2899999999999938</v>
      </c>
      <c r="C1044" s="1091">
        <f>C64</f>
        <v>1</v>
      </c>
      <c r="D1044" s="1089" t="str">
        <f>D64</f>
        <v>TABLEROS DE POTENCIA TIPO 14 (C3.2) (incluye aire acondicionado)</v>
      </c>
      <c r="E1044" s="517">
        <f>H1068</f>
        <v>4140</v>
      </c>
      <c r="F1044" s="518">
        <f>+E1044*C1044</f>
        <v>4140</v>
      </c>
      <c r="G1044" s="553" t="s">
        <v>450</v>
      </c>
      <c r="H1044" s="553" t="s">
        <v>1</v>
      </c>
      <c r="I1044" s="477"/>
      <c r="K1044" s="539"/>
      <c r="O1044" s="468"/>
    </row>
    <row r="1045" spans="2:17" x14ac:dyDescent="0.25">
      <c r="B1045" s="1078"/>
      <c r="C1045" s="1092"/>
      <c r="D1045" s="1090"/>
      <c r="E1045" s="519" t="s">
        <v>50</v>
      </c>
      <c r="F1045" s="520" t="s">
        <v>50</v>
      </c>
      <c r="G1045" s="553" t="s">
        <v>50</v>
      </c>
      <c r="H1045" s="553" t="s">
        <v>50</v>
      </c>
      <c r="I1045" s="477"/>
      <c r="K1045" s="539"/>
      <c r="O1045" s="468"/>
    </row>
    <row r="1046" spans="2:17" ht="16.5" thickBot="1" x14ac:dyDescent="0.3">
      <c r="B1046" s="490"/>
      <c r="C1046" s="526"/>
      <c r="D1046" s="463" t="s">
        <v>559</v>
      </c>
      <c r="E1046" s="491"/>
      <c r="F1046" s="492"/>
      <c r="G1046" s="561" t="str">
        <f>IFERROR(VLOOKUP(D1046,'Precios Equipos'!$C$1:$F$2047,3,0),"")</f>
        <v/>
      </c>
      <c r="H1046" s="561" t="str">
        <f t="shared" ref="H1046:H1056" si="101">IFERROR(G1046*C1046,"")</f>
        <v/>
      </c>
      <c r="I1046" s="477"/>
      <c r="K1046" s="539"/>
      <c r="O1046" s="468"/>
    </row>
    <row r="1047" spans="2:17" ht="16.5" thickBot="1" x14ac:dyDescent="0.3">
      <c r="B1047" s="493"/>
      <c r="C1047" s="526">
        <v>1</v>
      </c>
      <c r="D1047" s="558" t="str">
        <f>+'Precios Equipos'!$C$196</f>
        <v>Gabinete Autosoportado 2200x1200(2 Puertas)x700mm. (Alto x ancho x profundidad)</v>
      </c>
      <c r="F1047" s="495"/>
      <c r="G1047" s="561">
        <f>IFERROR(VLOOKUP(D1047,'Precios Equipos'!$C$1:$F$2047,3,0),"")</f>
        <v>20</v>
      </c>
      <c r="H1047" s="561">
        <f t="shared" si="101"/>
        <v>20</v>
      </c>
      <c r="I1047" s="561">
        <f>SUM(H1047)</f>
        <v>20</v>
      </c>
      <c r="J1047" s="924">
        <f>+I1047/H1066</f>
        <v>5.7971014492753624E-3</v>
      </c>
      <c r="K1047" s="539"/>
      <c r="L1047" s="540" t="s">
        <v>451</v>
      </c>
      <c r="M1047" s="541"/>
      <c r="O1047" s="468"/>
      <c r="Q1047" s="465">
        <f>+C1047*$C$1044</f>
        <v>1</v>
      </c>
    </row>
    <row r="1048" spans="2:17" ht="16.5" thickBot="1" x14ac:dyDescent="0.3">
      <c r="B1048" s="493"/>
      <c r="C1048" s="526"/>
      <c r="D1048" s="494"/>
      <c r="F1048" s="495"/>
      <c r="G1048" s="561" t="str">
        <f>IFERROR(VLOOKUP(D1048,'Precios Equipos'!$C$1:$F$2047,3,0),"")</f>
        <v/>
      </c>
      <c r="H1048" s="561" t="str">
        <f t="shared" si="101"/>
        <v/>
      </c>
      <c r="I1048" s="477"/>
      <c r="K1048" s="539"/>
      <c r="L1048" s="542" t="s">
        <v>88</v>
      </c>
      <c r="M1048" s="543" t="s">
        <v>85</v>
      </c>
      <c r="O1048" s="468"/>
    </row>
    <row r="1049" spans="2:17" x14ac:dyDescent="0.25">
      <c r="B1049" s="493"/>
      <c r="C1049" s="526"/>
      <c r="D1049" s="620" t="s">
        <v>788</v>
      </c>
      <c r="F1049" s="495"/>
      <c r="G1049" s="561" t="str">
        <f>IFERROR(VLOOKUP(D1049,'Precios Equipos'!$C$1:$F$2047,3,0),"")</f>
        <v/>
      </c>
      <c r="H1049" s="561" t="str">
        <f t="shared" si="101"/>
        <v/>
      </c>
      <c r="I1049" s="477"/>
      <c r="K1049" s="539"/>
      <c r="L1049" s="920" t="str">
        <f>+'Precios Equipos'!C148</f>
        <v>M. DE OBRA (TIPO 9 y 14) MONTAJE AIRE ACONDICIONADO Y ACCESORIOS</v>
      </c>
      <c r="M1049" s="545">
        <f>IFERROR(VLOOKUP(L1049,'Precios Equipos'!$C$11:$F$208,3,0),0)</f>
        <v>17</v>
      </c>
      <c r="O1049" s="468"/>
    </row>
    <row r="1050" spans="2:17" ht="16.5" thickBot="1" x14ac:dyDescent="0.3">
      <c r="B1050" s="493"/>
      <c r="C1050" s="526">
        <v>3</v>
      </c>
      <c r="D1050" s="494" t="str">
        <f>+'Precios Equipos'!C104</f>
        <v>Inversor Bidireccional 15 KVA</v>
      </c>
      <c r="E1050" s="550" t="s">
        <v>575</v>
      </c>
      <c r="F1050" s="497"/>
      <c r="G1050" s="561">
        <f>IFERROR(VLOOKUP(D1050,'Precios Equipos'!$C$1:$F$2047,3,0),"")</f>
        <v>36</v>
      </c>
      <c r="H1050" s="561">
        <f t="shared" si="101"/>
        <v>108</v>
      </c>
      <c r="I1050" s="1087">
        <f>SUM(H1050:H1060)</f>
        <v>3350</v>
      </c>
      <c r="J1050" s="1088">
        <f>+I1050/H1066</f>
        <v>0.97101449275362317</v>
      </c>
      <c r="K1050" s="539"/>
      <c r="L1050" s="920" t="str">
        <f>+'Precios Equipos'!C205</f>
        <v>Diseño Ingenieria Tableros Autosoportados</v>
      </c>
      <c r="M1050" s="545">
        <f>IFERROR(VLOOKUP(L1050,'Precios Equipos'!$C$11:$F$208,3,0),0)</f>
        <v>63</v>
      </c>
      <c r="O1050" s="468"/>
      <c r="Q1050" s="465">
        <f>+C1050*$C$1044</f>
        <v>3</v>
      </c>
    </row>
    <row r="1051" spans="2:17" ht="16.5" thickBot="1" x14ac:dyDescent="0.3">
      <c r="B1051" s="493"/>
      <c r="C1051" s="526"/>
      <c r="D1051" s="494"/>
      <c r="F1051" s="495"/>
      <c r="G1051" s="561" t="str">
        <f>IFERROR(VLOOKUP(D1051,'Precios Equipos'!$C$1:$F$2047,3,0),"")</f>
        <v/>
      </c>
      <c r="H1051" s="561" t="str">
        <f t="shared" si="101"/>
        <v/>
      </c>
      <c r="I1051" s="1087"/>
      <c r="J1051" s="1088"/>
      <c r="K1051" s="539"/>
      <c r="L1051" s="546" t="s">
        <v>89</v>
      </c>
      <c r="M1051" s="560">
        <f>SUM(M1049:M1050)</f>
        <v>80</v>
      </c>
    </row>
    <row r="1052" spans="2:17" x14ac:dyDescent="0.25">
      <c r="B1052" s="493"/>
      <c r="C1052" s="526"/>
      <c r="D1052" s="620" t="s">
        <v>549</v>
      </c>
      <c r="F1052" s="495"/>
      <c r="G1052" s="561" t="str">
        <f>IFERROR(VLOOKUP(D1052,'Precios Equipos'!$C$1:$F$2047,3,0),"")</f>
        <v/>
      </c>
      <c r="H1052" s="561" t="str">
        <f t="shared" si="101"/>
        <v/>
      </c>
      <c r="I1052" s="1087"/>
      <c r="J1052" s="1088"/>
      <c r="K1052" s="539"/>
    </row>
    <row r="1053" spans="2:17" x14ac:dyDescent="0.25">
      <c r="B1053" s="493"/>
      <c r="C1053" s="526">
        <v>1</v>
      </c>
      <c r="D1053" s="494" t="str">
        <f>+'Precios Equipos'!C89</f>
        <v>Centro de Control y Monitoreo de Microgridador de carga 450V/200A</v>
      </c>
      <c r="E1053" s="550" t="s">
        <v>575</v>
      </c>
      <c r="F1053" s="495"/>
      <c r="G1053" s="561">
        <f>IFERROR(VLOOKUP(D1053,'Precios Equipos'!$C$1:$F$2047,3,0),"")</f>
        <v>34</v>
      </c>
      <c r="H1053" s="561">
        <f t="shared" si="101"/>
        <v>34</v>
      </c>
      <c r="I1053" s="1087"/>
      <c r="J1053" s="1088"/>
      <c r="K1053" s="539"/>
      <c r="Q1053" s="465">
        <f>+C1053*$C$1044</f>
        <v>1</v>
      </c>
    </row>
    <row r="1054" spans="2:17" x14ac:dyDescent="0.25">
      <c r="B1054" s="493"/>
      <c r="C1054" s="526"/>
      <c r="D1054" s="494"/>
      <c r="F1054" s="495"/>
      <c r="G1054" s="561" t="str">
        <f>IFERROR(VLOOKUP(D1054,'Precios Equipos'!$C$1:$F$2047,3,0),"")</f>
        <v/>
      </c>
      <c r="H1054" s="561" t="str">
        <f t="shared" si="101"/>
        <v/>
      </c>
      <c r="I1054" s="1087"/>
      <c r="J1054" s="1088"/>
      <c r="K1054" s="539"/>
      <c r="O1054" s="468"/>
    </row>
    <row r="1055" spans="2:17" x14ac:dyDescent="0.25">
      <c r="B1055" s="493"/>
      <c r="C1055" s="526"/>
      <c r="D1055" s="620" t="s">
        <v>813</v>
      </c>
      <c r="F1055" s="495"/>
      <c r="G1055" s="561" t="str">
        <f>IFERROR(VLOOKUP(D1055,'Precios Equipos'!$C$1:$F$2047,3,0),"")</f>
        <v/>
      </c>
      <c r="H1055" s="561" t="str">
        <f t="shared" si="101"/>
        <v/>
      </c>
      <c r="I1055" s="1087"/>
      <c r="J1055" s="1088"/>
      <c r="K1055" s="539"/>
      <c r="O1055" s="468"/>
    </row>
    <row r="1056" spans="2:17" x14ac:dyDescent="0.25">
      <c r="B1056" s="493"/>
      <c r="C1056" s="526">
        <v>2</v>
      </c>
      <c r="D1056" s="494" t="str">
        <f>+'Precios Equipos'!$C$95</f>
        <v>Aire Acondicionado 1250W</v>
      </c>
      <c r="F1056" s="495"/>
      <c r="G1056" s="561">
        <f>IFERROR(VLOOKUP(D1056,'Precios Equipos'!$C$1:$F$2047,3,0),"")</f>
        <v>30</v>
      </c>
      <c r="H1056" s="561">
        <f t="shared" si="101"/>
        <v>60</v>
      </c>
      <c r="I1056" s="1087"/>
      <c r="J1056" s="1088"/>
      <c r="K1056" s="539"/>
      <c r="O1056" s="468"/>
      <c r="Q1056" s="465">
        <f>+C1056*$C$1044</f>
        <v>2</v>
      </c>
    </row>
    <row r="1057" spans="1:17" x14ac:dyDescent="0.25">
      <c r="B1057" s="493"/>
      <c r="C1057" s="526"/>
      <c r="D1057" s="494"/>
      <c r="F1057" s="495"/>
      <c r="G1057" s="561" t="str">
        <f>IFERROR(VLOOKUP(D1057,'Precios Equipos'!$C$1:$F$2047,3,0),"")</f>
        <v/>
      </c>
      <c r="H1057" s="561" t="str">
        <f t="shared" ref="H1057:H1061" si="102">IFERROR(G1057*C1057,"")</f>
        <v/>
      </c>
      <c r="I1057" s="1087"/>
      <c r="J1057" s="1088"/>
      <c r="K1057" s="539"/>
      <c r="O1057" s="468"/>
    </row>
    <row r="1058" spans="1:17" x14ac:dyDescent="0.25">
      <c r="B1058" s="493"/>
      <c r="C1058" s="526"/>
      <c r="D1058" s="620" t="s">
        <v>819</v>
      </c>
      <c r="F1058" s="495"/>
      <c r="G1058" s="561" t="str">
        <f>IFERROR(VLOOKUP(D1058,'Precios Equipos'!$C$1:$F$2047,3,0),"")</f>
        <v/>
      </c>
      <c r="H1058" s="561" t="str">
        <f t="shared" si="102"/>
        <v/>
      </c>
      <c r="I1058" s="1087"/>
      <c r="J1058" s="1088"/>
      <c r="K1058" s="539"/>
      <c r="O1058" s="468"/>
    </row>
    <row r="1059" spans="1:17" x14ac:dyDescent="0.25">
      <c r="B1059" s="493"/>
      <c r="C1059" s="526">
        <v>4</v>
      </c>
      <c r="D1059" s="468" t="str">
        <f>+'Precios Equipos'!$C$55</f>
        <v>Interruptor Riel Din 2x25A. S202M 20kA en 250VDC, ABB</v>
      </c>
      <c r="F1059" s="495"/>
      <c r="G1059" s="561">
        <f>IFERROR(VLOOKUP(D1059,'Precios Equipos'!$C$1:$F$2047,3,0),"")</f>
        <v>382</v>
      </c>
      <c r="H1059" s="561">
        <f t="shared" si="102"/>
        <v>1528</v>
      </c>
      <c r="I1059" s="1087"/>
      <c r="J1059" s="1088"/>
      <c r="K1059" s="539"/>
      <c r="O1059" s="468"/>
      <c r="Q1059" s="465">
        <f>+C1059*$C$1044</f>
        <v>4</v>
      </c>
    </row>
    <row r="1060" spans="1:17" x14ac:dyDescent="0.25">
      <c r="B1060" s="493"/>
      <c r="C1060" s="526">
        <v>4</v>
      </c>
      <c r="D1060" s="468" t="str">
        <f>+'Precios Equipos'!$C$60</f>
        <v>Protector de sobretension SPD DC 2P, 1000V DC, CLAMPER/DC SURGE PROTECCION</v>
      </c>
      <c r="F1060" s="495"/>
      <c r="G1060" s="561">
        <f>IFERROR(VLOOKUP(D1060,'Precios Equipos'!$C$1:$F$2047,3,0),"")</f>
        <v>405</v>
      </c>
      <c r="H1060" s="561">
        <f t="shared" si="102"/>
        <v>1620</v>
      </c>
      <c r="I1060" s="1087"/>
      <c r="J1060" s="1088"/>
      <c r="K1060" s="539"/>
      <c r="O1060" s="468"/>
      <c r="Q1060" s="465">
        <f>+C1060*$C$1044</f>
        <v>4</v>
      </c>
    </row>
    <row r="1061" spans="1:17" x14ac:dyDescent="0.25">
      <c r="B1061" s="493"/>
      <c r="C1061" s="526"/>
      <c r="D1061" s="494"/>
      <c r="F1061" s="495"/>
      <c r="G1061" s="561" t="str">
        <f>IFERROR(VLOOKUP(D1061,'Precios Equipos'!$C$1:$F$2047,3,0),"")</f>
        <v/>
      </c>
      <c r="H1061" s="561" t="str">
        <f t="shared" si="102"/>
        <v/>
      </c>
      <c r="I1061" s="477"/>
      <c r="K1061" s="539"/>
      <c r="O1061" s="468"/>
    </row>
    <row r="1062" spans="1:17" x14ac:dyDescent="0.25">
      <c r="B1062" s="493"/>
      <c r="C1062" s="526"/>
      <c r="D1062" s="620" t="s">
        <v>87</v>
      </c>
      <c r="F1062" s="495"/>
      <c r="G1062" s="561"/>
      <c r="H1062" s="561">
        <f>M1051</f>
        <v>80</v>
      </c>
      <c r="I1062" s="561">
        <f>SUM(H1062)</f>
        <v>80</v>
      </c>
      <c r="J1062" s="924">
        <f>+I1062/H1066</f>
        <v>2.318840579710145E-2</v>
      </c>
      <c r="K1062" s="539"/>
      <c r="O1062" s="468"/>
    </row>
    <row r="1063" spans="1:17" x14ac:dyDescent="0.25">
      <c r="B1063" s="493"/>
      <c r="C1063" s="526">
        <v>1</v>
      </c>
      <c r="D1063" s="494" t="s">
        <v>49</v>
      </c>
      <c r="F1063" s="495"/>
      <c r="G1063" s="561"/>
      <c r="H1063" s="561">
        <f>$O$153</f>
        <v>0</v>
      </c>
      <c r="I1063" s="1081">
        <f>SUM(H1063:H1064)</f>
        <v>0</v>
      </c>
      <c r="J1063" s="1114">
        <f>+I1063/H1066</f>
        <v>0</v>
      </c>
      <c r="K1063" s="539"/>
      <c r="O1063" s="468"/>
    </row>
    <row r="1064" spans="1:17" x14ac:dyDescent="0.25">
      <c r="B1064" s="493"/>
      <c r="C1064" s="526">
        <v>1</v>
      </c>
      <c r="D1064" s="494" t="s">
        <v>51</v>
      </c>
      <c r="F1064" s="495"/>
      <c r="G1064" s="561"/>
      <c r="H1064" s="561">
        <f>$O$154</f>
        <v>0</v>
      </c>
      <c r="I1064" s="1083"/>
      <c r="J1064" s="1115"/>
      <c r="K1064" s="539"/>
      <c r="O1064" s="468"/>
    </row>
    <row r="1065" spans="1:17" x14ac:dyDescent="0.25">
      <c r="B1065" s="493"/>
      <c r="C1065" s="526">
        <v>1</v>
      </c>
      <c r="D1065" s="467" t="s">
        <v>20</v>
      </c>
      <c r="F1065" s="495"/>
      <c r="G1065" s="561"/>
      <c r="H1065" s="561"/>
      <c r="I1065" s="477"/>
      <c r="K1065" s="539"/>
      <c r="O1065" s="468"/>
    </row>
    <row r="1066" spans="1:17" x14ac:dyDescent="0.25">
      <c r="B1066" s="493"/>
      <c r="C1066" s="526">
        <v>1</v>
      </c>
      <c r="D1066" s="467" t="s">
        <v>52</v>
      </c>
      <c r="F1066" s="495"/>
      <c r="G1066" s="553" t="s">
        <v>97</v>
      </c>
      <c r="H1066" s="561">
        <f>SUM(H1047:H1065)</f>
        <v>3450</v>
      </c>
      <c r="I1066" s="477"/>
      <c r="J1066" s="924">
        <f>SUM(J1047:J1064)</f>
        <v>1</v>
      </c>
      <c r="K1066" s="539"/>
      <c r="O1066" s="468"/>
    </row>
    <row r="1067" spans="1:17" x14ac:dyDescent="0.25">
      <c r="B1067" s="493"/>
      <c r="C1067" s="526">
        <v>1</v>
      </c>
      <c r="D1067" s="467" t="s">
        <v>900</v>
      </c>
      <c r="F1067" s="495"/>
      <c r="G1067" s="553" t="s">
        <v>105</v>
      </c>
      <c r="H1067" s="561">
        <f>H1066*$M$152</f>
        <v>690</v>
      </c>
      <c r="I1067" s="477"/>
      <c r="J1067" s="924">
        <f>J1066*$M$152</f>
        <v>0.2</v>
      </c>
      <c r="K1067" s="539"/>
      <c r="O1067" s="468"/>
    </row>
    <row r="1068" spans="1:17" x14ac:dyDescent="0.25">
      <c r="B1068" s="521"/>
      <c r="C1068" s="527" t="s">
        <v>17</v>
      </c>
      <c r="D1068" s="522" t="s">
        <v>48</v>
      </c>
      <c r="E1068" s="523"/>
      <c r="F1068" s="524"/>
      <c r="G1068" s="553" t="s">
        <v>452</v>
      </c>
      <c r="H1068" s="561">
        <f>H1066+H1067</f>
        <v>4140</v>
      </c>
      <c r="I1068" s="477"/>
      <c r="K1068" s="539"/>
      <c r="O1068" s="468"/>
    </row>
    <row r="1069" spans="1:17" x14ac:dyDescent="0.25">
      <c r="I1069" s="477"/>
      <c r="K1069" s="539"/>
      <c r="O1069" s="468"/>
    </row>
    <row r="1070" spans="1:17" x14ac:dyDescent="0.25">
      <c r="B1070" s="514" t="s">
        <v>6</v>
      </c>
      <c r="C1070" s="515" t="s">
        <v>0</v>
      </c>
      <c r="D1070" s="525" t="s">
        <v>8</v>
      </c>
      <c r="E1070" s="516" t="s">
        <v>4</v>
      </c>
      <c r="F1070" s="516" t="s">
        <v>3</v>
      </c>
      <c r="G1070" s="477"/>
      <c r="H1070" s="477"/>
      <c r="I1070" s="477"/>
      <c r="K1070" s="539"/>
      <c r="O1070" s="468"/>
    </row>
    <row r="1071" spans="1:17" x14ac:dyDescent="0.25">
      <c r="A1071" s="463">
        <v>161</v>
      </c>
      <c r="B1071" s="1077">
        <f>B65</f>
        <v>3.2999999999999936</v>
      </c>
      <c r="C1071" s="1091">
        <f>C65</f>
        <v>1</v>
      </c>
      <c r="D1071" s="1089" t="str">
        <f>D65</f>
        <v>TABLEROS DE POTENCIA TIPO 14 (C3.3) (incluye aire acondicionado)</v>
      </c>
      <c r="E1071" s="517">
        <f>H1088</f>
        <v>321.60000000000002</v>
      </c>
      <c r="F1071" s="518">
        <f>+E1071*C1071</f>
        <v>321.60000000000002</v>
      </c>
      <c r="G1071" s="553" t="s">
        <v>450</v>
      </c>
      <c r="H1071" s="553" t="s">
        <v>1</v>
      </c>
      <c r="I1071" s="477"/>
      <c r="K1071" s="539"/>
      <c r="O1071" s="468"/>
    </row>
    <row r="1072" spans="1:17" x14ac:dyDescent="0.25">
      <c r="B1072" s="1078"/>
      <c r="C1072" s="1092"/>
      <c r="D1072" s="1090"/>
      <c r="E1072" s="519" t="s">
        <v>50</v>
      </c>
      <c r="F1072" s="520" t="s">
        <v>50</v>
      </c>
      <c r="G1072" s="553" t="s">
        <v>50</v>
      </c>
      <c r="H1072" s="553" t="s">
        <v>50</v>
      </c>
      <c r="I1072" s="477"/>
      <c r="K1072" s="539"/>
      <c r="O1072" s="468"/>
    </row>
    <row r="1073" spans="2:17" ht="16.5" thickBot="1" x14ac:dyDescent="0.3">
      <c r="B1073" s="490"/>
      <c r="C1073" s="526"/>
      <c r="D1073" s="463" t="s">
        <v>560</v>
      </c>
      <c r="E1073" s="491"/>
      <c r="F1073" s="492"/>
      <c r="G1073" s="561" t="str">
        <f>IFERROR(VLOOKUP(D1073,'Precios Equipos'!$C$1:$F$2047,3,0),"")</f>
        <v/>
      </c>
      <c r="H1073" s="561" t="str">
        <f t="shared" ref="H1073:H1079" si="103">IFERROR(G1073*C1073,"")</f>
        <v/>
      </c>
      <c r="I1073" s="477"/>
      <c r="K1073" s="539"/>
      <c r="O1073" s="468"/>
    </row>
    <row r="1074" spans="2:17" ht="16.5" thickBot="1" x14ac:dyDescent="0.3">
      <c r="B1074" s="493"/>
      <c r="C1074" s="526">
        <v>1</v>
      </c>
      <c r="D1074" s="558" t="str">
        <f>+'Precios Equipos'!$C$196</f>
        <v>Gabinete Autosoportado 2200x1200(2 Puertas)x700mm. (Alto x ancho x profundidad)</v>
      </c>
      <c r="F1074" s="495"/>
      <c r="G1074" s="561">
        <f>IFERROR(VLOOKUP(D1074,'Precios Equipos'!$C$1:$F$2047,3,0),"")</f>
        <v>20</v>
      </c>
      <c r="H1074" s="561">
        <f>IFERROR(G1074*C1074,"")</f>
        <v>20</v>
      </c>
      <c r="I1074" s="561">
        <f>SUM(H1074)</f>
        <v>20</v>
      </c>
      <c r="J1074" s="924">
        <f>+I1074/H1086</f>
        <v>7.4626865671641784E-2</v>
      </c>
      <c r="K1074" s="539"/>
      <c r="L1074" s="540" t="s">
        <v>451</v>
      </c>
      <c r="M1074" s="541"/>
      <c r="O1074" s="468"/>
      <c r="Q1074" s="465">
        <f>+C1074*$C$1071</f>
        <v>1</v>
      </c>
    </row>
    <row r="1075" spans="2:17" ht="16.5" thickBot="1" x14ac:dyDescent="0.3">
      <c r="B1075" s="493"/>
      <c r="C1075" s="526"/>
      <c r="D1075" s="494"/>
      <c r="F1075" s="495"/>
      <c r="G1075" s="561" t="str">
        <f>IFERROR(VLOOKUP(D1075,'Precios Equipos'!$C$1:$F$2047,3,0),"")</f>
        <v/>
      </c>
      <c r="H1075" s="561" t="str">
        <f t="shared" si="103"/>
        <v/>
      </c>
      <c r="I1075" s="477"/>
      <c r="K1075" s="539"/>
      <c r="L1075" s="542" t="s">
        <v>88</v>
      </c>
      <c r="M1075" s="543" t="s">
        <v>85</v>
      </c>
      <c r="O1075" s="468"/>
    </row>
    <row r="1076" spans="2:17" x14ac:dyDescent="0.25">
      <c r="B1076" s="493"/>
      <c r="C1076" s="526"/>
      <c r="D1076" s="620" t="s">
        <v>788</v>
      </c>
      <c r="F1076" s="495"/>
      <c r="G1076" s="561" t="str">
        <f>IFERROR(VLOOKUP(D1076,'Precios Equipos'!$C$1:$F$2047,3,0),"")</f>
        <v/>
      </c>
      <c r="H1076" s="561" t="str">
        <f t="shared" si="103"/>
        <v/>
      </c>
      <c r="I1076" s="477"/>
      <c r="K1076" s="539"/>
      <c r="L1076" s="544" t="str">
        <f>+'Precios Equipos'!C148</f>
        <v>M. DE OBRA (TIPO 9 y 14) MONTAJE AIRE ACONDICIONADO Y ACCESORIOS</v>
      </c>
      <c r="M1076" s="545">
        <f>IFERROR(VLOOKUP(L1076,'Precios Equipos'!$C$11:$F$208,3,0),0)</f>
        <v>17</v>
      </c>
      <c r="O1076" s="468"/>
    </row>
    <row r="1077" spans="2:17" ht="16.5" thickBot="1" x14ac:dyDescent="0.3">
      <c r="B1077" s="493"/>
      <c r="C1077" s="526">
        <v>3</v>
      </c>
      <c r="D1077" s="494" t="str">
        <f>+'Precios Equipos'!C104</f>
        <v>Inversor Bidireccional 15 KVA</v>
      </c>
      <c r="E1077" s="550" t="s">
        <v>575</v>
      </c>
      <c r="F1077" s="497"/>
      <c r="G1077" s="561">
        <f>IFERROR(VLOOKUP(D1077,'Precios Equipos'!$C$1:$F$2047,3,0),"")</f>
        <v>36</v>
      </c>
      <c r="H1077" s="561">
        <f t="shared" si="103"/>
        <v>108</v>
      </c>
      <c r="I1077" s="1087">
        <f>SUM(H1077:H1080)</f>
        <v>168</v>
      </c>
      <c r="J1077" s="1088">
        <f>+I1077/H1086</f>
        <v>0.62686567164179108</v>
      </c>
      <c r="K1077" s="539"/>
      <c r="L1077" s="544" t="str">
        <f>+'Precios Equipos'!C205</f>
        <v>Diseño Ingenieria Tableros Autosoportados</v>
      </c>
      <c r="M1077" s="545">
        <f>IFERROR(VLOOKUP(L1077,'Precios Equipos'!$C$11:$F$208,3,0),0)</f>
        <v>63</v>
      </c>
      <c r="Q1077" s="465">
        <f>+C1077*$C$1071</f>
        <v>3</v>
      </c>
    </row>
    <row r="1078" spans="2:17" ht="16.5" thickBot="1" x14ac:dyDescent="0.3">
      <c r="B1078" s="493"/>
      <c r="C1078" s="526"/>
      <c r="D1078" s="494"/>
      <c r="F1078" s="495"/>
      <c r="G1078" s="561" t="str">
        <f>IFERROR(VLOOKUP(D1078,'Precios Equipos'!$C$1:$F$2047,3,0),"")</f>
        <v/>
      </c>
      <c r="H1078" s="561" t="str">
        <f t="shared" si="103"/>
        <v/>
      </c>
      <c r="I1078" s="1087"/>
      <c r="J1078" s="1088"/>
      <c r="K1078" s="539"/>
      <c r="L1078" s="546" t="s">
        <v>89</v>
      </c>
      <c r="M1078" s="560">
        <f>SUM(M1076:M1077)</f>
        <v>80</v>
      </c>
      <c r="O1078" s="468"/>
    </row>
    <row r="1079" spans="2:17" x14ac:dyDescent="0.25">
      <c r="B1079" s="493"/>
      <c r="C1079" s="526"/>
      <c r="D1079" s="620" t="s">
        <v>813</v>
      </c>
      <c r="F1079" s="495"/>
      <c r="G1079" s="561" t="str">
        <f>IFERROR(VLOOKUP(D1079,'Precios Equipos'!$C$1:$F$2047,3,0),"")</f>
        <v/>
      </c>
      <c r="H1079" s="561" t="str">
        <f t="shared" si="103"/>
        <v/>
      </c>
      <c r="I1079" s="1087"/>
      <c r="J1079" s="1088"/>
      <c r="K1079" s="539"/>
      <c r="O1079" s="468"/>
    </row>
    <row r="1080" spans="2:17" x14ac:dyDescent="0.25">
      <c r="B1080" s="493"/>
      <c r="C1080" s="526">
        <v>2</v>
      </c>
      <c r="D1080" s="494" t="str">
        <f>+'Precios Equipos'!$C$95</f>
        <v>Aire Acondicionado 1250W</v>
      </c>
      <c r="F1080" s="495"/>
      <c r="G1080" s="561">
        <f>IFERROR(VLOOKUP(D1080,'Precios Equipos'!$C$1:$F$2047,3,0),"")</f>
        <v>30</v>
      </c>
      <c r="H1080" s="561">
        <f>IFERROR(G1080*C1080,"")</f>
        <v>60</v>
      </c>
      <c r="I1080" s="1087"/>
      <c r="J1080" s="1088"/>
      <c r="K1080" s="539"/>
      <c r="L1080" s="467"/>
      <c r="M1080" s="500"/>
      <c r="O1080" s="468"/>
      <c r="Q1080" s="465">
        <f>+C1080*$C$1071</f>
        <v>2</v>
      </c>
    </row>
    <row r="1081" spans="2:17" x14ac:dyDescent="0.25">
      <c r="B1081" s="493"/>
      <c r="C1081" s="526"/>
      <c r="D1081" s="494"/>
      <c r="F1081" s="495"/>
      <c r="G1081" s="561"/>
      <c r="H1081" s="561"/>
      <c r="I1081" s="477"/>
      <c r="K1081" s="539"/>
      <c r="L1081" s="467"/>
      <c r="M1081" s="500"/>
      <c r="O1081" s="468"/>
    </row>
    <row r="1082" spans="2:17" x14ac:dyDescent="0.25">
      <c r="B1082" s="493"/>
      <c r="C1082" s="526"/>
      <c r="D1082" s="620" t="s">
        <v>87</v>
      </c>
      <c r="F1082" s="495"/>
      <c r="G1082" s="561"/>
      <c r="H1082" s="561">
        <f>M1078</f>
        <v>80</v>
      </c>
      <c r="I1082" s="561">
        <f>SUM(H1082)</f>
        <v>80</v>
      </c>
      <c r="J1082" s="924">
        <f>+I1082/H1086</f>
        <v>0.29850746268656714</v>
      </c>
      <c r="K1082" s="539"/>
      <c r="O1082" s="468"/>
    </row>
    <row r="1083" spans="2:17" x14ac:dyDescent="0.25">
      <c r="B1083" s="493"/>
      <c r="C1083" s="526">
        <v>1</v>
      </c>
      <c r="D1083" s="494" t="s">
        <v>49</v>
      </c>
      <c r="F1083" s="495"/>
      <c r="G1083" s="561"/>
      <c r="H1083" s="561">
        <f>$O$153</f>
        <v>0</v>
      </c>
      <c r="I1083" s="1087">
        <f>SUM(H1083:H1084)</f>
        <v>0</v>
      </c>
      <c r="J1083" s="1088">
        <f>+I1083/H1086</f>
        <v>0</v>
      </c>
      <c r="K1083" s="539"/>
      <c r="O1083" s="468"/>
    </row>
    <row r="1084" spans="2:17" x14ac:dyDescent="0.25">
      <c r="B1084" s="493"/>
      <c r="C1084" s="526">
        <v>1</v>
      </c>
      <c r="D1084" s="494" t="s">
        <v>51</v>
      </c>
      <c r="F1084" s="495"/>
      <c r="G1084" s="561"/>
      <c r="H1084" s="561">
        <f>$O$154</f>
        <v>0</v>
      </c>
      <c r="I1084" s="1087"/>
      <c r="J1084" s="1088"/>
      <c r="K1084" s="539"/>
      <c r="O1084" s="468"/>
    </row>
    <row r="1085" spans="2:17" x14ac:dyDescent="0.25">
      <c r="B1085" s="493"/>
      <c r="C1085" s="526">
        <v>1</v>
      </c>
      <c r="D1085" s="467" t="s">
        <v>20</v>
      </c>
      <c r="F1085" s="495"/>
      <c r="G1085" s="561"/>
      <c r="H1085" s="561"/>
      <c r="I1085" s="477"/>
      <c r="K1085" s="539"/>
      <c r="O1085" s="468"/>
    </row>
    <row r="1086" spans="2:17" x14ac:dyDescent="0.25">
      <c r="B1086" s="493"/>
      <c r="C1086" s="526">
        <v>1</v>
      </c>
      <c r="D1086" s="467" t="s">
        <v>52</v>
      </c>
      <c r="F1086" s="495"/>
      <c r="G1086" s="553" t="s">
        <v>97</v>
      </c>
      <c r="H1086" s="561">
        <f>SUM(H1074:H1085)</f>
        <v>268</v>
      </c>
      <c r="I1086" s="477"/>
      <c r="J1086" s="924">
        <f>SUM(J1074:J1084)</f>
        <v>1</v>
      </c>
      <c r="K1086" s="539"/>
      <c r="O1086" s="468"/>
    </row>
    <row r="1087" spans="2:17" x14ac:dyDescent="0.25">
      <c r="B1087" s="493"/>
      <c r="C1087" s="526">
        <v>1</v>
      </c>
      <c r="D1087" s="467" t="s">
        <v>900</v>
      </c>
      <c r="F1087" s="495"/>
      <c r="G1087" s="553" t="s">
        <v>105</v>
      </c>
      <c r="H1087" s="561">
        <f>H1086*$M$152</f>
        <v>53.6</v>
      </c>
      <c r="I1087" s="477"/>
      <c r="J1087" s="924">
        <f>J1086*$M$152</f>
        <v>0.2</v>
      </c>
      <c r="K1087" s="539"/>
      <c r="O1087" s="468"/>
    </row>
    <row r="1088" spans="2:17" x14ac:dyDescent="0.25">
      <c r="B1088" s="521"/>
      <c r="C1088" s="527" t="s">
        <v>17</v>
      </c>
      <c r="D1088" s="522" t="s">
        <v>48</v>
      </c>
      <c r="E1088" s="523"/>
      <c r="F1088" s="524"/>
      <c r="G1088" s="553" t="s">
        <v>452</v>
      </c>
      <c r="H1088" s="561">
        <f>H1086+H1087</f>
        <v>321.60000000000002</v>
      </c>
      <c r="I1088" s="477"/>
      <c r="K1088" s="539"/>
      <c r="O1088" s="468"/>
    </row>
    <row r="1089" spans="1:17" x14ac:dyDescent="0.25">
      <c r="I1089" s="477"/>
      <c r="K1089" s="539"/>
      <c r="O1089" s="468"/>
    </row>
    <row r="1090" spans="1:17" x14ac:dyDescent="0.25">
      <c r="B1090" s="514" t="s">
        <v>6</v>
      </c>
      <c r="C1090" s="515" t="s">
        <v>0</v>
      </c>
      <c r="D1090" s="556" t="s">
        <v>8</v>
      </c>
      <c r="E1090" s="597" t="s">
        <v>4</v>
      </c>
      <c r="F1090" s="516" t="s">
        <v>3</v>
      </c>
      <c r="G1090" s="477"/>
      <c r="H1090" s="477"/>
      <c r="I1090" s="477"/>
      <c r="K1090" s="539"/>
      <c r="O1090" s="468"/>
    </row>
    <row r="1091" spans="1:17" x14ac:dyDescent="0.25">
      <c r="A1091" s="463">
        <v>153</v>
      </c>
      <c r="B1091" s="1077">
        <f>B66</f>
        <v>3.3099999999999934</v>
      </c>
      <c r="C1091" s="1091">
        <f>C66</f>
        <v>1</v>
      </c>
      <c r="D1091" s="1089" t="str">
        <f>D66</f>
        <v>TABLEROS DE POTENCIA TIPO 14 (C3.4) (incluye aire acondicionado)</v>
      </c>
      <c r="E1091" s="517">
        <f>H1115</f>
        <v>4140</v>
      </c>
      <c r="F1091" s="518">
        <f>+E1091*C1091</f>
        <v>4140</v>
      </c>
      <c r="G1091" s="553" t="s">
        <v>450</v>
      </c>
      <c r="H1091" s="553" t="s">
        <v>1</v>
      </c>
      <c r="I1091" s="477"/>
      <c r="K1091" s="539"/>
      <c r="O1091" s="468"/>
    </row>
    <row r="1092" spans="1:17" x14ac:dyDescent="0.25">
      <c r="B1092" s="1078"/>
      <c r="C1092" s="1092"/>
      <c r="D1092" s="1090"/>
      <c r="E1092" s="519" t="s">
        <v>50</v>
      </c>
      <c r="F1092" s="520" t="s">
        <v>50</v>
      </c>
      <c r="G1092" s="553" t="s">
        <v>50</v>
      </c>
      <c r="H1092" s="553" t="s">
        <v>50</v>
      </c>
      <c r="I1092" s="477"/>
      <c r="K1092" s="539"/>
      <c r="O1092" s="468"/>
    </row>
    <row r="1093" spans="1:17" ht="16.5" thickBot="1" x14ac:dyDescent="0.3">
      <c r="B1093" s="490"/>
      <c r="C1093" s="526"/>
      <c r="D1093" s="463" t="s">
        <v>561</v>
      </c>
      <c r="E1093" s="491"/>
      <c r="F1093" s="492"/>
      <c r="G1093" s="561" t="str">
        <f>IFERROR(VLOOKUP(D1093,'Precios Equipos'!$C$1:$F$2047,3,0),"")</f>
        <v/>
      </c>
      <c r="H1093" s="561" t="str">
        <f t="shared" ref="H1093:H1103" si="104">IFERROR(G1093*C1093,"")</f>
        <v/>
      </c>
      <c r="I1093" s="477"/>
      <c r="K1093" s="539"/>
      <c r="O1093" s="468"/>
    </row>
    <row r="1094" spans="1:17" ht="16.5" thickBot="1" x14ac:dyDescent="0.3">
      <c r="B1094" s="493"/>
      <c r="C1094" s="526">
        <v>1</v>
      </c>
      <c r="D1094" s="558" t="str">
        <f>+'Precios Equipos'!$C$196</f>
        <v>Gabinete Autosoportado 2200x1200(2 Puertas)x700mm. (Alto x ancho x profundidad)</v>
      </c>
      <c r="F1094" s="495"/>
      <c r="G1094" s="561">
        <f>IFERROR(VLOOKUP(D1094,'Precios Equipos'!$C$1:$F$2047,3,0),"")</f>
        <v>20</v>
      </c>
      <c r="H1094" s="561">
        <f>IFERROR(G1094*C1094,"")</f>
        <v>20</v>
      </c>
      <c r="I1094" s="561">
        <f>SUM(H1094)</f>
        <v>20</v>
      </c>
      <c r="J1094" s="924">
        <f>+I1094/H1113</f>
        <v>5.7971014492753624E-3</v>
      </c>
      <c r="K1094" s="539"/>
      <c r="L1094" s="540" t="s">
        <v>451</v>
      </c>
      <c r="M1094" s="541"/>
      <c r="O1094" s="468"/>
      <c r="Q1094" s="465">
        <f>+C1094*$C$1091</f>
        <v>1</v>
      </c>
    </row>
    <row r="1095" spans="1:17" ht="16.5" thickBot="1" x14ac:dyDescent="0.3">
      <c r="B1095" s="493"/>
      <c r="C1095" s="526"/>
      <c r="D1095" s="494"/>
      <c r="F1095" s="495"/>
      <c r="G1095" s="561" t="str">
        <f>IFERROR(VLOOKUP(D1095,'Precios Equipos'!$C$1:$F$2047,3,0),"")</f>
        <v/>
      </c>
      <c r="H1095" s="561" t="str">
        <f t="shared" si="104"/>
        <v/>
      </c>
      <c r="I1095" s="477"/>
      <c r="K1095" s="539"/>
      <c r="L1095" s="542" t="s">
        <v>88</v>
      </c>
      <c r="M1095" s="543" t="s">
        <v>85</v>
      </c>
      <c r="O1095" s="468"/>
    </row>
    <row r="1096" spans="1:17" x14ac:dyDescent="0.25">
      <c r="B1096" s="493"/>
      <c r="C1096" s="526"/>
      <c r="D1096" s="620" t="s">
        <v>788</v>
      </c>
      <c r="F1096" s="495"/>
      <c r="G1096" s="561" t="str">
        <f>IFERROR(VLOOKUP(D1096,'Precios Equipos'!$C$1:$F$2047,3,0),"")</f>
        <v/>
      </c>
      <c r="H1096" s="561" t="str">
        <f t="shared" si="104"/>
        <v/>
      </c>
      <c r="I1096" s="477"/>
      <c r="K1096" s="539"/>
      <c r="L1096" s="920" t="str">
        <f>+'Precios Equipos'!C148</f>
        <v>M. DE OBRA (TIPO 9 y 14) MONTAJE AIRE ACONDICIONADO Y ACCESORIOS</v>
      </c>
      <c r="M1096" s="545">
        <f>IFERROR(VLOOKUP(L1096,'Precios Equipos'!$C$11:$F$208,3,0),0)</f>
        <v>17</v>
      </c>
      <c r="O1096" s="468"/>
    </row>
    <row r="1097" spans="1:17" x14ac:dyDescent="0.25">
      <c r="B1097" s="493"/>
      <c r="C1097" s="526">
        <v>3</v>
      </c>
      <c r="D1097" s="494" t="str">
        <f>+'Precios Equipos'!C104</f>
        <v>Inversor Bidireccional 15 KVA</v>
      </c>
      <c r="E1097" s="550" t="s">
        <v>575</v>
      </c>
      <c r="F1097" s="497"/>
      <c r="G1097" s="561">
        <f>IFERROR(VLOOKUP(D1097,'Precios Equipos'!$C$1:$F$2047,3,0),"")</f>
        <v>36</v>
      </c>
      <c r="H1097" s="561">
        <f t="shared" si="104"/>
        <v>108</v>
      </c>
      <c r="I1097" s="1087">
        <f>SUM(H1097:H1107)</f>
        <v>3350</v>
      </c>
      <c r="J1097" s="1088">
        <f>+I1097/H1113</f>
        <v>0.97101449275362317</v>
      </c>
      <c r="K1097" s="539"/>
      <c r="L1097" s="920" t="str">
        <f>+'Precios Equipos'!C205</f>
        <v>Diseño Ingenieria Tableros Autosoportados</v>
      </c>
      <c r="M1097" s="545">
        <f>IFERROR(VLOOKUP(L1097,'Precios Equipos'!$C$11:$F$208,3,0),0)</f>
        <v>63</v>
      </c>
      <c r="O1097" s="468"/>
      <c r="Q1097" s="465">
        <f>+C1097*$C$1091</f>
        <v>3</v>
      </c>
    </row>
    <row r="1098" spans="1:17" x14ac:dyDescent="0.25">
      <c r="B1098" s="493"/>
      <c r="C1098" s="526"/>
      <c r="D1098" s="494"/>
      <c r="F1098" s="497"/>
      <c r="G1098" s="561" t="str">
        <f>IFERROR(VLOOKUP(D1098,'Precios Equipos'!$C$1:$F$2047,3,0),"")</f>
        <v/>
      </c>
      <c r="H1098" s="561" t="str">
        <f t="shared" si="104"/>
        <v/>
      </c>
      <c r="I1098" s="1087"/>
      <c r="J1098" s="1088"/>
      <c r="K1098" s="539"/>
      <c r="L1098" s="922"/>
      <c r="M1098" s="545"/>
    </row>
    <row r="1099" spans="1:17" ht="16.5" thickBot="1" x14ac:dyDescent="0.3">
      <c r="B1099" s="493"/>
      <c r="C1099" s="526"/>
      <c r="D1099" s="620" t="s">
        <v>549</v>
      </c>
      <c r="F1099" s="497"/>
      <c r="G1099" s="561" t="str">
        <f>IFERROR(VLOOKUP(D1099,'Precios Equipos'!$C$1:$F$2047,3,0),"")</f>
        <v/>
      </c>
      <c r="H1099" s="561" t="str">
        <f t="shared" si="104"/>
        <v/>
      </c>
      <c r="I1099" s="1087"/>
      <c r="J1099" s="1088"/>
      <c r="K1099" s="539"/>
      <c r="L1099" s="923"/>
      <c r="M1099" s="545"/>
    </row>
    <row r="1100" spans="1:17" ht="16.5" thickBot="1" x14ac:dyDescent="0.3">
      <c r="B1100" s="493"/>
      <c r="C1100" s="526">
        <v>1</v>
      </c>
      <c r="D1100" s="494" t="str">
        <f>+'Precios Equipos'!C89</f>
        <v>Centro de Control y Monitoreo de Microgridador de carga 450V/200A</v>
      </c>
      <c r="E1100" s="550" t="s">
        <v>575</v>
      </c>
      <c r="F1100" s="495"/>
      <c r="G1100" s="561">
        <f>IFERROR(VLOOKUP(D1100,'Precios Equipos'!$C$1:$F$2047,3,0),"")</f>
        <v>34</v>
      </c>
      <c r="H1100" s="561">
        <f t="shared" si="104"/>
        <v>34</v>
      </c>
      <c r="I1100" s="1087"/>
      <c r="J1100" s="1088"/>
      <c r="K1100" s="539"/>
      <c r="L1100" s="546" t="s">
        <v>89</v>
      </c>
      <c r="M1100" s="560">
        <f>SUM(M1096:M1097)</f>
        <v>80</v>
      </c>
      <c r="Q1100" s="465">
        <f>+C1100*$C$1091</f>
        <v>1</v>
      </c>
    </row>
    <row r="1101" spans="1:17" x14ac:dyDescent="0.25">
      <c r="B1101" s="493"/>
      <c r="C1101" s="526"/>
      <c r="D1101" s="494"/>
      <c r="F1101" s="495"/>
      <c r="G1101" s="561" t="str">
        <f>IFERROR(VLOOKUP(D1101,'Precios Equipos'!$C$1:$F$2047,3,0),"")</f>
        <v/>
      </c>
      <c r="H1101" s="561" t="str">
        <f t="shared" si="104"/>
        <v/>
      </c>
      <c r="I1101" s="1087"/>
      <c r="J1101" s="1088"/>
      <c r="K1101" s="539"/>
    </row>
    <row r="1102" spans="1:17" x14ac:dyDescent="0.25">
      <c r="B1102" s="493"/>
      <c r="C1102" s="526"/>
      <c r="D1102" s="620" t="s">
        <v>813</v>
      </c>
      <c r="F1102" s="495"/>
      <c r="G1102" s="561" t="str">
        <f>IFERROR(VLOOKUP(D1102,'Precios Equipos'!$C$1:$F$2047,3,0),"")</f>
        <v/>
      </c>
      <c r="H1102" s="561" t="str">
        <f t="shared" si="104"/>
        <v/>
      </c>
      <c r="I1102" s="1087"/>
      <c r="J1102" s="1088"/>
      <c r="K1102" s="539"/>
    </row>
    <row r="1103" spans="1:17" x14ac:dyDescent="0.25">
      <c r="B1103" s="493"/>
      <c r="C1103" s="526">
        <v>2</v>
      </c>
      <c r="D1103" s="494" t="str">
        <f>+'Precios Equipos'!$C$95</f>
        <v>Aire Acondicionado 1250W</v>
      </c>
      <c r="F1103" s="495"/>
      <c r="G1103" s="561">
        <f>IFERROR(VLOOKUP(D1103,'Precios Equipos'!$C$1:$F$2047,3,0),"")</f>
        <v>30</v>
      </c>
      <c r="H1103" s="561">
        <f t="shared" si="104"/>
        <v>60</v>
      </c>
      <c r="I1103" s="1087"/>
      <c r="J1103" s="1088"/>
      <c r="K1103" s="539"/>
      <c r="Q1103" s="465">
        <f>+C1103*$C$1091</f>
        <v>2</v>
      </c>
    </row>
    <row r="1104" spans="1:17" x14ac:dyDescent="0.25">
      <c r="B1104" s="493"/>
      <c r="C1104" s="526"/>
      <c r="D1104" s="494"/>
      <c r="F1104" s="495"/>
      <c r="G1104" s="561" t="str">
        <f>IFERROR(VLOOKUP(D1104,'Precios Equipos'!$C$1:$F$2047,3,0),"")</f>
        <v/>
      </c>
      <c r="H1104" s="561" t="str">
        <f t="shared" ref="H1104:H1107" si="105">IFERROR(G1104*C1104,"")</f>
        <v/>
      </c>
      <c r="I1104" s="1087"/>
      <c r="J1104" s="1088"/>
      <c r="K1104" s="539"/>
    </row>
    <row r="1105" spans="1:18" x14ac:dyDescent="0.25">
      <c r="B1105" s="493"/>
      <c r="C1105" s="526"/>
      <c r="D1105" s="620" t="s">
        <v>819</v>
      </c>
      <c r="F1105" s="495"/>
      <c r="G1105" s="561" t="str">
        <f>IFERROR(VLOOKUP(D1105,'Precios Equipos'!$C$1:$F$2047,3,0),"")</f>
        <v/>
      </c>
      <c r="H1105" s="561" t="str">
        <f t="shared" si="105"/>
        <v/>
      </c>
      <c r="I1105" s="1087"/>
      <c r="J1105" s="1088"/>
      <c r="K1105" s="539"/>
    </row>
    <row r="1106" spans="1:18" x14ac:dyDescent="0.25">
      <c r="B1106" s="493"/>
      <c r="C1106" s="526">
        <v>4</v>
      </c>
      <c r="D1106" s="468" t="str">
        <f>+'Precios Equipos'!$C$55</f>
        <v>Interruptor Riel Din 2x25A. S202M 20kA en 250VDC, ABB</v>
      </c>
      <c r="F1106" s="495"/>
      <c r="G1106" s="561">
        <f>IFERROR(VLOOKUP(D1106,'Precios Equipos'!$C$1:$F$2047,3,0),"")</f>
        <v>382</v>
      </c>
      <c r="H1106" s="561">
        <f t="shared" si="105"/>
        <v>1528</v>
      </c>
      <c r="I1106" s="1087"/>
      <c r="J1106" s="1088"/>
      <c r="K1106" s="539"/>
      <c r="Q1106" s="465">
        <f>+C1106*$C$1091</f>
        <v>4</v>
      </c>
    </row>
    <row r="1107" spans="1:18" x14ac:dyDescent="0.25">
      <c r="B1107" s="493"/>
      <c r="C1107" s="526">
        <v>4</v>
      </c>
      <c r="D1107" s="468" t="str">
        <f>+'Precios Equipos'!$C$60</f>
        <v>Protector de sobretension SPD DC 2P, 1000V DC, CLAMPER/DC SURGE PROTECCION</v>
      </c>
      <c r="F1107" s="495"/>
      <c r="G1107" s="561">
        <f>IFERROR(VLOOKUP(D1107,'Precios Equipos'!$C$1:$F$2047,3,0),"")</f>
        <v>405</v>
      </c>
      <c r="H1107" s="561">
        <f t="shared" si="105"/>
        <v>1620</v>
      </c>
      <c r="I1107" s="1087"/>
      <c r="J1107" s="1088"/>
      <c r="K1107" s="539"/>
      <c r="Q1107" s="465">
        <f>+C1107*$C$1091</f>
        <v>4</v>
      </c>
    </row>
    <row r="1108" spans="1:18" x14ac:dyDescent="0.25">
      <c r="B1108" s="493"/>
      <c r="C1108" s="526"/>
      <c r="D1108" s="494"/>
      <c r="F1108" s="495"/>
      <c r="G1108" s="561"/>
      <c r="H1108" s="561"/>
      <c r="I1108" s="477"/>
      <c r="K1108" s="539"/>
    </row>
    <row r="1109" spans="1:18" x14ac:dyDescent="0.25">
      <c r="B1109" s="493"/>
      <c r="C1109" s="526"/>
      <c r="D1109" s="620" t="s">
        <v>87</v>
      </c>
      <c r="F1109" s="495"/>
      <c r="G1109" s="561"/>
      <c r="H1109" s="561">
        <f>M1100</f>
        <v>80</v>
      </c>
      <c r="I1109" s="561">
        <f>SUM(H1109)</f>
        <v>80</v>
      </c>
      <c r="J1109" s="924">
        <f>+I1109/H1113</f>
        <v>2.318840579710145E-2</v>
      </c>
      <c r="K1109" s="539"/>
    </row>
    <row r="1110" spans="1:18" x14ac:dyDescent="0.25">
      <c r="B1110" s="493"/>
      <c r="C1110" s="526">
        <v>1</v>
      </c>
      <c r="D1110" s="494" t="s">
        <v>49</v>
      </c>
      <c r="F1110" s="495"/>
      <c r="G1110" s="561"/>
      <c r="H1110" s="561">
        <f>$O$153</f>
        <v>0</v>
      </c>
      <c r="I1110" s="1081">
        <f>SUM(H1110:H1111)</f>
        <v>0</v>
      </c>
      <c r="J1110" s="1114">
        <f>+I1110/H1113</f>
        <v>0</v>
      </c>
      <c r="K1110" s="539"/>
    </row>
    <row r="1111" spans="1:18" x14ac:dyDescent="0.25">
      <c r="B1111" s="493"/>
      <c r="C1111" s="526">
        <v>1</v>
      </c>
      <c r="D1111" s="494" t="s">
        <v>51</v>
      </c>
      <c r="F1111" s="495"/>
      <c r="G1111" s="561"/>
      <c r="H1111" s="561">
        <f>$O$154</f>
        <v>0</v>
      </c>
      <c r="I1111" s="1083"/>
      <c r="J1111" s="1115"/>
      <c r="K1111" s="539"/>
    </row>
    <row r="1112" spans="1:18" x14ac:dyDescent="0.25">
      <c r="B1112" s="493"/>
      <c r="C1112" s="526">
        <v>1</v>
      </c>
      <c r="D1112" s="467" t="s">
        <v>20</v>
      </c>
      <c r="F1112" s="495"/>
      <c r="G1112" s="561"/>
      <c r="H1112" s="561"/>
      <c r="I1112" s="477"/>
      <c r="K1112" s="539"/>
      <c r="L1112" s="467"/>
      <c r="M1112" s="467"/>
      <c r="N1112" s="467"/>
      <c r="O1112" s="494"/>
    </row>
    <row r="1113" spans="1:18" x14ac:dyDescent="0.25">
      <c r="B1113" s="493"/>
      <c r="C1113" s="526">
        <v>1</v>
      </c>
      <c r="D1113" s="467" t="s">
        <v>52</v>
      </c>
      <c r="F1113" s="495"/>
      <c r="G1113" s="553" t="s">
        <v>97</v>
      </c>
      <c r="H1113" s="561">
        <f>SUM(H1094:H1112)</f>
        <v>3450</v>
      </c>
      <c r="I1113" s="477"/>
      <c r="J1113" s="924">
        <f>SUM(J1094:J1111)</f>
        <v>1</v>
      </c>
      <c r="K1113" s="539"/>
    </row>
    <row r="1114" spans="1:18" x14ac:dyDescent="0.25">
      <c r="B1114" s="493"/>
      <c r="C1114" s="526">
        <v>1</v>
      </c>
      <c r="D1114" s="467" t="s">
        <v>900</v>
      </c>
      <c r="F1114" s="495"/>
      <c r="G1114" s="553" t="s">
        <v>105</v>
      </c>
      <c r="H1114" s="561">
        <f>H1113*$M$152</f>
        <v>690</v>
      </c>
      <c r="I1114" s="477"/>
      <c r="J1114" s="924">
        <f>J1113*$M$152</f>
        <v>0.2</v>
      </c>
      <c r="K1114" s="539"/>
      <c r="O1114" s="468"/>
    </row>
    <row r="1115" spans="1:18" x14ac:dyDescent="0.25">
      <c r="B1115" s="521"/>
      <c r="C1115" s="527" t="s">
        <v>17</v>
      </c>
      <c r="D1115" s="522" t="s">
        <v>48</v>
      </c>
      <c r="E1115" s="523"/>
      <c r="F1115" s="524"/>
      <c r="G1115" s="553" t="s">
        <v>452</v>
      </c>
      <c r="H1115" s="561">
        <f>H1113+H1114</f>
        <v>4140</v>
      </c>
      <c r="I1115" s="477"/>
      <c r="K1115" s="539"/>
      <c r="O1115" s="468"/>
    </row>
    <row r="1116" spans="1:18" x14ac:dyDescent="0.25">
      <c r="G1116" s="477"/>
      <c r="H1116" s="477"/>
      <c r="I1116" s="477"/>
      <c r="K1116" s="539"/>
      <c r="O1116" s="468"/>
      <c r="R1116" s="489"/>
    </row>
    <row r="1117" spans="1:18" s="467" customFormat="1" x14ac:dyDescent="0.2">
      <c r="A1117" s="463"/>
      <c r="B1117" s="555" t="s">
        <v>6</v>
      </c>
      <c r="C1117" s="515" t="s">
        <v>0</v>
      </c>
      <c r="D1117" s="556" t="s">
        <v>8</v>
      </c>
      <c r="E1117" s="525" t="s">
        <v>4</v>
      </c>
      <c r="F1117" s="556" t="s">
        <v>3</v>
      </c>
      <c r="G1117" s="477"/>
      <c r="H1117" s="477"/>
      <c r="I1117" s="477"/>
      <c r="J1117" s="925"/>
      <c r="K1117" s="539"/>
      <c r="Q1117" s="465"/>
    </row>
    <row r="1118" spans="1:18" ht="16.5" thickBot="1" x14ac:dyDescent="0.3">
      <c r="A1118" s="463">
        <v>153</v>
      </c>
      <c r="B1118" s="1077">
        <f>+B68</f>
        <v>4.01</v>
      </c>
      <c r="C1118" s="1077">
        <f>+C68</f>
        <v>4</v>
      </c>
      <c r="D1118" s="1091" t="str">
        <f>+D68</f>
        <v>TABLERO BUSBAR - TIPO 01</v>
      </c>
      <c r="E1118" s="517">
        <f>H1135</f>
        <v>562.79999999999995</v>
      </c>
      <c r="F1118" s="518">
        <f>+E1118*C1118</f>
        <v>2251.1999999999998</v>
      </c>
      <c r="G1118" s="553" t="s">
        <v>450</v>
      </c>
      <c r="H1118" s="553" t="s">
        <v>1</v>
      </c>
      <c r="I1118" s="477"/>
      <c r="J1118" s="974"/>
      <c r="K1118" s="539"/>
      <c r="O1118" s="468"/>
    </row>
    <row r="1119" spans="1:18" ht="16.5" thickBot="1" x14ac:dyDescent="0.3">
      <c r="B1119" s="1078"/>
      <c r="C1119" s="1078"/>
      <c r="D1119" s="1092"/>
      <c r="E1119" s="519" t="s">
        <v>50</v>
      </c>
      <c r="F1119" s="520" t="s">
        <v>50</v>
      </c>
      <c r="G1119" s="553" t="s">
        <v>50</v>
      </c>
      <c r="H1119" s="553" t="s">
        <v>50</v>
      </c>
      <c r="I1119" s="477"/>
      <c r="J1119" s="974"/>
      <c r="K1119" s="539"/>
      <c r="L1119" s="540" t="s">
        <v>451</v>
      </c>
      <c r="M1119" s="541"/>
      <c r="O1119" s="468"/>
    </row>
    <row r="1120" spans="1:18" ht="16.5" thickBot="1" x14ac:dyDescent="0.3">
      <c r="B1120" s="596"/>
      <c r="C1120" s="526"/>
      <c r="F1120" s="495"/>
      <c r="G1120" s="561"/>
      <c r="H1120" s="561"/>
      <c r="I1120" s="477"/>
      <c r="J1120" s="974"/>
      <c r="K1120" s="539"/>
      <c r="L1120" s="542" t="s">
        <v>88</v>
      </c>
      <c r="M1120" s="543" t="s">
        <v>85</v>
      </c>
      <c r="O1120" s="468"/>
      <c r="R1120" s="489"/>
    </row>
    <row r="1121" spans="2:18" x14ac:dyDescent="0.25">
      <c r="B1121" s="596"/>
      <c r="C1121" s="526">
        <v>1</v>
      </c>
      <c r="D1121" s="539" t="str">
        <f>+'Precios Equipos'!C190</f>
        <v>Gabinete Autosoportado 1800x600x450mm. (Alto x ancho x profundidad)</v>
      </c>
      <c r="F1121" s="495"/>
      <c r="G1121" s="561">
        <f>VLOOKUP(D1121,'Precios Equipos'!$C$11:$F$208,3,0)</f>
        <v>0</v>
      </c>
      <c r="H1121" s="561">
        <f>G1121*C1121</f>
        <v>0</v>
      </c>
      <c r="I1121" s="561">
        <f>+H1121</f>
        <v>0</v>
      </c>
      <c r="J1121" s="924">
        <f>+I1121/H1133</f>
        <v>0</v>
      </c>
      <c r="K1121" s="539"/>
      <c r="L1121" s="544" t="str">
        <f>+'Precios Equipos'!C116</f>
        <v>COBRE BUS BAR TIPO 1; 2; 3; 4; 4.1; 5; 7</v>
      </c>
      <c r="M1121" s="545">
        <f>IFERROR(VLOOKUP(L1121,'Precios Equipos'!$C$11:$F$208,3,0),0)</f>
        <v>5</v>
      </c>
      <c r="O1121" s="468"/>
      <c r="Q1121" s="465">
        <f>+C1121*$C$1118</f>
        <v>4</v>
      </c>
      <c r="R1121" s="489"/>
    </row>
    <row r="1122" spans="2:18" x14ac:dyDescent="0.25">
      <c r="B1122" s="596"/>
      <c r="C1122" s="526"/>
      <c r="F1122" s="495"/>
      <c r="G1122" s="561"/>
      <c r="H1122" s="561"/>
      <c r="I1122" s="477"/>
      <c r="K1122" s="539"/>
      <c r="L1122" s="544" t="str">
        <f>+'Precios Equipos'!C151</f>
        <v>M. Obra Electricidad BUS BAR TIPO 1; 2; 3; 4; 4.1; 5; 7</v>
      </c>
      <c r="M1122" s="545">
        <f>IFERROR(VLOOKUP(L1122,'Precios Equipos'!$C$11:$F$208,3,0),0)</f>
        <v>0</v>
      </c>
      <c r="O1122" s="468"/>
      <c r="R1122" s="489"/>
    </row>
    <row r="1123" spans="2:18" ht="16.5" thickBot="1" x14ac:dyDescent="0.3">
      <c r="B1123" s="596"/>
      <c r="C1123" s="526"/>
      <c r="D1123" s="620" t="s">
        <v>568</v>
      </c>
      <c r="F1123" s="495"/>
      <c r="G1123" s="561"/>
      <c r="H1123" s="561"/>
      <c r="I1123" s="477"/>
      <c r="K1123" s="539"/>
      <c r="L1123" s="920" t="str">
        <f>+'Precios Equipos'!C205</f>
        <v>Diseño Ingenieria Tableros Autosoportados</v>
      </c>
      <c r="M1123" s="545">
        <f>IFERROR(VLOOKUP(L1123,'Precios Equipos'!$C$11:$F$208,3,0),0)</f>
        <v>63</v>
      </c>
      <c r="O1123" s="468"/>
      <c r="R1123" s="489"/>
    </row>
    <row r="1124" spans="2:18" ht="16.5" thickBot="1" x14ac:dyDescent="0.3">
      <c r="B1124" s="596"/>
      <c r="C1124" s="526">
        <v>2</v>
      </c>
      <c r="D1124" s="467" t="str">
        <f>+'Precios Equipos'!C13</f>
        <v>ITM 2x20A, Caja Moldeada, 50kA en 220VAC, A1N, ABB</v>
      </c>
      <c r="E1124" s="927" t="s">
        <v>912</v>
      </c>
      <c r="F1124" s="495"/>
      <c r="G1124" s="561">
        <f>VLOOKUP(D1124,'Precios Equipos'!$C$11:$F$208,3,0)</f>
        <v>8</v>
      </c>
      <c r="H1124" s="561">
        <f t="shared" ref="H1124:H1126" si="106">G1124*C1124</f>
        <v>16</v>
      </c>
      <c r="I1124" s="1081">
        <f>SUM(H1124:H1127)</f>
        <v>401</v>
      </c>
      <c r="J1124" s="1114">
        <f>+I1124/H1133</f>
        <v>0.85501066098081024</v>
      </c>
      <c r="K1124" s="539"/>
      <c r="L1124" s="546" t="s">
        <v>89</v>
      </c>
      <c r="M1124" s="560">
        <f>SUM(M1121:M1123)</f>
        <v>68</v>
      </c>
      <c r="O1124" s="468"/>
      <c r="Q1124" s="465">
        <f t="shared" ref="Q1124:Q1127" si="107">+C1124*$C$1118</f>
        <v>8</v>
      </c>
      <c r="R1124" s="489"/>
    </row>
    <row r="1125" spans="2:18" x14ac:dyDescent="0.25">
      <c r="B1125" s="596"/>
      <c r="C1125" s="526">
        <v>1</v>
      </c>
      <c r="D1125" s="467" t="str">
        <f>+'Precios Equipos'!C43</f>
        <v>ITM 2x160A, Caja Moldeada 160A, 50kA en 220V, A2N 250, ABB, DC</v>
      </c>
      <c r="E1125" s="927" t="s">
        <v>913</v>
      </c>
      <c r="F1125" s="495"/>
      <c r="G1125" s="561">
        <f>VLOOKUP(D1125,'Precios Equipos'!$C$11:$F$208,3,0)</f>
        <v>92</v>
      </c>
      <c r="H1125" s="561">
        <f t="shared" si="106"/>
        <v>92</v>
      </c>
      <c r="I1125" s="1082"/>
      <c r="J1125" s="1120"/>
      <c r="K1125" s="539"/>
      <c r="O1125" s="468"/>
      <c r="Q1125" s="465">
        <f t="shared" si="107"/>
        <v>4</v>
      </c>
      <c r="R1125" s="489"/>
    </row>
    <row r="1126" spans="2:18" x14ac:dyDescent="0.25">
      <c r="B1126" s="596"/>
      <c r="C1126" s="526">
        <v>1</v>
      </c>
      <c r="D1126" s="467" t="str">
        <f>+'Precios Equipos'!C64</f>
        <v>Seccionador Portafusible XLP1-1P-2BC, 250A, 1SEP600116R0002, ABB</v>
      </c>
      <c r="E1126" s="927" t="s">
        <v>914</v>
      </c>
      <c r="F1126" s="495"/>
      <c r="G1126" s="561">
        <f>VLOOKUP(D1126,'Precios Equipos'!$C$11:$F$208,3,0)</f>
        <v>148</v>
      </c>
      <c r="H1126" s="561">
        <f t="shared" si="106"/>
        <v>148</v>
      </c>
      <c r="I1126" s="1082"/>
      <c r="J1126" s="1120"/>
      <c r="K1126" s="539"/>
      <c r="O1126" s="468"/>
      <c r="Q1126" s="465">
        <f t="shared" si="107"/>
        <v>4</v>
      </c>
      <c r="R1126" s="489"/>
    </row>
    <row r="1127" spans="2:18" x14ac:dyDescent="0.25">
      <c r="B1127" s="596"/>
      <c r="C1127" s="526">
        <v>1</v>
      </c>
      <c r="D1127" s="467" t="str">
        <f>+'Precios Equipos'!$C$65</f>
        <v>Fusible tipo NH1 250A</v>
      </c>
      <c r="F1127" s="495"/>
      <c r="G1127" s="561">
        <f>VLOOKUP(D1127,'Precios Equipos'!$C$11:$F$208,3,0)</f>
        <v>145</v>
      </c>
      <c r="H1127" s="561">
        <f t="shared" ref="H1127" si="108">G1127*C1127</f>
        <v>145</v>
      </c>
      <c r="I1127" s="1083"/>
      <c r="J1127" s="1115"/>
      <c r="K1127" s="539"/>
      <c r="O1127" s="468"/>
      <c r="Q1127" s="465">
        <f t="shared" si="107"/>
        <v>4</v>
      </c>
      <c r="R1127" s="489"/>
    </row>
    <row r="1128" spans="2:18" x14ac:dyDescent="0.25">
      <c r="B1128" s="596"/>
      <c r="C1128" s="526"/>
      <c r="F1128" s="495"/>
      <c r="G1128" s="561"/>
      <c r="H1128" s="561"/>
      <c r="I1128" s="477"/>
      <c r="K1128" s="539"/>
      <c r="O1128" s="468"/>
      <c r="R1128" s="489"/>
    </row>
    <row r="1129" spans="2:18" x14ac:dyDescent="0.25">
      <c r="B1129" s="596"/>
      <c r="C1129" s="526"/>
      <c r="D1129" s="620" t="s">
        <v>87</v>
      </c>
      <c r="F1129" s="495"/>
      <c r="G1129" s="561"/>
      <c r="H1129" s="561"/>
      <c r="I1129" s="477"/>
      <c r="K1129" s="539"/>
      <c r="O1129" s="468"/>
      <c r="R1129" s="489"/>
    </row>
    <row r="1130" spans="2:18" x14ac:dyDescent="0.25">
      <c r="B1130" s="596"/>
      <c r="C1130" s="526">
        <v>1</v>
      </c>
      <c r="D1130" s="494" t="s">
        <v>49</v>
      </c>
      <c r="F1130" s="495"/>
      <c r="G1130" s="561"/>
      <c r="H1130" s="561">
        <f>+M1124</f>
        <v>68</v>
      </c>
      <c r="I1130" s="561">
        <f>+H1130</f>
        <v>68</v>
      </c>
      <c r="J1130" s="924">
        <f>+I1130/H1133</f>
        <v>0.14498933901918976</v>
      </c>
      <c r="K1130" s="539"/>
      <c r="O1130" s="468"/>
      <c r="R1130" s="489"/>
    </row>
    <row r="1131" spans="2:18" x14ac:dyDescent="0.25">
      <c r="B1131" s="596"/>
      <c r="C1131" s="526">
        <v>1</v>
      </c>
      <c r="D1131" s="494" t="s">
        <v>51</v>
      </c>
      <c r="F1131" s="495"/>
      <c r="G1131" s="561"/>
      <c r="H1131" s="561">
        <f>$O$153</f>
        <v>0</v>
      </c>
      <c r="I1131" s="1081">
        <f>SUM(H1131:H1132)</f>
        <v>0</v>
      </c>
      <c r="J1131" s="1114">
        <f>+I1131/H1133</f>
        <v>0</v>
      </c>
      <c r="K1131" s="539"/>
      <c r="O1131" s="468"/>
      <c r="R1131" s="489"/>
    </row>
    <row r="1132" spans="2:18" x14ac:dyDescent="0.25">
      <c r="B1132" s="596"/>
      <c r="C1132" s="526">
        <v>1</v>
      </c>
      <c r="D1132" s="467" t="s">
        <v>20</v>
      </c>
      <c r="F1132" s="495"/>
      <c r="G1132" s="561"/>
      <c r="H1132" s="561">
        <f>$O$154</f>
        <v>0</v>
      </c>
      <c r="I1132" s="1083"/>
      <c r="J1132" s="1115"/>
      <c r="K1132" s="539"/>
      <c r="O1132" s="468"/>
      <c r="R1132" s="489"/>
    </row>
    <row r="1133" spans="2:18" x14ac:dyDescent="0.25">
      <c r="B1133" s="596"/>
      <c r="C1133" s="526">
        <v>1</v>
      </c>
      <c r="D1133" s="467" t="s">
        <v>52</v>
      </c>
      <c r="F1133" s="495"/>
      <c r="G1133" s="553" t="s">
        <v>97</v>
      </c>
      <c r="H1133" s="561">
        <f>SUM(H1120:H1132)</f>
        <v>469</v>
      </c>
      <c r="I1133" s="477"/>
      <c r="J1133" s="974"/>
      <c r="K1133" s="539"/>
      <c r="O1133" s="468"/>
      <c r="R1133" s="489"/>
    </row>
    <row r="1134" spans="2:18" x14ac:dyDescent="0.25">
      <c r="B1134" s="596"/>
      <c r="C1134" s="526">
        <v>1</v>
      </c>
      <c r="D1134" s="467" t="s">
        <v>21</v>
      </c>
      <c r="F1134" s="495"/>
      <c r="G1134" s="553" t="s">
        <v>105</v>
      </c>
      <c r="H1134" s="561">
        <f>H1133*$M$153</f>
        <v>93.800000000000011</v>
      </c>
      <c r="I1134" s="477"/>
      <c r="J1134" s="974"/>
      <c r="K1134" s="539"/>
      <c r="O1134" s="468"/>
      <c r="R1134" s="489"/>
    </row>
    <row r="1135" spans="2:18" x14ac:dyDescent="0.25">
      <c r="B1135" s="562"/>
      <c r="C1135" s="527" t="s">
        <v>17</v>
      </c>
      <c r="D1135" s="522" t="s">
        <v>48</v>
      </c>
      <c r="E1135" s="523"/>
      <c r="F1135" s="524"/>
      <c r="G1135" s="553" t="s">
        <v>452</v>
      </c>
      <c r="H1135" s="561">
        <f>SUM(H1133:H1134)</f>
        <v>562.79999999999995</v>
      </c>
      <c r="I1135" s="477"/>
      <c r="J1135" s="974"/>
      <c r="K1135" s="539"/>
      <c r="O1135" s="468"/>
      <c r="R1135" s="489"/>
    </row>
    <row r="1136" spans="2:18" x14ac:dyDescent="0.25">
      <c r="G1136" s="477"/>
      <c r="H1136" s="477"/>
      <c r="I1136" s="477"/>
      <c r="K1136" s="539"/>
      <c r="O1136" s="468"/>
      <c r="R1136" s="489"/>
    </row>
    <row r="1137" spans="1:18" s="467" customFormat="1" ht="16.5" thickBot="1" x14ac:dyDescent="0.25">
      <c r="A1137" s="463"/>
      <c r="B1137" s="555" t="s">
        <v>6</v>
      </c>
      <c r="C1137" s="515" t="s">
        <v>0</v>
      </c>
      <c r="D1137" s="556" t="s">
        <v>8</v>
      </c>
      <c r="E1137" s="525" t="s">
        <v>4</v>
      </c>
      <c r="F1137" s="556" t="s">
        <v>3</v>
      </c>
      <c r="G1137" s="477"/>
      <c r="H1137" s="477"/>
      <c r="I1137" s="477"/>
      <c r="J1137" s="925"/>
      <c r="K1137" s="539"/>
      <c r="Q1137" s="465"/>
    </row>
    <row r="1138" spans="1:18" ht="16.5" thickBot="1" x14ac:dyDescent="0.3">
      <c r="A1138" s="463">
        <v>153</v>
      </c>
      <c r="B1138" s="1077">
        <f>+B69</f>
        <v>4.0199999999999996</v>
      </c>
      <c r="C1138" s="1077">
        <f>+C69</f>
        <v>2</v>
      </c>
      <c r="D1138" s="1091" t="str">
        <f>+D69</f>
        <v>TABLERO BUSBAR - TIPO 02</v>
      </c>
      <c r="E1138" s="517">
        <f>H1155</f>
        <v>860.4</v>
      </c>
      <c r="F1138" s="518">
        <f>+E1138*C1138</f>
        <v>1720.8</v>
      </c>
      <c r="G1138" s="553" t="s">
        <v>450</v>
      </c>
      <c r="H1138" s="553" t="s">
        <v>1</v>
      </c>
      <c r="I1138" s="477"/>
      <c r="J1138" s="974"/>
      <c r="K1138" s="539"/>
      <c r="L1138" s="540" t="s">
        <v>451</v>
      </c>
      <c r="M1138" s="541"/>
      <c r="O1138" s="468"/>
    </row>
    <row r="1139" spans="1:18" ht="16.5" thickBot="1" x14ac:dyDescent="0.3">
      <c r="B1139" s="1078"/>
      <c r="C1139" s="1078"/>
      <c r="D1139" s="1092"/>
      <c r="E1139" s="519" t="s">
        <v>50</v>
      </c>
      <c r="F1139" s="520" t="s">
        <v>50</v>
      </c>
      <c r="G1139" s="553" t="s">
        <v>50</v>
      </c>
      <c r="H1139" s="553" t="s">
        <v>50</v>
      </c>
      <c r="I1139" s="477"/>
      <c r="J1139" s="974"/>
      <c r="K1139" s="539"/>
      <c r="L1139" s="542" t="s">
        <v>88</v>
      </c>
      <c r="M1139" s="543" t="s">
        <v>85</v>
      </c>
      <c r="O1139" s="468"/>
    </row>
    <row r="1140" spans="1:18" x14ac:dyDescent="0.25">
      <c r="B1140" s="596"/>
      <c r="C1140" s="526"/>
      <c r="F1140" s="495"/>
      <c r="G1140" s="561"/>
      <c r="H1140" s="561"/>
      <c r="I1140" s="477"/>
      <c r="J1140" s="974"/>
      <c r="K1140" s="539"/>
      <c r="L1140" s="544" t="str">
        <f>+'Precios Equipos'!C116</f>
        <v>COBRE BUS BAR TIPO 1; 2; 3; 4; 4.1; 5; 7</v>
      </c>
      <c r="M1140" s="545">
        <f>IFERROR(VLOOKUP(L1140,'Precios Equipos'!$C$11:$F$208,3,0),0)</f>
        <v>5</v>
      </c>
      <c r="O1140" s="468"/>
      <c r="R1140" s="489"/>
    </row>
    <row r="1141" spans="1:18" x14ac:dyDescent="0.25">
      <c r="B1141" s="596"/>
      <c r="C1141" s="526">
        <v>1</v>
      </c>
      <c r="D1141" s="539" t="str">
        <f>+'Precios Equipos'!C190</f>
        <v>Gabinete Autosoportado 1800x600x450mm. (Alto x ancho x profundidad)</v>
      </c>
      <c r="F1141" s="495"/>
      <c r="G1141" s="561">
        <f>VLOOKUP(D1141,'Precios Equipos'!$C$11:$F$208,3,0)</f>
        <v>0</v>
      </c>
      <c r="H1141" s="561">
        <f t="shared" ref="H1141" si="109">G1141*C1141</f>
        <v>0</v>
      </c>
      <c r="I1141" s="561">
        <f>+H1141</f>
        <v>0</v>
      </c>
      <c r="J1141" s="975">
        <f>+I1141/H1153</f>
        <v>0</v>
      </c>
      <c r="K1141" s="539"/>
      <c r="L1141" s="544" t="str">
        <f>+'Precios Equipos'!C151</f>
        <v>M. Obra Electricidad BUS BAR TIPO 1; 2; 3; 4; 4.1; 5; 7</v>
      </c>
      <c r="M1141" s="545">
        <f>IFERROR(VLOOKUP(L1141,'Precios Equipos'!$C$11:$F$208,3,0),0)</f>
        <v>0</v>
      </c>
      <c r="O1141" s="468"/>
      <c r="Q1141" s="465">
        <f>+C1141*$C$1138</f>
        <v>2</v>
      </c>
      <c r="R1141" s="489"/>
    </row>
    <row r="1142" spans="1:18" ht="16.5" thickBot="1" x14ac:dyDescent="0.3">
      <c r="B1142" s="596"/>
      <c r="C1142" s="526"/>
      <c r="F1142" s="495"/>
      <c r="G1142" s="561"/>
      <c r="H1142" s="561"/>
      <c r="I1142" s="477"/>
      <c r="J1142" s="974"/>
      <c r="K1142" s="539"/>
      <c r="L1142" s="920" t="str">
        <f>+'Precios Equipos'!C205</f>
        <v>Diseño Ingenieria Tableros Autosoportados</v>
      </c>
      <c r="M1142" s="545">
        <f>IFERROR(VLOOKUP(L1142,'Precios Equipos'!$C$11:$F$208,3,0),0)</f>
        <v>63</v>
      </c>
      <c r="O1142" s="468"/>
      <c r="R1142" s="489"/>
    </row>
    <row r="1143" spans="1:18" ht="16.5" thickBot="1" x14ac:dyDescent="0.3">
      <c r="B1143" s="596"/>
      <c r="C1143" s="526"/>
      <c r="D1143" s="620" t="s">
        <v>568</v>
      </c>
      <c r="F1143" s="495"/>
      <c r="G1143" s="561"/>
      <c r="H1143" s="561"/>
      <c r="I1143" s="477"/>
      <c r="J1143" s="974"/>
      <c r="K1143" s="539"/>
      <c r="L1143" s="546" t="s">
        <v>89</v>
      </c>
      <c r="M1143" s="560">
        <f>SUM(M1140:M1142)</f>
        <v>68</v>
      </c>
      <c r="O1143" s="468"/>
      <c r="R1143" s="489"/>
    </row>
    <row r="1144" spans="1:18" x14ac:dyDescent="0.25">
      <c r="B1144" s="596"/>
      <c r="C1144" s="526">
        <v>3</v>
      </c>
      <c r="D1144" s="467" t="str">
        <f>+'Precios Equipos'!C15</f>
        <v>ITM 2x32A, Caja Moldeada, 50kA en 220VAC, A1N, ABB</v>
      </c>
      <c r="F1144" s="495"/>
      <c r="G1144" s="561">
        <f>VLOOKUP(D1144,'Precios Equipos'!$C$11:$F$208,3,0)</f>
        <v>88</v>
      </c>
      <c r="H1144" s="561">
        <f t="shared" ref="H1144:H1147" si="110">G1144*C1144</f>
        <v>264</v>
      </c>
      <c r="I1144" s="1133">
        <f>SUM(H1144:H1147)</f>
        <v>649</v>
      </c>
      <c r="J1144" s="1116">
        <f>+I1144/H1153</f>
        <v>0.90516039051603903</v>
      </c>
      <c r="K1144" s="539"/>
      <c r="O1144" s="468"/>
      <c r="Q1144" s="465">
        <f>+C1144*$C$1138</f>
        <v>6</v>
      </c>
      <c r="R1144" s="489"/>
    </row>
    <row r="1145" spans="1:18" x14ac:dyDescent="0.25">
      <c r="B1145" s="596"/>
      <c r="C1145" s="526">
        <v>1</v>
      </c>
      <c r="D1145" s="467" t="str">
        <f>+'Precios Equipos'!C43</f>
        <v>ITM 2x160A, Caja Moldeada 160A, 50kA en 220V, A2N 250, ABB, DC</v>
      </c>
      <c r="F1145" s="495"/>
      <c r="G1145" s="561">
        <f>VLOOKUP(D1145,'Precios Equipos'!$C$11:$F$208,3,0)</f>
        <v>92</v>
      </c>
      <c r="H1145" s="561">
        <f t="shared" si="110"/>
        <v>92</v>
      </c>
      <c r="I1145" s="1134"/>
      <c r="J1145" s="1129"/>
      <c r="K1145" s="539"/>
      <c r="O1145" s="468"/>
      <c r="Q1145" s="465">
        <f>+C1145*$C$1138</f>
        <v>2</v>
      </c>
      <c r="R1145" s="489"/>
    </row>
    <row r="1146" spans="1:18" x14ac:dyDescent="0.25">
      <c r="B1146" s="596"/>
      <c r="C1146" s="526">
        <v>1</v>
      </c>
      <c r="D1146" s="467" t="str">
        <f>+'Precios Equipos'!C64</f>
        <v>Seccionador Portafusible XLP1-1P-2BC, 250A, 1SEP600116R0002, ABB</v>
      </c>
      <c r="F1146" s="495"/>
      <c r="G1146" s="561">
        <f>VLOOKUP(D1146,'Precios Equipos'!$C$11:$F$208,3,0)</f>
        <v>148</v>
      </c>
      <c r="H1146" s="561">
        <f t="shared" si="110"/>
        <v>148</v>
      </c>
      <c r="I1146" s="1134"/>
      <c r="J1146" s="1129"/>
      <c r="K1146" s="539"/>
      <c r="O1146" s="468"/>
      <c r="Q1146" s="465">
        <f>+C1146*$C$1138</f>
        <v>2</v>
      </c>
      <c r="R1146" s="489"/>
    </row>
    <row r="1147" spans="1:18" x14ac:dyDescent="0.25">
      <c r="B1147" s="596"/>
      <c r="C1147" s="526">
        <v>1</v>
      </c>
      <c r="D1147" s="467" t="str">
        <f>+'Precios Equipos'!$C$65</f>
        <v>Fusible tipo NH1 250A</v>
      </c>
      <c r="F1147" s="495"/>
      <c r="G1147" s="561">
        <f>VLOOKUP(D1147,'Precios Equipos'!$C$11:$F$208,3,0)</f>
        <v>145</v>
      </c>
      <c r="H1147" s="561">
        <f t="shared" si="110"/>
        <v>145</v>
      </c>
      <c r="I1147" s="1135"/>
      <c r="J1147" s="1117"/>
      <c r="K1147" s="539"/>
      <c r="O1147" s="468"/>
      <c r="Q1147" s="465">
        <f>+C1147*$C$1138</f>
        <v>2</v>
      </c>
      <c r="R1147" s="489"/>
    </row>
    <row r="1148" spans="1:18" x14ac:dyDescent="0.25">
      <c r="B1148" s="596"/>
      <c r="C1148" s="526"/>
      <c r="F1148" s="495"/>
      <c r="G1148" s="561"/>
      <c r="H1148" s="561"/>
      <c r="I1148" s="477"/>
      <c r="J1148" s="974"/>
      <c r="K1148" s="539"/>
      <c r="O1148" s="468"/>
      <c r="R1148" s="489"/>
    </row>
    <row r="1149" spans="1:18" x14ac:dyDescent="0.25">
      <c r="B1149" s="596"/>
      <c r="C1149" s="526"/>
      <c r="D1149" s="620" t="s">
        <v>87</v>
      </c>
      <c r="F1149" s="495"/>
      <c r="G1149" s="561"/>
      <c r="H1149" s="561"/>
      <c r="I1149" s="477"/>
      <c r="J1149" s="974"/>
      <c r="K1149" s="539"/>
      <c r="O1149" s="468"/>
      <c r="R1149" s="489"/>
    </row>
    <row r="1150" spans="1:18" x14ac:dyDescent="0.25">
      <c r="B1150" s="596"/>
      <c r="C1150" s="526">
        <v>1</v>
      </c>
      <c r="D1150" s="494" t="s">
        <v>49</v>
      </c>
      <c r="F1150" s="495"/>
      <c r="G1150" s="561"/>
      <c r="H1150" s="561">
        <f>+M1143</f>
        <v>68</v>
      </c>
      <c r="I1150" s="561">
        <f>+H1150</f>
        <v>68</v>
      </c>
      <c r="J1150" s="975">
        <f>+I1150/H1153</f>
        <v>9.4839609483960946E-2</v>
      </c>
      <c r="K1150" s="539"/>
      <c r="O1150" s="468"/>
      <c r="R1150" s="489"/>
    </row>
    <row r="1151" spans="1:18" x14ac:dyDescent="0.25">
      <c r="B1151" s="596"/>
      <c r="C1151" s="526">
        <v>1</v>
      </c>
      <c r="D1151" s="494" t="s">
        <v>51</v>
      </c>
      <c r="F1151" s="495"/>
      <c r="G1151" s="561"/>
      <c r="H1151" s="561"/>
      <c r="I1151" s="1081">
        <f>SUM(H1151:H1152)</f>
        <v>0</v>
      </c>
      <c r="J1151" s="1116">
        <f>+I1151/H1153</f>
        <v>0</v>
      </c>
      <c r="K1151" s="539"/>
      <c r="O1151" s="468"/>
      <c r="R1151" s="489"/>
    </row>
    <row r="1152" spans="1:18" x14ac:dyDescent="0.25">
      <c r="B1152" s="596"/>
      <c r="C1152" s="526">
        <v>1</v>
      </c>
      <c r="D1152" s="467" t="s">
        <v>20</v>
      </c>
      <c r="F1152" s="495"/>
      <c r="G1152" s="561"/>
      <c r="H1152" s="561"/>
      <c r="I1152" s="1083"/>
      <c r="J1152" s="1117"/>
      <c r="K1152" s="539"/>
      <c r="O1152" s="468"/>
      <c r="R1152" s="489"/>
    </row>
    <row r="1153" spans="1:18" x14ac:dyDescent="0.25">
      <c r="B1153" s="596"/>
      <c r="C1153" s="526">
        <v>1</v>
      </c>
      <c r="D1153" s="467" t="s">
        <v>52</v>
      </c>
      <c r="F1153" s="495"/>
      <c r="G1153" s="553" t="s">
        <v>97</v>
      </c>
      <c r="H1153" s="561">
        <f>SUM(H1140:H1152)</f>
        <v>717</v>
      </c>
      <c r="I1153" s="477"/>
      <c r="J1153" s="974"/>
      <c r="K1153" s="539"/>
      <c r="O1153" s="468"/>
      <c r="R1153" s="489"/>
    </row>
    <row r="1154" spans="1:18" x14ac:dyDescent="0.25">
      <c r="B1154" s="596"/>
      <c r="C1154" s="526">
        <v>1</v>
      </c>
      <c r="D1154" s="467" t="s">
        <v>21</v>
      </c>
      <c r="F1154" s="495"/>
      <c r="G1154" s="553" t="s">
        <v>105</v>
      </c>
      <c r="H1154" s="561">
        <f>H1153*$M$153</f>
        <v>143.4</v>
      </c>
      <c r="I1154" s="477"/>
      <c r="J1154" s="974"/>
      <c r="K1154" s="539"/>
      <c r="O1154" s="468"/>
      <c r="R1154" s="489"/>
    </row>
    <row r="1155" spans="1:18" x14ac:dyDescent="0.25">
      <c r="B1155" s="562"/>
      <c r="C1155" s="527" t="s">
        <v>17</v>
      </c>
      <c r="D1155" s="522" t="s">
        <v>48</v>
      </c>
      <c r="E1155" s="523"/>
      <c r="F1155" s="524"/>
      <c r="G1155" s="553" t="s">
        <v>452</v>
      </c>
      <c r="H1155" s="561">
        <f>SUM(H1153:H1154)</f>
        <v>860.4</v>
      </c>
      <c r="I1155" s="477"/>
      <c r="J1155" s="974"/>
      <c r="K1155" s="539"/>
      <c r="O1155" s="468"/>
      <c r="R1155" s="489"/>
    </row>
    <row r="1156" spans="1:18" x14ac:dyDescent="0.25">
      <c r="G1156" s="477"/>
      <c r="H1156" s="477"/>
      <c r="I1156" s="477"/>
      <c r="K1156" s="539"/>
      <c r="O1156" s="468"/>
      <c r="R1156" s="489"/>
    </row>
    <row r="1157" spans="1:18" s="467" customFormat="1" ht="16.5" thickBot="1" x14ac:dyDescent="0.25">
      <c r="A1157" s="463"/>
      <c r="B1157" s="555" t="s">
        <v>6</v>
      </c>
      <c r="C1157" s="515" t="s">
        <v>0</v>
      </c>
      <c r="D1157" s="556" t="s">
        <v>8</v>
      </c>
      <c r="E1157" s="525" t="s">
        <v>4</v>
      </c>
      <c r="F1157" s="556" t="s">
        <v>3</v>
      </c>
      <c r="G1157" s="477"/>
      <c r="H1157" s="477"/>
      <c r="I1157" s="477"/>
      <c r="J1157" s="925"/>
      <c r="K1157" s="539"/>
      <c r="Q1157" s="465"/>
    </row>
    <row r="1158" spans="1:18" ht="16.5" thickBot="1" x14ac:dyDescent="0.3">
      <c r="A1158" s="463">
        <v>153</v>
      </c>
      <c r="B1158" s="1077">
        <f>+B70</f>
        <v>4.0299999999999994</v>
      </c>
      <c r="C1158" s="1077">
        <f>+C70</f>
        <v>1</v>
      </c>
      <c r="D1158" s="1091" t="str">
        <f>+D70</f>
        <v>TABLERO BUSBAR - TIPO 03</v>
      </c>
      <c r="E1158" s="517">
        <f>+H1175</f>
        <v>548.4</v>
      </c>
      <c r="F1158" s="518">
        <f>+E1158*C1158</f>
        <v>548.4</v>
      </c>
      <c r="G1158" s="553" t="s">
        <v>450</v>
      </c>
      <c r="H1158" s="553" t="s">
        <v>1</v>
      </c>
      <c r="I1158" s="477"/>
      <c r="J1158" s="974"/>
      <c r="K1158" s="539"/>
      <c r="L1158" s="540" t="s">
        <v>451</v>
      </c>
      <c r="M1158" s="541"/>
      <c r="O1158" s="468"/>
    </row>
    <row r="1159" spans="1:18" ht="16.5" thickBot="1" x14ac:dyDescent="0.3">
      <c r="B1159" s="1078"/>
      <c r="C1159" s="1078"/>
      <c r="D1159" s="1092"/>
      <c r="E1159" s="519" t="s">
        <v>50</v>
      </c>
      <c r="F1159" s="520" t="s">
        <v>50</v>
      </c>
      <c r="G1159" s="553" t="s">
        <v>50</v>
      </c>
      <c r="H1159" s="553" t="s">
        <v>50</v>
      </c>
      <c r="I1159" s="477"/>
      <c r="J1159" s="974"/>
      <c r="K1159" s="539"/>
      <c r="L1159" s="542" t="s">
        <v>88</v>
      </c>
      <c r="M1159" s="543" t="s">
        <v>85</v>
      </c>
      <c r="O1159" s="468"/>
    </row>
    <row r="1160" spans="1:18" x14ac:dyDescent="0.25">
      <c r="B1160" s="596"/>
      <c r="C1160" s="526"/>
      <c r="F1160" s="495"/>
      <c r="G1160" s="561"/>
      <c r="H1160" s="561"/>
      <c r="I1160" s="477"/>
      <c r="J1160" s="974"/>
      <c r="K1160" s="539"/>
      <c r="L1160" s="544" t="str">
        <f>+'Precios Equipos'!C116</f>
        <v>COBRE BUS BAR TIPO 1; 2; 3; 4; 4.1; 5; 7</v>
      </c>
      <c r="M1160" s="545">
        <f>IFERROR(VLOOKUP(L1160,'Precios Equipos'!$C$11:$F$208,3,0),0)</f>
        <v>5</v>
      </c>
      <c r="O1160" s="468"/>
      <c r="R1160" s="489"/>
    </row>
    <row r="1161" spans="1:18" x14ac:dyDescent="0.25">
      <c r="B1161" s="596"/>
      <c r="C1161" s="526">
        <v>1</v>
      </c>
      <c r="D1161" s="539" t="str">
        <f>+'Precios Equipos'!C190</f>
        <v>Gabinete Autosoportado 1800x600x450mm. (Alto x ancho x profundidad)</v>
      </c>
      <c r="F1161" s="495"/>
      <c r="G1161" s="561">
        <f>VLOOKUP(D1161,'Precios Equipos'!$C$11:$F$208,3,0)</f>
        <v>0</v>
      </c>
      <c r="H1161" s="561">
        <f t="shared" ref="H1161" si="111">G1161*C1161</f>
        <v>0</v>
      </c>
      <c r="I1161" s="561">
        <f>+H1161</f>
        <v>0</v>
      </c>
      <c r="J1161" s="975">
        <f>+I1161/H1173</f>
        <v>0</v>
      </c>
      <c r="K1161" s="539"/>
      <c r="L1161" s="544" t="str">
        <f>+'Precios Equipos'!C151</f>
        <v>M. Obra Electricidad BUS BAR TIPO 1; 2; 3; 4; 4.1; 5; 7</v>
      </c>
      <c r="M1161" s="545">
        <f>IFERROR(VLOOKUP(L1161,'Precios Equipos'!$C$11:$F$208,3,0),0)</f>
        <v>0</v>
      </c>
      <c r="O1161" s="468"/>
      <c r="Q1161" s="465">
        <f>+C1161*$C$1158</f>
        <v>1</v>
      </c>
      <c r="R1161" s="489"/>
    </row>
    <row r="1162" spans="1:18" ht="16.5" thickBot="1" x14ac:dyDescent="0.3">
      <c r="B1162" s="596"/>
      <c r="C1162" s="526"/>
      <c r="F1162" s="495"/>
      <c r="G1162" s="561"/>
      <c r="H1162" s="561"/>
      <c r="I1162" s="477"/>
      <c r="J1162" s="974"/>
      <c r="K1162" s="539"/>
      <c r="L1162" s="544" t="str">
        <f>+'Precios Equipos'!C205</f>
        <v>Diseño Ingenieria Tableros Autosoportados</v>
      </c>
      <c r="M1162" s="545">
        <f>IFERROR(VLOOKUP(L1162,'Precios Equipos'!$C$11:$F$208,3,0),0)</f>
        <v>63</v>
      </c>
      <c r="O1162" s="468"/>
      <c r="R1162" s="489"/>
    </row>
    <row r="1163" spans="1:18" ht="16.5" thickBot="1" x14ac:dyDescent="0.3">
      <c r="B1163" s="596"/>
      <c r="C1163" s="526"/>
      <c r="D1163" s="620" t="s">
        <v>568</v>
      </c>
      <c r="F1163" s="495"/>
      <c r="G1163" s="561"/>
      <c r="H1163" s="561"/>
      <c r="I1163" s="477"/>
      <c r="J1163" s="974"/>
      <c r="K1163" s="539"/>
      <c r="L1163" s="546" t="s">
        <v>89</v>
      </c>
      <c r="M1163" s="560">
        <f>SUM(M1160:M1162)</f>
        <v>68</v>
      </c>
      <c r="O1163" s="468"/>
      <c r="R1163" s="489"/>
    </row>
    <row r="1164" spans="1:18" x14ac:dyDescent="0.25">
      <c r="B1164" s="596"/>
      <c r="C1164" s="526">
        <v>2</v>
      </c>
      <c r="D1164" s="467" t="str">
        <f>+'Precios Equipos'!C39</f>
        <v>ITM 2x40A, Caja Moldeada, 50kA en 220V, A1N, ABB, DC</v>
      </c>
      <c r="F1164" s="495"/>
      <c r="G1164" s="561">
        <f>VLOOKUP(D1164,'Precios Equipos'!$C$11:$F$208,3,0)</f>
        <v>2</v>
      </c>
      <c r="H1164" s="561">
        <f t="shared" ref="H1164:H1167" si="112">G1164*C1164</f>
        <v>4</v>
      </c>
      <c r="I1164" s="1081">
        <f>SUM(H1164:H1167)</f>
        <v>389</v>
      </c>
      <c r="J1164" s="1116">
        <f>+I1164/H1173</f>
        <v>0.85120350109409193</v>
      </c>
      <c r="K1164" s="539"/>
      <c r="O1164" s="468"/>
      <c r="Q1164" s="465">
        <f>+C1164*$C$1158</f>
        <v>2</v>
      </c>
      <c r="R1164" s="489"/>
    </row>
    <row r="1165" spans="1:18" x14ac:dyDescent="0.25">
      <c r="B1165" s="596"/>
      <c r="C1165" s="526">
        <v>1</v>
      </c>
      <c r="D1165" s="467" t="str">
        <f>+'Precios Equipos'!C43</f>
        <v>ITM 2x160A, Caja Moldeada 160A, 50kA en 220V, A2N 250, ABB, DC</v>
      </c>
      <c r="F1165" s="495"/>
      <c r="G1165" s="561">
        <f>VLOOKUP(D1165,'Precios Equipos'!$C$11:$F$208,3,0)</f>
        <v>92</v>
      </c>
      <c r="H1165" s="561">
        <f t="shared" si="112"/>
        <v>92</v>
      </c>
      <c r="I1165" s="1082"/>
      <c r="J1165" s="1129"/>
      <c r="K1165" s="539"/>
      <c r="O1165" s="468"/>
      <c r="Q1165" s="465">
        <f>+C1165*$C$1158</f>
        <v>1</v>
      </c>
      <c r="R1165" s="489"/>
    </row>
    <row r="1166" spans="1:18" x14ac:dyDescent="0.25">
      <c r="B1166" s="596"/>
      <c r="C1166" s="526">
        <v>1</v>
      </c>
      <c r="D1166" s="467" t="str">
        <f>+'Precios Equipos'!C64</f>
        <v>Seccionador Portafusible XLP1-1P-2BC, 250A, 1SEP600116R0002, ABB</v>
      </c>
      <c r="F1166" s="495"/>
      <c r="G1166" s="561">
        <f>VLOOKUP(D1166,'Precios Equipos'!$C$11:$F$208,3,0)</f>
        <v>148</v>
      </c>
      <c r="H1166" s="561">
        <f t="shared" si="112"/>
        <v>148</v>
      </c>
      <c r="I1166" s="1082"/>
      <c r="J1166" s="1129"/>
      <c r="K1166" s="539"/>
      <c r="O1166" s="468"/>
      <c r="Q1166" s="465">
        <f>+C1166*$C$1158</f>
        <v>1</v>
      </c>
      <c r="R1166" s="489"/>
    </row>
    <row r="1167" spans="1:18" x14ac:dyDescent="0.25">
      <c r="B1167" s="596"/>
      <c r="C1167" s="526">
        <v>1</v>
      </c>
      <c r="D1167" s="467" t="str">
        <f>+'Precios Equipos'!$C$65</f>
        <v>Fusible tipo NH1 250A</v>
      </c>
      <c r="F1167" s="495"/>
      <c r="G1167" s="561">
        <f>VLOOKUP(D1167,'Precios Equipos'!$C$11:$F$208,3,0)</f>
        <v>145</v>
      </c>
      <c r="H1167" s="561">
        <f t="shared" si="112"/>
        <v>145</v>
      </c>
      <c r="I1167" s="1083"/>
      <c r="J1167" s="1117"/>
      <c r="K1167" s="539"/>
      <c r="O1167" s="468"/>
      <c r="Q1167" s="465">
        <f>+C1167*$C$1158</f>
        <v>1</v>
      </c>
      <c r="R1167" s="489"/>
    </row>
    <row r="1168" spans="1:18" x14ac:dyDescent="0.25">
      <c r="B1168" s="596"/>
      <c r="C1168" s="526"/>
      <c r="F1168" s="495"/>
      <c r="G1168" s="561"/>
      <c r="H1168" s="561"/>
      <c r="I1168" s="477"/>
      <c r="J1168" s="974"/>
      <c r="K1168" s="539"/>
      <c r="O1168" s="468"/>
      <c r="R1168" s="489"/>
    </row>
    <row r="1169" spans="1:18" x14ac:dyDescent="0.25">
      <c r="B1169" s="596"/>
      <c r="C1169" s="526"/>
      <c r="D1169" s="620" t="s">
        <v>87</v>
      </c>
      <c r="F1169" s="495"/>
      <c r="G1169" s="561"/>
      <c r="H1169" s="561"/>
      <c r="I1169" s="477"/>
      <c r="J1169" s="974"/>
      <c r="K1169" s="539"/>
      <c r="O1169" s="468"/>
      <c r="R1169" s="489"/>
    </row>
    <row r="1170" spans="1:18" x14ac:dyDescent="0.25">
      <c r="B1170" s="596"/>
      <c r="C1170" s="526">
        <v>1</v>
      </c>
      <c r="D1170" s="494" t="s">
        <v>49</v>
      </c>
      <c r="F1170" s="495"/>
      <c r="G1170" s="561"/>
      <c r="H1170" s="561">
        <f>+M1163</f>
        <v>68</v>
      </c>
      <c r="I1170" s="561">
        <f>+H1170</f>
        <v>68</v>
      </c>
      <c r="J1170" s="975">
        <f>+I1170/H1173</f>
        <v>0.1487964989059081</v>
      </c>
      <c r="K1170" s="539"/>
      <c r="O1170" s="468"/>
      <c r="R1170" s="489"/>
    </row>
    <row r="1171" spans="1:18" x14ac:dyDescent="0.25">
      <c r="B1171" s="596"/>
      <c r="C1171" s="526">
        <v>1</v>
      </c>
      <c r="D1171" s="494" t="s">
        <v>51</v>
      </c>
      <c r="F1171" s="495"/>
      <c r="G1171" s="561"/>
      <c r="H1171" s="561"/>
      <c r="I1171" s="1081">
        <f>SUM(H1171:H1172)</f>
        <v>0</v>
      </c>
      <c r="J1171" s="1116">
        <f>+I1171/H1173</f>
        <v>0</v>
      </c>
      <c r="K1171" s="539"/>
      <c r="O1171" s="468"/>
      <c r="R1171" s="489"/>
    </row>
    <row r="1172" spans="1:18" x14ac:dyDescent="0.25">
      <c r="B1172" s="596"/>
      <c r="C1172" s="526">
        <v>1</v>
      </c>
      <c r="D1172" s="467" t="s">
        <v>20</v>
      </c>
      <c r="F1172" s="495"/>
      <c r="G1172" s="561"/>
      <c r="H1172" s="561"/>
      <c r="I1172" s="1083"/>
      <c r="J1172" s="1117"/>
      <c r="K1172" s="539"/>
      <c r="O1172" s="468"/>
      <c r="R1172" s="489"/>
    </row>
    <row r="1173" spans="1:18" x14ac:dyDescent="0.25">
      <c r="B1173" s="596"/>
      <c r="C1173" s="526">
        <v>1</v>
      </c>
      <c r="D1173" s="467" t="s">
        <v>52</v>
      </c>
      <c r="F1173" s="495"/>
      <c r="G1173" s="553" t="s">
        <v>97</v>
      </c>
      <c r="H1173" s="561">
        <f>SUM(H1160:H1172)</f>
        <v>457</v>
      </c>
      <c r="I1173" s="477"/>
      <c r="J1173" s="974"/>
      <c r="K1173" s="539"/>
      <c r="O1173" s="468"/>
      <c r="R1173" s="489"/>
    </row>
    <row r="1174" spans="1:18" x14ac:dyDescent="0.25">
      <c r="B1174" s="596"/>
      <c r="C1174" s="526">
        <v>1</v>
      </c>
      <c r="D1174" s="467" t="s">
        <v>21</v>
      </c>
      <c r="F1174" s="495"/>
      <c r="G1174" s="553" t="s">
        <v>105</v>
      </c>
      <c r="H1174" s="561">
        <f>H1173*$M$153</f>
        <v>91.4</v>
      </c>
      <c r="I1174" s="477"/>
      <c r="J1174" s="974"/>
      <c r="K1174" s="539"/>
      <c r="O1174" s="468"/>
      <c r="R1174" s="489"/>
    </row>
    <row r="1175" spans="1:18" x14ac:dyDescent="0.25">
      <c r="B1175" s="562"/>
      <c r="C1175" s="527" t="s">
        <v>17</v>
      </c>
      <c r="D1175" s="522" t="s">
        <v>48</v>
      </c>
      <c r="E1175" s="523"/>
      <c r="F1175" s="524"/>
      <c r="G1175" s="553" t="s">
        <v>452</v>
      </c>
      <c r="H1175" s="561">
        <f>SUM(H1173:H1174)</f>
        <v>548.4</v>
      </c>
      <c r="I1175" s="477"/>
      <c r="J1175" s="974"/>
      <c r="K1175" s="539"/>
      <c r="O1175" s="468"/>
      <c r="R1175" s="489"/>
    </row>
    <row r="1176" spans="1:18" x14ac:dyDescent="0.25">
      <c r="G1176" s="477"/>
      <c r="H1176" s="477"/>
      <c r="I1176" s="477"/>
      <c r="K1176" s="539"/>
      <c r="O1176" s="468"/>
      <c r="R1176" s="489"/>
    </row>
    <row r="1177" spans="1:18" s="467" customFormat="1" x14ac:dyDescent="0.2">
      <c r="A1177" s="463"/>
      <c r="B1177" s="555" t="s">
        <v>6</v>
      </c>
      <c r="C1177" s="515" t="s">
        <v>0</v>
      </c>
      <c r="D1177" s="556" t="s">
        <v>8</v>
      </c>
      <c r="E1177" s="525" t="s">
        <v>4</v>
      </c>
      <c r="F1177" s="556" t="s">
        <v>3</v>
      </c>
      <c r="G1177" s="477"/>
      <c r="H1177" s="477"/>
      <c r="I1177" s="477"/>
      <c r="J1177" s="925"/>
      <c r="K1177" s="539"/>
      <c r="Q1177" s="465"/>
    </row>
    <row r="1178" spans="1:18" ht="16.5" thickBot="1" x14ac:dyDescent="0.3">
      <c r="A1178" s="463">
        <v>153</v>
      </c>
      <c r="B1178" s="1077">
        <f>+B71</f>
        <v>4.0399999999999991</v>
      </c>
      <c r="C1178" s="1077">
        <f>+C71</f>
        <v>1</v>
      </c>
      <c r="D1178" s="1091" t="str">
        <f>+D71</f>
        <v>TABLERO BUSBAR - TIPO 04</v>
      </c>
      <c r="E1178" s="517">
        <f>+H1195</f>
        <v>565.20000000000005</v>
      </c>
      <c r="F1178" s="518">
        <f>+E1178*C1178</f>
        <v>565.20000000000005</v>
      </c>
      <c r="G1178" s="553" t="s">
        <v>450</v>
      </c>
      <c r="H1178" s="553" t="s">
        <v>1</v>
      </c>
      <c r="I1178" s="477"/>
      <c r="J1178" s="974"/>
      <c r="K1178" s="539"/>
      <c r="O1178" s="468"/>
    </row>
    <row r="1179" spans="1:18" ht="16.5" thickBot="1" x14ac:dyDescent="0.3">
      <c r="B1179" s="1078"/>
      <c r="C1179" s="1078"/>
      <c r="D1179" s="1092"/>
      <c r="E1179" s="519" t="s">
        <v>50</v>
      </c>
      <c r="F1179" s="520" t="s">
        <v>50</v>
      </c>
      <c r="G1179" s="553" t="s">
        <v>50</v>
      </c>
      <c r="H1179" s="553" t="s">
        <v>50</v>
      </c>
      <c r="I1179" s="477"/>
      <c r="J1179" s="974"/>
      <c r="K1179" s="539"/>
      <c r="L1179" s="540" t="s">
        <v>451</v>
      </c>
      <c r="M1179" s="541"/>
      <c r="O1179" s="468"/>
    </row>
    <row r="1180" spans="1:18" ht="16.5" thickBot="1" x14ac:dyDescent="0.3">
      <c r="B1180" s="596"/>
      <c r="C1180" s="526"/>
      <c r="F1180" s="495"/>
      <c r="G1180" s="561"/>
      <c r="H1180" s="561"/>
      <c r="I1180" s="477"/>
      <c r="J1180" s="974"/>
      <c r="K1180" s="539"/>
      <c r="L1180" s="542" t="s">
        <v>88</v>
      </c>
      <c r="M1180" s="543" t="s">
        <v>85</v>
      </c>
      <c r="O1180" s="468"/>
      <c r="R1180" s="489"/>
    </row>
    <row r="1181" spans="1:18" x14ac:dyDescent="0.25">
      <c r="B1181" s="596"/>
      <c r="C1181" s="526">
        <v>1</v>
      </c>
      <c r="D1181" s="539" t="str">
        <f>+'Precios Equipos'!C190</f>
        <v>Gabinete Autosoportado 1800x600x450mm. (Alto x ancho x profundidad)</v>
      </c>
      <c r="F1181" s="495"/>
      <c r="G1181" s="561">
        <f>VLOOKUP(D1181,'Precios Equipos'!$C$11:$F$208,3,0)</f>
        <v>0</v>
      </c>
      <c r="H1181" s="561">
        <f t="shared" ref="H1181" si="113">G1181*C1181</f>
        <v>0</v>
      </c>
      <c r="I1181" s="561">
        <f>+H1181</f>
        <v>0</v>
      </c>
      <c r="J1181" s="975">
        <f>+I1181/H1193</f>
        <v>0</v>
      </c>
      <c r="K1181" s="539"/>
      <c r="L1181" s="544" t="str">
        <f>+'Precios Equipos'!C116</f>
        <v>COBRE BUS BAR TIPO 1; 2; 3; 4; 4.1; 5; 7</v>
      </c>
      <c r="M1181" s="545">
        <f>IFERROR(VLOOKUP(L1181,'Precios Equipos'!$C$11:$F$208,3,0),0)</f>
        <v>5</v>
      </c>
      <c r="O1181" s="468"/>
      <c r="Q1181" s="465">
        <f>+C1181*$C$1178</f>
        <v>1</v>
      </c>
      <c r="R1181" s="489"/>
    </row>
    <row r="1182" spans="1:18" x14ac:dyDescent="0.25">
      <c r="B1182" s="596"/>
      <c r="C1182" s="526"/>
      <c r="F1182" s="495"/>
      <c r="G1182" s="561"/>
      <c r="H1182" s="561"/>
      <c r="I1182" s="477"/>
      <c r="J1182" s="974"/>
      <c r="K1182" s="539"/>
      <c r="L1182" s="544" t="str">
        <f>+'Precios Equipos'!C151</f>
        <v>M. Obra Electricidad BUS BAR TIPO 1; 2; 3; 4; 4.1; 5; 7</v>
      </c>
      <c r="M1182" s="545">
        <f>IFERROR(VLOOKUP(L1182,'Precios Equipos'!$C$11:$F$208,3,0),0)</f>
        <v>0</v>
      </c>
      <c r="O1182" s="468"/>
      <c r="R1182" s="489"/>
    </row>
    <row r="1183" spans="1:18" ht="16.5" thickBot="1" x14ac:dyDescent="0.3">
      <c r="B1183" s="596"/>
      <c r="C1183" s="526"/>
      <c r="D1183" s="620" t="s">
        <v>568</v>
      </c>
      <c r="F1183" s="495"/>
      <c r="G1183" s="561"/>
      <c r="H1183" s="561"/>
      <c r="I1183" s="477"/>
      <c r="J1183" s="974"/>
      <c r="K1183" s="539"/>
      <c r="L1183" s="544" t="str">
        <f>+'Precios Equipos'!$C$205</f>
        <v>Diseño Ingenieria Tableros Autosoportados</v>
      </c>
      <c r="M1183" s="545">
        <f>IFERROR(VLOOKUP(L1183,'Precios Equipos'!$C$11:$F$208,3,0),0)</f>
        <v>63</v>
      </c>
      <c r="O1183" s="468"/>
      <c r="R1183" s="489"/>
    </row>
    <row r="1184" spans="1:18" ht="16.5" thickBot="1" x14ac:dyDescent="0.3">
      <c r="B1184" s="596"/>
      <c r="C1184" s="526">
        <v>2</v>
      </c>
      <c r="D1184" s="467" t="str">
        <f>+'Precios Equipos'!C40</f>
        <v>ITM 2x50A, Caja Moldeada, 50kA en 220V, A1N, ABB, DC</v>
      </c>
      <c r="F1184" s="495"/>
      <c r="G1184" s="561">
        <f>VLOOKUP(D1184,'Precios Equipos'!$C$11:$F$208,3,0)</f>
        <v>9</v>
      </c>
      <c r="H1184" s="561">
        <f t="shared" ref="H1184:H1187" si="114">G1184*C1184</f>
        <v>18</v>
      </c>
      <c r="I1184" s="1081">
        <f>SUM(H1184:H1187)</f>
        <v>403</v>
      </c>
      <c r="J1184" s="1116">
        <f>+I1184/H1193</f>
        <v>0.85562632696390661</v>
      </c>
      <c r="K1184" s="539"/>
      <c r="L1184" s="546" t="s">
        <v>89</v>
      </c>
      <c r="M1184" s="560">
        <f>SUM(M1181:M1183)</f>
        <v>68</v>
      </c>
      <c r="O1184" s="468"/>
      <c r="Q1184" s="465">
        <f>+C1184*$C$1178</f>
        <v>2</v>
      </c>
      <c r="R1184" s="489"/>
    </row>
    <row r="1185" spans="1:18" x14ac:dyDescent="0.25">
      <c r="B1185" s="596"/>
      <c r="C1185" s="526">
        <v>1</v>
      </c>
      <c r="D1185" s="467" t="str">
        <f>+'Precios Equipos'!C43</f>
        <v>ITM 2x160A, Caja Moldeada 160A, 50kA en 220V, A2N 250, ABB, DC</v>
      </c>
      <c r="F1185" s="495"/>
      <c r="G1185" s="561">
        <f>VLOOKUP(D1185,'Precios Equipos'!$C$11:$F$208,3,0)</f>
        <v>92</v>
      </c>
      <c r="H1185" s="561">
        <f t="shared" si="114"/>
        <v>92</v>
      </c>
      <c r="I1185" s="1082"/>
      <c r="J1185" s="1129"/>
      <c r="K1185" s="539"/>
      <c r="O1185" s="468"/>
      <c r="Q1185" s="465">
        <f>+C1185*$C$1178</f>
        <v>1</v>
      </c>
      <c r="R1185" s="489"/>
    </row>
    <row r="1186" spans="1:18" x14ac:dyDescent="0.25">
      <c r="B1186" s="596"/>
      <c r="C1186" s="526">
        <v>1</v>
      </c>
      <c r="D1186" s="467" t="str">
        <f>+'Precios Equipos'!C64</f>
        <v>Seccionador Portafusible XLP1-1P-2BC, 250A, 1SEP600116R0002, ABB</v>
      </c>
      <c r="F1186" s="495"/>
      <c r="G1186" s="561">
        <f>VLOOKUP(D1186,'Precios Equipos'!$C$11:$F$208,3,0)</f>
        <v>148</v>
      </c>
      <c r="H1186" s="561">
        <f t="shared" si="114"/>
        <v>148</v>
      </c>
      <c r="I1186" s="1082"/>
      <c r="J1186" s="1129"/>
      <c r="K1186" s="539"/>
      <c r="O1186" s="468"/>
      <c r="Q1186" s="465">
        <f>+C1186*$C$1178</f>
        <v>1</v>
      </c>
      <c r="R1186" s="489"/>
    </row>
    <row r="1187" spans="1:18" x14ac:dyDescent="0.25">
      <c r="B1187" s="596"/>
      <c r="C1187" s="526">
        <v>1</v>
      </c>
      <c r="D1187" s="467" t="str">
        <f>+'Precios Equipos'!$C$65</f>
        <v>Fusible tipo NH1 250A</v>
      </c>
      <c r="F1187" s="495"/>
      <c r="G1187" s="561">
        <f>VLOOKUP(D1187,'Precios Equipos'!$C$11:$F$208,3,0)</f>
        <v>145</v>
      </c>
      <c r="H1187" s="561">
        <f t="shared" si="114"/>
        <v>145</v>
      </c>
      <c r="I1187" s="1083"/>
      <c r="J1187" s="1117"/>
      <c r="K1187" s="539"/>
      <c r="O1187" s="468"/>
      <c r="Q1187" s="465">
        <f>+C1187*$C$1178</f>
        <v>1</v>
      </c>
      <c r="R1187" s="489"/>
    </row>
    <row r="1188" spans="1:18" x14ac:dyDescent="0.25">
      <c r="B1188" s="596"/>
      <c r="C1188" s="526"/>
      <c r="F1188" s="495"/>
      <c r="G1188" s="561"/>
      <c r="H1188" s="561"/>
      <c r="I1188" s="477"/>
      <c r="J1188" s="974"/>
      <c r="K1188" s="539"/>
      <c r="O1188" s="468"/>
      <c r="R1188" s="489"/>
    </row>
    <row r="1189" spans="1:18" x14ac:dyDescent="0.25">
      <c r="B1189" s="596"/>
      <c r="C1189" s="526"/>
      <c r="D1189" s="620" t="s">
        <v>87</v>
      </c>
      <c r="F1189" s="495"/>
      <c r="G1189" s="561"/>
      <c r="H1189" s="561"/>
      <c r="I1189" s="477"/>
      <c r="J1189" s="974"/>
      <c r="K1189" s="539"/>
      <c r="O1189" s="468"/>
      <c r="R1189" s="489"/>
    </row>
    <row r="1190" spans="1:18" x14ac:dyDescent="0.25">
      <c r="B1190" s="596"/>
      <c r="C1190" s="526">
        <v>1</v>
      </c>
      <c r="D1190" s="494" t="s">
        <v>49</v>
      </c>
      <c r="F1190" s="495"/>
      <c r="G1190" s="561"/>
      <c r="H1190" s="561">
        <f>+M1184</f>
        <v>68</v>
      </c>
      <c r="I1190" s="561">
        <f>+H1190</f>
        <v>68</v>
      </c>
      <c r="J1190" s="975">
        <f>+I1190/H1193</f>
        <v>0.14437367303609341</v>
      </c>
      <c r="K1190" s="539"/>
      <c r="O1190" s="468"/>
      <c r="R1190" s="489"/>
    </row>
    <row r="1191" spans="1:18" x14ac:dyDescent="0.25">
      <c r="B1191" s="596"/>
      <c r="C1191" s="526">
        <v>1</v>
      </c>
      <c r="D1191" s="494" t="s">
        <v>51</v>
      </c>
      <c r="F1191" s="495"/>
      <c r="G1191" s="561"/>
      <c r="H1191" s="561"/>
      <c r="I1191" s="1081">
        <f>SUM(H1191:H1192)</f>
        <v>0</v>
      </c>
      <c r="J1191" s="1116">
        <f>+I1191/H1193</f>
        <v>0</v>
      </c>
      <c r="K1191" s="539"/>
      <c r="O1191" s="468"/>
      <c r="R1191" s="489"/>
    </row>
    <row r="1192" spans="1:18" x14ac:dyDescent="0.25">
      <c r="B1192" s="596"/>
      <c r="C1192" s="526">
        <v>1</v>
      </c>
      <c r="D1192" s="467" t="s">
        <v>20</v>
      </c>
      <c r="F1192" s="495"/>
      <c r="G1192" s="561"/>
      <c r="H1192" s="561"/>
      <c r="I1192" s="1083"/>
      <c r="J1192" s="1117"/>
      <c r="K1192" s="539"/>
      <c r="O1192" s="468"/>
      <c r="R1192" s="489"/>
    </row>
    <row r="1193" spans="1:18" x14ac:dyDescent="0.25">
      <c r="B1193" s="596"/>
      <c r="C1193" s="526">
        <v>1</v>
      </c>
      <c r="D1193" s="467" t="s">
        <v>52</v>
      </c>
      <c r="F1193" s="495"/>
      <c r="G1193" s="553" t="s">
        <v>97</v>
      </c>
      <c r="H1193" s="561">
        <f>SUM(H1180:H1192)</f>
        <v>471</v>
      </c>
      <c r="I1193" s="477"/>
      <c r="J1193" s="974"/>
      <c r="K1193" s="539"/>
      <c r="O1193" s="468"/>
      <c r="R1193" s="489"/>
    </row>
    <row r="1194" spans="1:18" x14ac:dyDescent="0.25">
      <c r="B1194" s="596"/>
      <c r="C1194" s="526">
        <v>1</v>
      </c>
      <c r="D1194" s="467" t="s">
        <v>21</v>
      </c>
      <c r="F1194" s="495"/>
      <c r="G1194" s="553" t="s">
        <v>105</v>
      </c>
      <c r="H1194" s="561">
        <f>H1193*$M$153</f>
        <v>94.2</v>
      </c>
      <c r="I1194" s="477"/>
      <c r="J1194" s="974"/>
      <c r="K1194" s="539"/>
      <c r="O1194" s="468"/>
      <c r="R1194" s="489"/>
    </row>
    <row r="1195" spans="1:18" x14ac:dyDescent="0.25">
      <c r="B1195" s="562"/>
      <c r="C1195" s="527" t="s">
        <v>17</v>
      </c>
      <c r="D1195" s="522" t="s">
        <v>48</v>
      </c>
      <c r="E1195" s="523"/>
      <c r="F1195" s="524"/>
      <c r="G1195" s="553" t="s">
        <v>452</v>
      </c>
      <c r="H1195" s="561">
        <f>SUM(H1193:H1194)</f>
        <v>565.20000000000005</v>
      </c>
      <c r="I1195" s="477"/>
      <c r="J1195" s="974"/>
      <c r="K1195" s="539"/>
      <c r="O1195" s="468"/>
      <c r="R1195" s="489"/>
    </row>
    <row r="1196" spans="1:18" x14ac:dyDescent="0.25">
      <c r="G1196" s="477"/>
      <c r="H1196" s="477"/>
      <c r="I1196" s="477"/>
      <c r="K1196" s="539"/>
      <c r="O1196" s="468"/>
      <c r="R1196" s="489"/>
    </row>
    <row r="1197" spans="1:18" s="467" customFormat="1" x14ac:dyDescent="0.2">
      <c r="A1197" s="463"/>
      <c r="B1197" s="555" t="s">
        <v>6</v>
      </c>
      <c r="C1197" s="515" t="s">
        <v>0</v>
      </c>
      <c r="D1197" s="556" t="s">
        <v>8</v>
      </c>
      <c r="E1197" s="525" t="s">
        <v>4</v>
      </c>
      <c r="F1197" s="556" t="s">
        <v>3</v>
      </c>
      <c r="G1197" s="477"/>
      <c r="H1197" s="477"/>
      <c r="I1197" s="477"/>
      <c r="J1197" s="925"/>
      <c r="K1197" s="539"/>
      <c r="Q1197" s="465"/>
    </row>
    <row r="1198" spans="1:18" x14ac:dyDescent="0.25">
      <c r="A1198" s="463">
        <v>153</v>
      </c>
      <c r="B1198" s="1077">
        <f>+B72</f>
        <v>4.0499999999999989</v>
      </c>
      <c r="C1198" s="1077">
        <f>+C72</f>
        <v>2</v>
      </c>
      <c r="D1198" s="1091" t="str">
        <f>+D72</f>
        <v>TABLERO BUSBAR - TIPO 05</v>
      </c>
      <c r="E1198" s="517">
        <f>+H1215</f>
        <v>565.20000000000005</v>
      </c>
      <c r="F1198" s="518">
        <f>+E1198*C1198</f>
        <v>1130.4000000000001</v>
      </c>
      <c r="G1198" s="553" t="s">
        <v>450</v>
      </c>
      <c r="H1198" s="553" t="s">
        <v>1</v>
      </c>
      <c r="I1198" s="477"/>
      <c r="J1198" s="974"/>
      <c r="K1198" s="539"/>
      <c r="O1198" s="468"/>
    </row>
    <row r="1199" spans="1:18" ht="16.5" thickBot="1" x14ac:dyDescent="0.3">
      <c r="B1199" s="1078"/>
      <c r="C1199" s="1078"/>
      <c r="D1199" s="1092"/>
      <c r="E1199" s="519" t="s">
        <v>50</v>
      </c>
      <c r="F1199" s="520" t="s">
        <v>50</v>
      </c>
      <c r="G1199" s="553" t="s">
        <v>50</v>
      </c>
      <c r="H1199" s="553" t="s">
        <v>50</v>
      </c>
      <c r="I1199" s="477"/>
      <c r="J1199" s="974"/>
      <c r="K1199" s="539"/>
      <c r="O1199" s="468"/>
    </row>
    <row r="1200" spans="1:18" ht="16.5" thickBot="1" x14ac:dyDescent="0.3">
      <c r="B1200" s="596"/>
      <c r="C1200" s="526"/>
      <c r="F1200" s="495"/>
      <c r="G1200" s="561"/>
      <c r="H1200" s="561"/>
      <c r="I1200" s="477"/>
      <c r="J1200" s="974"/>
      <c r="K1200" s="539"/>
      <c r="L1200" s="540" t="s">
        <v>451</v>
      </c>
      <c r="M1200" s="541"/>
      <c r="O1200" s="468"/>
      <c r="R1200" s="489"/>
    </row>
    <row r="1201" spans="2:18" ht="16.5" thickBot="1" x14ac:dyDescent="0.3">
      <c r="B1201" s="596"/>
      <c r="C1201" s="526">
        <v>1</v>
      </c>
      <c r="D1201" s="539" t="str">
        <f>+'Precios Equipos'!C190</f>
        <v>Gabinete Autosoportado 1800x600x450mm. (Alto x ancho x profundidad)</v>
      </c>
      <c r="F1201" s="495"/>
      <c r="G1201" s="561">
        <f>VLOOKUP(D1201,'Precios Equipos'!$C$11:$F$208,3,0)</f>
        <v>0</v>
      </c>
      <c r="H1201" s="561">
        <f t="shared" ref="H1201" si="115">G1201*C1201</f>
        <v>0</v>
      </c>
      <c r="I1201" s="561">
        <f>+H1201</f>
        <v>0</v>
      </c>
      <c r="J1201" s="975">
        <f>+I1201/H1213</f>
        <v>0</v>
      </c>
      <c r="K1201" s="539"/>
      <c r="L1201" s="542" t="s">
        <v>88</v>
      </c>
      <c r="M1201" s="543" t="s">
        <v>85</v>
      </c>
      <c r="O1201" s="468"/>
      <c r="Q1201" s="465">
        <f>+C1201*$C$1198</f>
        <v>2</v>
      </c>
      <c r="R1201" s="489"/>
    </row>
    <row r="1202" spans="2:18" x14ac:dyDescent="0.25">
      <c r="B1202" s="596"/>
      <c r="C1202" s="526"/>
      <c r="F1202" s="495"/>
      <c r="G1202" s="561"/>
      <c r="H1202" s="561"/>
      <c r="I1202" s="477"/>
      <c r="J1202" s="974"/>
      <c r="K1202" s="539"/>
      <c r="L1202" s="544" t="str">
        <f>+'Precios Equipos'!C116</f>
        <v>COBRE BUS BAR TIPO 1; 2; 3; 4; 4.1; 5; 7</v>
      </c>
      <c r="M1202" s="545">
        <f>IFERROR(VLOOKUP(L1202,'Precios Equipos'!$C$11:$F$208,3,0),0)</f>
        <v>5</v>
      </c>
      <c r="O1202" s="468"/>
      <c r="R1202" s="489"/>
    </row>
    <row r="1203" spans="2:18" x14ac:dyDescent="0.25">
      <c r="B1203" s="596"/>
      <c r="C1203" s="526"/>
      <c r="D1203" s="620" t="s">
        <v>568</v>
      </c>
      <c r="F1203" s="495"/>
      <c r="G1203" s="561"/>
      <c r="H1203" s="561"/>
      <c r="I1203" s="477"/>
      <c r="J1203" s="974"/>
      <c r="K1203" s="539"/>
      <c r="L1203" s="544" t="str">
        <f>+'Precios Equipos'!C151</f>
        <v>M. Obra Electricidad BUS BAR TIPO 1; 2; 3; 4; 4.1; 5; 7</v>
      </c>
      <c r="M1203" s="545">
        <f>IFERROR(VLOOKUP(L1203,'Precios Equipos'!$C$11:$F$208,3,0),0)</f>
        <v>0</v>
      </c>
      <c r="O1203" s="468"/>
      <c r="R1203" s="489"/>
    </row>
    <row r="1204" spans="2:18" ht="16.5" thickBot="1" x14ac:dyDescent="0.3">
      <c r="B1204" s="596"/>
      <c r="C1204" s="526">
        <v>2</v>
      </c>
      <c r="D1204" s="467" t="str">
        <f>+'Precios Equipos'!C40</f>
        <v>ITM 2x50A, Caja Moldeada, 50kA en 220V, A1N, ABB, DC</v>
      </c>
      <c r="F1204" s="495"/>
      <c r="G1204" s="561">
        <f>VLOOKUP(D1204,'Precios Equipos'!$C$25:$F$208,3,0)</f>
        <v>9</v>
      </c>
      <c r="H1204" s="561">
        <f t="shared" ref="H1204:H1207" si="116">G1204*C1204</f>
        <v>18</v>
      </c>
      <c r="I1204" s="1081">
        <f>SUM(H1204:H1207)</f>
        <v>403</v>
      </c>
      <c r="J1204" s="1116">
        <f>+I1204/H1213</f>
        <v>0.85562632696390661</v>
      </c>
      <c r="K1204" s="539"/>
      <c r="L1204" s="544" t="str">
        <f>+'Precios Equipos'!$C$205</f>
        <v>Diseño Ingenieria Tableros Autosoportados</v>
      </c>
      <c r="M1204" s="545">
        <f>IFERROR(VLOOKUP(L1204,'Precios Equipos'!$C$11:$F$208,3,0),0)</f>
        <v>63</v>
      </c>
      <c r="O1204" s="468"/>
      <c r="Q1204" s="465">
        <f>+C1204*$C$1198</f>
        <v>4</v>
      </c>
      <c r="R1204" s="489"/>
    </row>
    <row r="1205" spans="2:18" ht="16.5" thickBot="1" x14ac:dyDescent="0.3">
      <c r="B1205" s="596"/>
      <c r="C1205" s="526">
        <v>1</v>
      </c>
      <c r="D1205" s="467" t="str">
        <f>+'Precios Equipos'!C43</f>
        <v>ITM 2x160A, Caja Moldeada 160A, 50kA en 220V, A2N 250, ABB, DC</v>
      </c>
      <c r="F1205" s="495"/>
      <c r="G1205" s="561">
        <f>VLOOKUP(D1205,'Precios Equipos'!$C$25:$F$208,3,0)</f>
        <v>92</v>
      </c>
      <c r="H1205" s="561">
        <f t="shared" si="116"/>
        <v>92</v>
      </c>
      <c r="I1205" s="1082"/>
      <c r="J1205" s="1129"/>
      <c r="K1205" s="539"/>
      <c r="L1205" s="546" t="s">
        <v>89</v>
      </c>
      <c r="M1205" s="560">
        <f>SUM(M1202:M1204)</f>
        <v>68</v>
      </c>
      <c r="O1205" s="468"/>
      <c r="Q1205" s="465">
        <f>+C1205*$C$1198</f>
        <v>2</v>
      </c>
      <c r="R1205" s="489"/>
    </row>
    <row r="1206" spans="2:18" x14ac:dyDescent="0.25">
      <c r="B1206" s="596"/>
      <c r="C1206" s="526">
        <v>1</v>
      </c>
      <c r="D1206" s="467" t="str">
        <f>+'Precios Equipos'!C64</f>
        <v>Seccionador Portafusible XLP1-1P-2BC, 250A, 1SEP600116R0002, ABB</v>
      </c>
      <c r="F1206" s="495"/>
      <c r="G1206" s="561">
        <f>VLOOKUP(D1206,'Precios Equipos'!$C$25:$F$208,3,0)</f>
        <v>148</v>
      </c>
      <c r="H1206" s="561">
        <f t="shared" si="116"/>
        <v>148</v>
      </c>
      <c r="I1206" s="1082"/>
      <c r="J1206" s="1129"/>
      <c r="K1206" s="539"/>
      <c r="O1206" s="468"/>
      <c r="Q1206" s="465">
        <f>+C1206*$C$1198</f>
        <v>2</v>
      </c>
      <c r="R1206" s="489"/>
    </row>
    <row r="1207" spans="2:18" x14ac:dyDescent="0.25">
      <c r="B1207" s="596"/>
      <c r="C1207" s="526">
        <v>1</v>
      </c>
      <c r="D1207" s="467" t="str">
        <f>+'Precios Equipos'!$C$65</f>
        <v>Fusible tipo NH1 250A</v>
      </c>
      <c r="F1207" s="495"/>
      <c r="G1207" s="561">
        <f>VLOOKUP(D1207,'Precios Equipos'!$C$11:$F$208,3,0)</f>
        <v>145</v>
      </c>
      <c r="H1207" s="561">
        <f t="shared" si="116"/>
        <v>145</v>
      </c>
      <c r="I1207" s="1083"/>
      <c r="J1207" s="1117"/>
      <c r="K1207" s="539"/>
      <c r="O1207" s="468"/>
      <c r="Q1207" s="465">
        <f>+C1207*$C$1198</f>
        <v>2</v>
      </c>
      <c r="R1207" s="489"/>
    </row>
    <row r="1208" spans="2:18" x14ac:dyDescent="0.25">
      <c r="B1208" s="596"/>
      <c r="C1208" s="526"/>
      <c r="F1208" s="495"/>
      <c r="G1208" s="561"/>
      <c r="H1208" s="561"/>
      <c r="I1208" s="477"/>
      <c r="J1208" s="974"/>
      <c r="K1208" s="539"/>
      <c r="O1208" s="468"/>
      <c r="R1208" s="489"/>
    </row>
    <row r="1209" spans="2:18" x14ac:dyDescent="0.25">
      <c r="B1209" s="596"/>
      <c r="C1209" s="526"/>
      <c r="D1209" s="620" t="s">
        <v>87</v>
      </c>
      <c r="F1209" s="495"/>
      <c r="G1209" s="561"/>
      <c r="H1209" s="561"/>
      <c r="I1209" s="477"/>
      <c r="J1209" s="974"/>
      <c r="K1209" s="539"/>
      <c r="O1209" s="468"/>
      <c r="R1209" s="489"/>
    </row>
    <row r="1210" spans="2:18" x14ac:dyDescent="0.25">
      <c r="B1210" s="596"/>
      <c r="C1210" s="526">
        <v>1</v>
      </c>
      <c r="D1210" s="494" t="s">
        <v>49</v>
      </c>
      <c r="F1210" s="495"/>
      <c r="G1210" s="561"/>
      <c r="H1210" s="561">
        <f>+M1205</f>
        <v>68</v>
      </c>
      <c r="I1210" s="561">
        <f>+H1210</f>
        <v>68</v>
      </c>
      <c r="J1210" s="975">
        <f>+I1210/H1213</f>
        <v>0.14437367303609341</v>
      </c>
      <c r="K1210" s="539"/>
      <c r="O1210" s="468"/>
      <c r="R1210" s="489"/>
    </row>
    <row r="1211" spans="2:18" x14ac:dyDescent="0.25">
      <c r="B1211" s="596"/>
      <c r="C1211" s="526">
        <v>1</v>
      </c>
      <c r="D1211" s="494" t="s">
        <v>51</v>
      </c>
      <c r="F1211" s="495"/>
      <c r="G1211" s="561"/>
      <c r="H1211" s="561"/>
      <c r="I1211" s="1081">
        <f>SUM(H1211:H1212)</f>
        <v>0</v>
      </c>
      <c r="J1211" s="1116">
        <f>+I1211/H1213</f>
        <v>0</v>
      </c>
      <c r="K1211" s="539"/>
      <c r="O1211" s="468"/>
      <c r="R1211" s="489"/>
    </row>
    <row r="1212" spans="2:18" x14ac:dyDescent="0.25">
      <c r="B1212" s="596"/>
      <c r="C1212" s="526">
        <v>1</v>
      </c>
      <c r="D1212" s="467" t="s">
        <v>20</v>
      </c>
      <c r="F1212" s="495"/>
      <c r="G1212" s="561"/>
      <c r="H1212" s="561"/>
      <c r="I1212" s="1083"/>
      <c r="J1212" s="1117"/>
      <c r="K1212" s="539"/>
      <c r="O1212" s="468"/>
      <c r="R1212" s="489"/>
    </row>
    <row r="1213" spans="2:18" x14ac:dyDescent="0.25">
      <c r="B1213" s="596"/>
      <c r="C1213" s="526">
        <v>1</v>
      </c>
      <c r="D1213" s="467" t="s">
        <v>52</v>
      </c>
      <c r="F1213" s="495"/>
      <c r="G1213" s="553" t="s">
        <v>97</v>
      </c>
      <c r="H1213" s="561">
        <f>SUM(H1200:H1212)</f>
        <v>471</v>
      </c>
      <c r="I1213" s="477"/>
      <c r="J1213" s="974"/>
      <c r="K1213" s="539"/>
      <c r="O1213" s="468"/>
      <c r="R1213" s="489"/>
    </row>
    <row r="1214" spans="2:18" x14ac:dyDescent="0.25">
      <c r="B1214" s="596"/>
      <c r="C1214" s="526">
        <v>1</v>
      </c>
      <c r="D1214" s="467" t="s">
        <v>21</v>
      </c>
      <c r="F1214" s="495"/>
      <c r="G1214" s="553" t="s">
        <v>105</v>
      </c>
      <c r="H1214" s="561">
        <f>H1213*$M$153</f>
        <v>94.2</v>
      </c>
      <c r="I1214" s="477"/>
      <c r="J1214" s="974"/>
      <c r="K1214" s="539"/>
      <c r="O1214" s="468"/>
      <c r="R1214" s="489"/>
    </row>
    <row r="1215" spans="2:18" x14ac:dyDescent="0.25">
      <c r="B1215" s="562"/>
      <c r="C1215" s="527" t="s">
        <v>17</v>
      </c>
      <c r="D1215" s="522" t="s">
        <v>48</v>
      </c>
      <c r="E1215" s="523"/>
      <c r="F1215" s="524"/>
      <c r="G1215" s="553" t="s">
        <v>452</v>
      </c>
      <c r="H1215" s="561">
        <f>SUM(H1213:H1214)</f>
        <v>565.20000000000005</v>
      </c>
      <c r="I1215" s="477"/>
      <c r="J1215" s="974"/>
      <c r="K1215" s="539"/>
      <c r="O1215" s="468"/>
      <c r="R1215" s="489"/>
    </row>
    <row r="1216" spans="2:18" x14ac:dyDescent="0.25">
      <c r="G1216" s="477"/>
      <c r="H1216" s="477"/>
      <c r="I1216" s="477"/>
      <c r="K1216" s="539"/>
      <c r="O1216" s="468"/>
      <c r="R1216" s="489"/>
    </row>
    <row r="1217" spans="1:18" s="467" customFormat="1" x14ac:dyDescent="0.2">
      <c r="A1217" s="463"/>
      <c r="B1217" s="555" t="s">
        <v>6</v>
      </c>
      <c r="C1217" s="515" t="s">
        <v>0</v>
      </c>
      <c r="D1217" s="556" t="s">
        <v>8</v>
      </c>
      <c r="E1217" s="525" t="s">
        <v>4</v>
      </c>
      <c r="F1217" s="556" t="s">
        <v>3</v>
      </c>
      <c r="G1217" s="477"/>
      <c r="H1217" s="477"/>
      <c r="I1217" s="477"/>
      <c r="J1217" s="925"/>
      <c r="K1217" s="539"/>
      <c r="Q1217" s="465"/>
    </row>
    <row r="1218" spans="1:18" x14ac:dyDescent="0.25">
      <c r="A1218" s="463">
        <v>153</v>
      </c>
      <c r="B1218" s="1077">
        <f>+B73</f>
        <v>4.0599999999999987</v>
      </c>
      <c r="C1218" s="1077">
        <f>+C73</f>
        <v>3</v>
      </c>
      <c r="D1218" s="1091" t="str">
        <f>+D73</f>
        <v>TABLERO BUSBAR - TIPO 06</v>
      </c>
      <c r="E1218" s="517">
        <f>+H1236</f>
        <v>1478.4</v>
      </c>
      <c r="F1218" s="518">
        <f>+E1218*C1218</f>
        <v>4435.2000000000007</v>
      </c>
      <c r="G1218" s="553" t="s">
        <v>450</v>
      </c>
      <c r="H1218" s="553" t="s">
        <v>1</v>
      </c>
      <c r="I1218" s="477"/>
      <c r="K1218" s="539"/>
      <c r="O1218" s="468"/>
    </row>
    <row r="1219" spans="1:18" ht="16.5" thickBot="1" x14ac:dyDescent="0.3">
      <c r="B1219" s="1078"/>
      <c r="C1219" s="1078"/>
      <c r="D1219" s="1092"/>
      <c r="E1219" s="519" t="s">
        <v>50</v>
      </c>
      <c r="F1219" s="520" t="s">
        <v>50</v>
      </c>
      <c r="G1219" s="553" t="s">
        <v>50</v>
      </c>
      <c r="H1219" s="553" t="s">
        <v>50</v>
      </c>
      <c r="I1219" s="477"/>
      <c r="K1219" s="539"/>
      <c r="O1219" s="468"/>
    </row>
    <row r="1220" spans="1:18" ht="16.5" thickBot="1" x14ac:dyDescent="0.3">
      <c r="B1220" s="596"/>
      <c r="C1220" s="526"/>
      <c r="F1220" s="495"/>
      <c r="G1220" s="561"/>
      <c r="H1220" s="561"/>
      <c r="I1220" s="477"/>
      <c r="K1220" s="539"/>
      <c r="L1220" s="540" t="s">
        <v>451</v>
      </c>
      <c r="M1220" s="541"/>
      <c r="O1220" s="468"/>
      <c r="R1220" s="489"/>
    </row>
    <row r="1221" spans="1:18" ht="16.5" thickBot="1" x14ac:dyDescent="0.3">
      <c r="B1221" s="596"/>
      <c r="C1221" s="526">
        <v>1</v>
      </c>
      <c r="D1221" s="539" t="str">
        <f>+'Precios Equipos'!C190</f>
        <v>Gabinete Autosoportado 1800x600x450mm. (Alto x ancho x profundidad)</v>
      </c>
      <c r="F1221" s="495"/>
      <c r="G1221" s="561">
        <f>VLOOKUP(D1221,'Precios Equipos'!$C$11:$F$208,3,0)</f>
        <v>0</v>
      </c>
      <c r="H1221" s="561">
        <f t="shared" ref="H1221" si="117">G1221*C1221</f>
        <v>0</v>
      </c>
      <c r="I1221" s="561">
        <f>+H1221</f>
        <v>0</v>
      </c>
      <c r="J1221" s="975">
        <f>+I1221/H1234</f>
        <v>0</v>
      </c>
      <c r="K1221" s="539"/>
      <c r="L1221" s="542" t="s">
        <v>88</v>
      </c>
      <c r="M1221" s="543" t="s">
        <v>85</v>
      </c>
      <c r="O1221" s="468"/>
      <c r="Q1221" s="465">
        <f>+C1221*$C$1218</f>
        <v>3</v>
      </c>
      <c r="R1221" s="489"/>
    </row>
    <row r="1222" spans="1:18" x14ac:dyDescent="0.25">
      <c r="B1222" s="596"/>
      <c r="C1222" s="526"/>
      <c r="F1222" s="495"/>
      <c r="G1222" s="561"/>
      <c r="H1222" s="561"/>
      <c r="I1222" s="477"/>
      <c r="J1222" s="974"/>
      <c r="K1222" s="539"/>
      <c r="L1222" s="544" t="str">
        <f>+'Precios Equipos'!C117</f>
        <v>COBRE BUS BAR TIPO 6</v>
      </c>
      <c r="M1222" s="545">
        <f>IFERROR(VLOOKUP(L1222,'Precios Equipos'!$C$11:$F$208,3,0),0)</f>
        <v>2</v>
      </c>
      <c r="O1222" s="468"/>
      <c r="R1222" s="489"/>
    </row>
    <row r="1223" spans="1:18" x14ac:dyDescent="0.25">
      <c r="B1223" s="596"/>
      <c r="C1223" s="526"/>
      <c r="D1223" s="620" t="s">
        <v>568</v>
      </c>
      <c r="F1223" s="495"/>
      <c r="G1223" s="561"/>
      <c r="H1223" s="561"/>
      <c r="I1223" s="477"/>
      <c r="J1223" s="974"/>
      <c r="K1223" s="539"/>
      <c r="L1223" s="544" t="str">
        <f>+'Precios Equipos'!C152</f>
        <v>M. Obra Electricidad BUS BAR TIPO 6</v>
      </c>
      <c r="M1223" s="545">
        <f>IFERROR(VLOOKUP(L1223,'Precios Equipos'!$C$11:$F$208,3,0),0)</f>
        <v>0</v>
      </c>
      <c r="O1223" s="468"/>
      <c r="R1223" s="489"/>
    </row>
    <row r="1224" spans="1:18" ht="16.5" thickBot="1" x14ac:dyDescent="0.3">
      <c r="B1224" s="596"/>
      <c r="C1224" s="526">
        <v>2</v>
      </c>
      <c r="D1224" s="467" t="str">
        <f>+'Precios Equipos'!C41</f>
        <v>ITM 2x63A, Caja Moldeada 63A, 50kA en 220V, A1N/P, ABB, DC</v>
      </c>
      <c r="F1224" s="495"/>
      <c r="G1224" s="561">
        <f>VLOOKUP(D1224,'Precios Equipos'!$C$25:$F$208,3,0)</f>
        <v>24</v>
      </c>
      <c r="H1224" s="561">
        <f t="shared" ref="H1224:H1226" si="118">G1224*C1224</f>
        <v>48</v>
      </c>
      <c r="I1224" s="1081">
        <f>SUM(H1224:H1228)</f>
        <v>1167</v>
      </c>
      <c r="J1224" s="1116">
        <f>+I1224/H1234</f>
        <v>0.94724025974025972</v>
      </c>
      <c r="K1224" s="539"/>
      <c r="L1224" s="544" t="str">
        <f>+'Precios Equipos'!$C$205</f>
        <v>Diseño Ingenieria Tableros Autosoportados</v>
      </c>
      <c r="M1224" s="545">
        <f>IFERROR(VLOOKUP(L1224,'Precios Equipos'!$C$11:$F$208,3,0),0)</f>
        <v>63</v>
      </c>
      <c r="O1224" s="468"/>
      <c r="Q1224" s="465">
        <f>+C1224*$C$1218</f>
        <v>6</v>
      </c>
      <c r="R1224" s="489"/>
    </row>
    <row r="1225" spans="1:18" ht="16.5" thickBot="1" x14ac:dyDescent="0.3">
      <c r="B1225" s="596"/>
      <c r="C1225" s="526">
        <v>2</v>
      </c>
      <c r="D1225" s="467" t="str">
        <f>+'Precios Equipos'!C54</f>
        <v>Interruptor Riel Din 2x50A. S200M 20kA en 230V en 250VDC, ABB</v>
      </c>
      <c r="F1225" s="495"/>
      <c r="G1225" s="561">
        <f>VLOOKUP(D1225,'Precios Equipos'!$C$25:$F$208,3,0)</f>
        <v>8</v>
      </c>
      <c r="H1225" s="561">
        <f t="shared" si="118"/>
        <v>16</v>
      </c>
      <c r="I1225" s="1082"/>
      <c r="J1225" s="1129"/>
      <c r="K1225" s="539"/>
      <c r="L1225" s="546" t="s">
        <v>89</v>
      </c>
      <c r="M1225" s="560">
        <f>SUM(M1222:M1224)</f>
        <v>65</v>
      </c>
      <c r="O1225" s="468"/>
      <c r="Q1225" s="465">
        <f>+C1225*$C$1218</f>
        <v>6</v>
      </c>
      <c r="R1225" s="489"/>
    </row>
    <row r="1226" spans="1:18" x14ac:dyDescent="0.25">
      <c r="B1226" s="596"/>
      <c r="C1226" s="526">
        <v>2</v>
      </c>
      <c r="D1226" s="467" t="str">
        <f>+'Precios Equipos'!C60</f>
        <v>Protector de sobretension SPD DC 2P, 1000V DC, CLAMPER/DC SURGE PROTECCION</v>
      </c>
      <c r="F1226" s="495"/>
      <c r="G1226" s="561">
        <f>VLOOKUP(D1226,'Precios Equipos'!$C$25:$F$208,3,0)</f>
        <v>405</v>
      </c>
      <c r="H1226" s="561">
        <f t="shared" si="118"/>
        <v>810</v>
      </c>
      <c r="I1226" s="1082"/>
      <c r="J1226" s="1129"/>
      <c r="K1226" s="539"/>
      <c r="O1226" s="468"/>
      <c r="Q1226" s="465">
        <f>+C1226*$C$1218</f>
        <v>6</v>
      </c>
      <c r="R1226" s="489"/>
    </row>
    <row r="1227" spans="1:18" x14ac:dyDescent="0.25">
      <c r="B1227" s="596"/>
      <c r="C1227" s="526">
        <v>1</v>
      </c>
      <c r="D1227" s="467" t="str">
        <f>+'Precios Equipos'!C64</f>
        <v>Seccionador Portafusible XLP1-1P-2BC, 250A, 1SEP600116R0002, ABB</v>
      </c>
      <c r="F1227" s="495"/>
      <c r="G1227" s="561">
        <f>VLOOKUP(D1227,'Precios Equipos'!$C$25:$F$208,3,0)</f>
        <v>148</v>
      </c>
      <c r="H1227" s="561">
        <f t="shared" ref="H1227:H1228" si="119">G1227*C1227</f>
        <v>148</v>
      </c>
      <c r="I1227" s="1082"/>
      <c r="J1227" s="1129"/>
      <c r="K1227" s="539"/>
      <c r="O1227" s="468"/>
      <c r="Q1227" s="465">
        <f>+C1227*$C$1218</f>
        <v>3</v>
      </c>
      <c r="R1227" s="489"/>
    </row>
    <row r="1228" spans="1:18" x14ac:dyDescent="0.25">
      <c r="B1228" s="596"/>
      <c r="C1228" s="526">
        <v>1</v>
      </c>
      <c r="D1228" s="467" t="str">
        <f>+'Precios Equipos'!$C$65</f>
        <v>Fusible tipo NH1 250A</v>
      </c>
      <c r="F1228" s="495"/>
      <c r="G1228" s="561">
        <f>VLOOKUP(D1228,'Precios Equipos'!$C$11:$F$208,3,0)</f>
        <v>145</v>
      </c>
      <c r="H1228" s="561">
        <f t="shared" si="119"/>
        <v>145</v>
      </c>
      <c r="I1228" s="1083"/>
      <c r="J1228" s="1117"/>
      <c r="K1228" s="539"/>
      <c r="O1228" s="468"/>
      <c r="Q1228" s="465">
        <f>+C1228*$C$1218</f>
        <v>3</v>
      </c>
      <c r="R1228" s="489"/>
    </row>
    <row r="1229" spans="1:18" x14ac:dyDescent="0.25">
      <c r="B1229" s="596"/>
      <c r="C1229" s="526"/>
      <c r="F1229" s="495"/>
      <c r="G1229" s="561"/>
      <c r="H1229" s="561"/>
      <c r="I1229" s="477"/>
      <c r="J1229" s="974"/>
      <c r="K1229" s="539"/>
      <c r="O1229" s="468"/>
      <c r="R1229" s="489"/>
    </row>
    <row r="1230" spans="1:18" x14ac:dyDescent="0.25">
      <c r="B1230" s="596"/>
      <c r="C1230" s="526"/>
      <c r="D1230" s="620" t="s">
        <v>87</v>
      </c>
      <c r="F1230" s="495"/>
      <c r="G1230" s="561"/>
      <c r="H1230" s="561">
        <f>+M1225</f>
        <v>65</v>
      </c>
      <c r="I1230" s="561">
        <f>+H1230</f>
        <v>65</v>
      </c>
      <c r="J1230" s="975">
        <f>+I1230/H1234</f>
        <v>5.2759740259740256E-2</v>
      </c>
      <c r="K1230" s="539"/>
      <c r="O1230" s="468"/>
      <c r="R1230" s="489"/>
    </row>
    <row r="1231" spans="1:18" x14ac:dyDescent="0.25">
      <c r="B1231" s="596"/>
      <c r="C1231" s="526">
        <v>1</v>
      </c>
      <c r="D1231" s="494" t="s">
        <v>49</v>
      </c>
      <c r="F1231" s="495"/>
      <c r="G1231" s="561"/>
      <c r="H1231" s="561"/>
      <c r="I1231" s="1081">
        <f>SUM(H1231:H1232)</f>
        <v>0</v>
      </c>
      <c r="J1231" s="1116">
        <f>+I1231/H1234</f>
        <v>0</v>
      </c>
      <c r="K1231" s="539"/>
      <c r="O1231" s="468"/>
      <c r="R1231" s="489"/>
    </row>
    <row r="1232" spans="1:18" x14ac:dyDescent="0.25">
      <c r="B1232" s="596"/>
      <c r="C1232" s="526">
        <v>1</v>
      </c>
      <c r="D1232" s="494" t="s">
        <v>51</v>
      </c>
      <c r="F1232" s="495"/>
      <c r="G1232" s="561"/>
      <c r="H1232" s="561"/>
      <c r="I1232" s="1083"/>
      <c r="J1232" s="1117"/>
      <c r="K1232" s="539"/>
      <c r="O1232" s="468"/>
      <c r="R1232" s="489"/>
    </row>
    <row r="1233" spans="1:18" x14ac:dyDescent="0.25">
      <c r="B1233" s="596"/>
      <c r="C1233" s="526">
        <v>1</v>
      </c>
      <c r="D1233" s="467" t="s">
        <v>20</v>
      </c>
      <c r="F1233" s="495"/>
      <c r="G1233" s="561"/>
      <c r="H1233" s="561"/>
      <c r="I1233" s="477"/>
      <c r="K1233" s="539"/>
      <c r="O1233" s="468"/>
      <c r="R1233" s="489"/>
    </row>
    <row r="1234" spans="1:18" x14ac:dyDescent="0.25">
      <c r="B1234" s="596"/>
      <c r="C1234" s="526">
        <v>1</v>
      </c>
      <c r="D1234" s="467" t="s">
        <v>52</v>
      </c>
      <c r="F1234" s="495"/>
      <c r="G1234" s="553" t="s">
        <v>97</v>
      </c>
      <c r="H1234" s="561">
        <f>SUM(H1220:H1233)</f>
        <v>1232</v>
      </c>
      <c r="I1234" s="477"/>
      <c r="K1234" s="539"/>
      <c r="O1234" s="468"/>
      <c r="R1234" s="489"/>
    </row>
    <row r="1235" spans="1:18" x14ac:dyDescent="0.25">
      <c r="B1235" s="596"/>
      <c r="C1235" s="526">
        <v>1</v>
      </c>
      <c r="D1235" s="467" t="s">
        <v>21</v>
      </c>
      <c r="F1235" s="495"/>
      <c r="G1235" s="553" t="s">
        <v>105</v>
      </c>
      <c r="H1235" s="561">
        <f>H1234*$M$153</f>
        <v>246.4</v>
      </c>
      <c r="I1235" s="477"/>
      <c r="K1235" s="539"/>
      <c r="O1235" s="468"/>
      <c r="R1235" s="489"/>
    </row>
    <row r="1236" spans="1:18" x14ac:dyDescent="0.25">
      <c r="B1236" s="562"/>
      <c r="C1236" s="527" t="s">
        <v>17</v>
      </c>
      <c r="D1236" s="522" t="s">
        <v>48</v>
      </c>
      <c r="E1236" s="523"/>
      <c r="F1236" s="524"/>
      <c r="G1236" s="553" t="s">
        <v>452</v>
      </c>
      <c r="H1236" s="561">
        <f>SUM(H1234:H1235)</f>
        <v>1478.4</v>
      </c>
      <c r="I1236" s="477"/>
      <c r="K1236" s="539"/>
      <c r="O1236" s="468"/>
      <c r="R1236" s="489"/>
    </row>
    <row r="1237" spans="1:18" x14ac:dyDescent="0.25">
      <c r="G1237" s="477"/>
      <c r="H1237" s="477"/>
      <c r="I1237" s="477"/>
      <c r="K1237" s="539"/>
      <c r="O1237" s="468"/>
      <c r="R1237" s="489"/>
    </row>
    <row r="1238" spans="1:18" s="467" customFormat="1" x14ac:dyDescent="0.2">
      <c r="A1238" s="463"/>
      <c r="B1238" s="555" t="s">
        <v>6</v>
      </c>
      <c r="C1238" s="515" t="s">
        <v>0</v>
      </c>
      <c r="D1238" s="556" t="s">
        <v>8</v>
      </c>
      <c r="E1238" s="525" t="s">
        <v>4</v>
      </c>
      <c r="F1238" s="556" t="s">
        <v>3</v>
      </c>
      <c r="G1238" s="477"/>
      <c r="H1238" s="477"/>
      <c r="I1238" s="477"/>
      <c r="J1238" s="925"/>
      <c r="K1238" s="539"/>
      <c r="Q1238" s="465"/>
    </row>
    <row r="1239" spans="1:18" ht="16.5" thickBot="1" x14ac:dyDescent="0.3">
      <c r="A1239" s="463">
        <v>153</v>
      </c>
      <c r="B1239" s="1077">
        <f>+B74</f>
        <v>4.0699999999999985</v>
      </c>
      <c r="C1239" s="1077">
        <f>+C74</f>
        <v>3</v>
      </c>
      <c r="D1239" s="1091" t="str">
        <f>+D74</f>
        <v>TABLERO BUSBAR - TIPO 07</v>
      </c>
      <c r="E1239" s="517">
        <f>+H1257</f>
        <v>1784.4</v>
      </c>
      <c r="F1239" s="518">
        <f>+E1239*C1239</f>
        <v>5353.2000000000007</v>
      </c>
      <c r="G1239" s="553" t="s">
        <v>450</v>
      </c>
      <c r="H1239" s="553" t="s">
        <v>1</v>
      </c>
      <c r="I1239" s="477"/>
      <c r="J1239" s="974"/>
      <c r="K1239" s="539"/>
      <c r="O1239" s="468"/>
    </row>
    <row r="1240" spans="1:18" ht="16.5" thickBot="1" x14ac:dyDescent="0.3">
      <c r="B1240" s="1078"/>
      <c r="C1240" s="1078"/>
      <c r="D1240" s="1092"/>
      <c r="E1240" s="519" t="s">
        <v>50</v>
      </c>
      <c r="F1240" s="520" t="s">
        <v>50</v>
      </c>
      <c r="G1240" s="553" t="s">
        <v>50</v>
      </c>
      <c r="H1240" s="553" t="s">
        <v>50</v>
      </c>
      <c r="I1240" s="477"/>
      <c r="J1240" s="974"/>
      <c r="K1240" s="539"/>
      <c r="L1240" s="540" t="s">
        <v>451</v>
      </c>
      <c r="M1240" s="541"/>
      <c r="O1240" s="468"/>
    </row>
    <row r="1241" spans="1:18" ht="16.5" thickBot="1" x14ac:dyDescent="0.3">
      <c r="B1241" s="596"/>
      <c r="C1241" s="526"/>
      <c r="F1241" s="495"/>
      <c r="G1241" s="561"/>
      <c r="H1241" s="561"/>
      <c r="I1241" s="477"/>
      <c r="J1241" s="974"/>
      <c r="K1241" s="539"/>
      <c r="L1241" s="542" t="s">
        <v>88</v>
      </c>
      <c r="M1241" s="543" t="s">
        <v>85</v>
      </c>
      <c r="O1241" s="468"/>
      <c r="R1241" s="489"/>
    </row>
    <row r="1242" spans="1:18" x14ac:dyDescent="0.25">
      <c r="B1242" s="596"/>
      <c r="C1242" s="526">
        <v>1</v>
      </c>
      <c r="D1242" s="539" t="str">
        <f>+'Precios Equipos'!C190</f>
        <v>Gabinete Autosoportado 1800x600x450mm. (Alto x ancho x profundidad)</v>
      </c>
      <c r="F1242" s="495"/>
      <c r="G1242" s="561">
        <f>VLOOKUP(D1242,'Precios Equipos'!$C$11:$F$208,3,0)</f>
        <v>0</v>
      </c>
      <c r="H1242" s="561">
        <f t="shared" ref="H1242" si="120">G1242*C1242</f>
        <v>0</v>
      </c>
      <c r="I1242" s="561">
        <f>+H1242</f>
        <v>0</v>
      </c>
      <c r="J1242" s="975">
        <f>+I1242/H1255</f>
        <v>0</v>
      </c>
      <c r="K1242" s="539"/>
      <c r="L1242" s="544" t="str">
        <f>+'Precios Equipos'!C118</f>
        <v>COBRE BUS BAR TIPO 8; 8.1 y 9.1</v>
      </c>
      <c r="M1242" s="545">
        <f>IFERROR(VLOOKUP(L1242,'Precios Equipos'!$C$11:$F$208,3,0),0)</f>
        <v>1</v>
      </c>
      <c r="O1242" s="468"/>
      <c r="Q1242" s="465">
        <f>+C1242*$C$1239</f>
        <v>3</v>
      </c>
      <c r="R1242" s="489"/>
    </row>
    <row r="1243" spans="1:18" x14ac:dyDescent="0.25">
      <c r="B1243" s="596"/>
      <c r="C1243" s="526"/>
      <c r="F1243" s="495"/>
      <c r="G1243" s="561"/>
      <c r="H1243" s="561"/>
      <c r="I1243" s="477"/>
      <c r="J1243" s="974"/>
      <c r="K1243" s="539"/>
      <c r="L1243" s="544" t="str">
        <f>+'Precios Equipos'!C151</f>
        <v>M. Obra Electricidad BUS BAR TIPO 1; 2; 3; 4; 4.1; 5; 7</v>
      </c>
      <c r="M1243" s="545">
        <f>IFERROR(VLOOKUP(L1243,'Precios Equipos'!$C$11:$F$208,3,0),0)</f>
        <v>0</v>
      </c>
      <c r="O1243" s="468"/>
      <c r="R1243" s="489"/>
    </row>
    <row r="1244" spans="1:18" ht="16.5" thickBot="1" x14ac:dyDescent="0.3">
      <c r="B1244" s="596"/>
      <c r="C1244" s="526"/>
      <c r="D1244" s="620" t="s">
        <v>568</v>
      </c>
      <c r="F1244" s="495"/>
      <c r="G1244" s="561"/>
      <c r="H1244" s="561"/>
      <c r="I1244" s="477"/>
      <c r="J1244" s="974"/>
      <c r="K1244" s="539"/>
      <c r="L1244" s="544" t="str">
        <f>+'Precios Equipos'!$C$205</f>
        <v>Diseño Ingenieria Tableros Autosoportados</v>
      </c>
      <c r="M1244" s="545">
        <f>IFERROR(VLOOKUP(L1244,'Precios Equipos'!$C$11:$F$208,3,0),0)</f>
        <v>63</v>
      </c>
      <c r="O1244" s="468"/>
      <c r="R1244" s="489"/>
    </row>
    <row r="1245" spans="1:18" ht="16.5" thickBot="1" x14ac:dyDescent="0.3">
      <c r="B1245" s="596"/>
      <c r="C1245" s="526">
        <v>2</v>
      </c>
      <c r="D1245" s="467" t="str">
        <f>+'Precios Equipos'!C42</f>
        <v>ITM 2x125A, Caja Moldeada 125A, 25kA en 220V, A1N/P, ABB, DC</v>
      </c>
      <c r="F1245" s="495"/>
      <c r="G1245" s="561">
        <f>VLOOKUP(D1245,'Precios Equipos'!$C$25:$F$208,3,0)</f>
        <v>78</v>
      </c>
      <c r="H1245" s="561">
        <f t="shared" ref="H1245:H1247" si="121">G1245*C1245</f>
        <v>156</v>
      </c>
      <c r="I1245" s="1081">
        <f>SUM(H1245:H1249)</f>
        <v>1423</v>
      </c>
      <c r="J1245" s="1116">
        <f>+I1245/H1255</f>
        <v>0.95696032279757903</v>
      </c>
      <c r="K1245" s="539"/>
      <c r="L1245" s="546" t="s">
        <v>89</v>
      </c>
      <c r="M1245" s="560">
        <f>SUM(M1242:M1244)</f>
        <v>64</v>
      </c>
      <c r="O1245" s="468"/>
      <c r="Q1245" s="465">
        <f>+C1245*$C$1239</f>
        <v>6</v>
      </c>
      <c r="R1245" s="489"/>
    </row>
    <row r="1246" spans="1:18" x14ac:dyDescent="0.25">
      <c r="B1246" s="596"/>
      <c r="C1246" s="526">
        <v>2</v>
      </c>
      <c r="D1246" s="467" t="str">
        <f>+'Precios Equipos'!C60</f>
        <v>Protector de sobretension SPD DC 2P, 1000V DC, CLAMPER/DC SURGE PROTECCION</v>
      </c>
      <c r="F1246" s="495"/>
      <c r="G1246" s="561">
        <f>VLOOKUP(D1246,'Precios Equipos'!$C$25:$F$208,3,0)</f>
        <v>405</v>
      </c>
      <c r="H1246" s="561">
        <f t="shared" si="121"/>
        <v>810</v>
      </c>
      <c r="I1246" s="1082"/>
      <c r="J1246" s="1129"/>
      <c r="K1246" s="539"/>
      <c r="O1246" s="468"/>
      <c r="Q1246" s="465">
        <f>+C1246*$C$1239</f>
        <v>6</v>
      </c>
      <c r="R1246" s="489"/>
    </row>
    <row r="1247" spans="1:18" x14ac:dyDescent="0.25">
      <c r="B1247" s="596"/>
      <c r="C1247" s="526">
        <v>2</v>
      </c>
      <c r="D1247" s="467" t="str">
        <f>+'Precios Equipos'!C53</f>
        <v>Interruptor Riel Din 2x80A. S200M 20kA en 230V en 250VDC,ABB</v>
      </c>
      <c r="F1247" s="495"/>
      <c r="G1247" s="561">
        <f>VLOOKUP(D1247,'Precios Equipos'!$C$25:$F$208,3,0)</f>
        <v>8</v>
      </c>
      <c r="H1247" s="561">
        <f t="shared" si="121"/>
        <v>16</v>
      </c>
      <c r="I1247" s="1082"/>
      <c r="J1247" s="1129"/>
      <c r="K1247" s="539"/>
      <c r="O1247" s="468"/>
      <c r="Q1247" s="465">
        <f>+C1247*$C$1239</f>
        <v>6</v>
      </c>
      <c r="R1247" s="489"/>
    </row>
    <row r="1248" spans="1:18" s="1053" customFormat="1" x14ac:dyDescent="0.25">
      <c r="A1248" s="1052"/>
      <c r="B1248" s="596"/>
      <c r="C1248" s="526">
        <v>2</v>
      </c>
      <c r="D1248" s="467" t="str">
        <f>+'Precios Equipos'!C64</f>
        <v>Seccionador Portafusible XLP1-1P-2BC, 250A, 1SEP600116R0002, ABB</v>
      </c>
      <c r="E1248" s="468"/>
      <c r="F1248" s="495"/>
      <c r="G1248" s="1054">
        <f>VLOOKUP(D1248,'Precios Equipos'!$C$25:$F$208,3,0)</f>
        <v>148</v>
      </c>
      <c r="H1248" s="1054">
        <f>G1248*C1248</f>
        <v>296</v>
      </c>
      <c r="I1248" s="1082"/>
      <c r="J1248" s="1129"/>
      <c r="K1248" s="1055"/>
      <c r="Q1248" s="1056">
        <f>+C1248*$C$1239</f>
        <v>6</v>
      </c>
      <c r="R1248" s="1057"/>
    </row>
    <row r="1249" spans="1:18" s="1053" customFormat="1" x14ac:dyDescent="0.25">
      <c r="A1249" s="1052"/>
      <c r="B1249" s="596"/>
      <c r="C1249" s="526">
        <v>1</v>
      </c>
      <c r="D1249" s="467" t="str">
        <f>+'Precios Equipos'!$C$65</f>
        <v>Fusible tipo NH1 250A</v>
      </c>
      <c r="E1249" s="468"/>
      <c r="F1249" s="495"/>
      <c r="G1249" s="1054">
        <f>VLOOKUP(D1249,'Precios Equipos'!$C$11:$F$208,3,0)</f>
        <v>145</v>
      </c>
      <c r="H1249" s="1054">
        <f t="shared" ref="H1249" si="122">G1249*C1249</f>
        <v>145</v>
      </c>
      <c r="I1249" s="1083"/>
      <c r="J1249" s="1117"/>
      <c r="K1249" s="1055"/>
      <c r="Q1249" s="1056">
        <f>+C1249*$C$1239</f>
        <v>3</v>
      </c>
      <c r="R1249" s="1057"/>
    </row>
    <row r="1250" spans="1:18" x14ac:dyDescent="0.25">
      <c r="B1250" s="596"/>
      <c r="C1250" s="526"/>
      <c r="F1250" s="495"/>
      <c r="G1250" s="561"/>
      <c r="H1250" s="561"/>
      <c r="I1250" s="477"/>
      <c r="J1250" s="974"/>
      <c r="K1250" s="539"/>
      <c r="O1250" s="468"/>
      <c r="R1250" s="489"/>
    </row>
    <row r="1251" spans="1:18" x14ac:dyDescent="0.25">
      <c r="B1251" s="596"/>
      <c r="C1251" s="526"/>
      <c r="D1251" s="620" t="s">
        <v>87</v>
      </c>
      <c r="F1251" s="495"/>
      <c r="G1251" s="561"/>
      <c r="H1251" s="561">
        <f>+M1245</f>
        <v>64</v>
      </c>
      <c r="I1251" s="561">
        <f>+H1251</f>
        <v>64</v>
      </c>
      <c r="J1251" s="975">
        <f>+I1251/H1255</f>
        <v>4.3039677202420981E-2</v>
      </c>
      <c r="K1251" s="539"/>
      <c r="O1251" s="468"/>
      <c r="R1251" s="489"/>
    </row>
    <row r="1252" spans="1:18" x14ac:dyDescent="0.25">
      <c r="B1252" s="596"/>
      <c r="C1252" s="526">
        <v>1</v>
      </c>
      <c r="D1252" s="494" t="s">
        <v>49</v>
      </c>
      <c r="F1252" s="495"/>
      <c r="G1252" s="561"/>
      <c r="H1252" s="561"/>
      <c r="I1252" s="1081">
        <f>SUM(H1252:H1253)</f>
        <v>0</v>
      </c>
      <c r="J1252" s="1116">
        <f>+I1252/H1255</f>
        <v>0</v>
      </c>
      <c r="K1252" s="539"/>
      <c r="O1252" s="468"/>
      <c r="R1252" s="489"/>
    </row>
    <row r="1253" spans="1:18" x14ac:dyDescent="0.25">
      <c r="B1253" s="596"/>
      <c r="C1253" s="526">
        <v>1</v>
      </c>
      <c r="D1253" s="494" t="s">
        <v>51</v>
      </c>
      <c r="F1253" s="495"/>
      <c r="G1253" s="561"/>
      <c r="H1253" s="561"/>
      <c r="I1253" s="1083"/>
      <c r="J1253" s="1117"/>
      <c r="K1253" s="539"/>
      <c r="O1253" s="468"/>
      <c r="R1253" s="489"/>
    </row>
    <row r="1254" spans="1:18" x14ac:dyDescent="0.25">
      <c r="B1254" s="596"/>
      <c r="C1254" s="526">
        <v>1</v>
      </c>
      <c r="D1254" s="467" t="s">
        <v>20</v>
      </c>
      <c r="F1254" s="495"/>
      <c r="G1254" s="561"/>
      <c r="H1254" s="561"/>
      <c r="I1254" s="477"/>
      <c r="J1254" s="974"/>
      <c r="K1254" s="539"/>
      <c r="O1254" s="468"/>
      <c r="R1254" s="489"/>
    </row>
    <row r="1255" spans="1:18" x14ac:dyDescent="0.25">
      <c r="B1255" s="596"/>
      <c r="C1255" s="526">
        <v>1</v>
      </c>
      <c r="D1255" s="467" t="s">
        <v>52</v>
      </c>
      <c r="F1255" s="495"/>
      <c r="G1255" s="553" t="s">
        <v>97</v>
      </c>
      <c r="H1255" s="561">
        <f>SUM(H1241:H1254)</f>
        <v>1487</v>
      </c>
      <c r="I1255" s="477"/>
      <c r="J1255" s="974"/>
      <c r="K1255" s="539"/>
      <c r="O1255" s="468"/>
      <c r="R1255" s="489"/>
    </row>
    <row r="1256" spans="1:18" x14ac:dyDescent="0.25">
      <c r="B1256" s="596"/>
      <c r="C1256" s="526">
        <v>1</v>
      </c>
      <c r="D1256" s="467" t="s">
        <v>21</v>
      </c>
      <c r="F1256" s="495"/>
      <c r="G1256" s="553" t="s">
        <v>105</v>
      </c>
      <c r="H1256" s="561">
        <f>H1255*$M$153</f>
        <v>297.40000000000003</v>
      </c>
      <c r="I1256" s="477"/>
      <c r="J1256" s="974"/>
      <c r="K1256" s="539"/>
      <c r="O1256" s="468"/>
      <c r="R1256" s="489"/>
    </row>
    <row r="1257" spans="1:18" x14ac:dyDescent="0.25">
      <c r="B1257" s="562"/>
      <c r="C1257" s="527" t="s">
        <v>17</v>
      </c>
      <c r="D1257" s="522" t="s">
        <v>48</v>
      </c>
      <c r="E1257" s="523"/>
      <c r="F1257" s="524"/>
      <c r="G1257" s="553" t="s">
        <v>452</v>
      </c>
      <c r="H1257" s="561">
        <f>SUM(H1255:H1256)</f>
        <v>1784.4</v>
      </c>
      <c r="I1257" s="477"/>
      <c r="J1257" s="974"/>
      <c r="K1257" s="539"/>
      <c r="O1257" s="468"/>
      <c r="R1257" s="489"/>
    </row>
    <row r="1258" spans="1:18" x14ac:dyDescent="0.25">
      <c r="G1258" s="477"/>
      <c r="H1258" s="477"/>
      <c r="I1258" s="477"/>
      <c r="J1258" s="974"/>
      <c r="K1258" s="539"/>
      <c r="O1258" s="468"/>
      <c r="R1258" s="489"/>
    </row>
    <row r="1259" spans="1:18" s="467" customFormat="1" ht="16.5" thickBot="1" x14ac:dyDescent="0.25">
      <c r="A1259" s="463"/>
      <c r="B1259" s="555" t="s">
        <v>6</v>
      </c>
      <c r="C1259" s="515" t="s">
        <v>0</v>
      </c>
      <c r="D1259" s="556" t="s">
        <v>8</v>
      </c>
      <c r="E1259" s="525" t="s">
        <v>4</v>
      </c>
      <c r="F1259" s="556" t="s">
        <v>3</v>
      </c>
      <c r="G1259" s="477"/>
      <c r="H1259" s="477"/>
      <c r="I1259" s="477"/>
      <c r="J1259" s="974"/>
      <c r="K1259" s="539"/>
      <c r="Q1259" s="465"/>
    </row>
    <row r="1260" spans="1:18" ht="16.5" thickBot="1" x14ac:dyDescent="0.3">
      <c r="A1260" s="463">
        <v>153</v>
      </c>
      <c r="B1260" s="1077">
        <f>+B75</f>
        <v>4.0799999999999983</v>
      </c>
      <c r="C1260" s="1077">
        <f>+C75</f>
        <v>1</v>
      </c>
      <c r="D1260" s="1091" t="str">
        <f>+D75</f>
        <v>TABLERO BUSBAR - TIPO 08</v>
      </c>
      <c r="E1260" s="517">
        <f>+H1277</f>
        <v>626.4</v>
      </c>
      <c r="F1260" s="518">
        <f>+E1260*C1260</f>
        <v>626.4</v>
      </c>
      <c r="G1260" s="553" t="s">
        <v>450</v>
      </c>
      <c r="H1260" s="553" t="s">
        <v>1</v>
      </c>
      <c r="I1260" s="477"/>
      <c r="J1260" s="974"/>
      <c r="K1260" s="539"/>
      <c r="L1260" s="540" t="s">
        <v>451</v>
      </c>
      <c r="M1260" s="541"/>
      <c r="O1260" s="468"/>
    </row>
    <row r="1261" spans="1:18" ht="16.5" thickBot="1" x14ac:dyDescent="0.3">
      <c r="B1261" s="1078"/>
      <c r="C1261" s="1078"/>
      <c r="D1261" s="1092"/>
      <c r="E1261" s="519" t="s">
        <v>50</v>
      </c>
      <c r="F1261" s="520" t="s">
        <v>50</v>
      </c>
      <c r="G1261" s="553" t="s">
        <v>50</v>
      </c>
      <c r="H1261" s="553" t="s">
        <v>50</v>
      </c>
      <c r="I1261" s="477"/>
      <c r="J1261" s="974"/>
      <c r="K1261" s="539"/>
      <c r="L1261" s="542" t="s">
        <v>88</v>
      </c>
      <c r="M1261" s="543" t="s">
        <v>85</v>
      </c>
      <c r="O1261" s="468"/>
    </row>
    <row r="1262" spans="1:18" x14ac:dyDescent="0.25">
      <c r="B1262" s="596"/>
      <c r="C1262" s="526"/>
      <c r="F1262" s="495"/>
      <c r="G1262" s="561"/>
      <c r="H1262" s="561"/>
      <c r="I1262" s="477"/>
      <c r="J1262" s="974"/>
      <c r="K1262" s="539"/>
      <c r="L1262" s="544" t="str">
        <f>+'Precios Equipos'!C117</f>
        <v>COBRE BUS BAR TIPO 6</v>
      </c>
      <c r="M1262" s="545">
        <f>IFERROR(VLOOKUP(L1262,'Precios Equipos'!$C$11:$F$208,3,0),0)</f>
        <v>2</v>
      </c>
      <c r="O1262" s="468"/>
      <c r="R1262" s="489"/>
    </row>
    <row r="1263" spans="1:18" x14ac:dyDescent="0.25">
      <c r="B1263" s="596"/>
      <c r="C1263" s="526">
        <v>1</v>
      </c>
      <c r="D1263" s="539" t="str">
        <f>+'Precios Equipos'!C190</f>
        <v>Gabinete Autosoportado 1800x600x450mm. (Alto x ancho x profundidad)</v>
      </c>
      <c r="F1263" s="495"/>
      <c r="G1263" s="561">
        <f>VLOOKUP(D1263,'Precios Equipos'!$C$11:$F$208,3,0)</f>
        <v>0</v>
      </c>
      <c r="H1263" s="561">
        <f t="shared" ref="H1263" si="123">G1263*C1263</f>
        <v>0</v>
      </c>
      <c r="I1263" s="561">
        <f>+H1263</f>
        <v>0</v>
      </c>
      <c r="J1263" s="975">
        <f>+I1263/H1275</f>
        <v>0</v>
      </c>
      <c r="K1263" s="539"/>
      <c r="L1263" s="544" t="str">
        <f>+'Precios Equipos'!C153</f>
        <v>M. Obra Electricidad BUS BAR TIPO 8; 8.1 y 9.1</v>
      </c>
      <c r="M1263" s="545">
        <f>IFERROR(VLOOKUP(L1263,'Precios Equipos'!$C$11:$F$208,3,0),0)</f>
        <v>0</v>
      </c>
      <c r="O1263" s="468"/>
      <c r="Q1263" s="465">
        <f>+C1263*$C$1260</f>
        <v>1</v>
      </c>
      <c r="R1263" s="489"/>
    </row>
    <row r="1264" spans="1:18" ht="16.5" thickBot="1" x14ac:dyDescent="0.3">
      <c r="B1264" s="596"/>
      <c r="C1264" s="526"/>
      <c r="F1264" s="495"/>
      <c r="G1264" s="561"/>
      <c r="H1264" s="561"/>
      <c r="I1264" s="477"/>
      <c r="J1264" s="974"/>
      <c r="K1264" s="539"/>
      <c r="L1264" s="544" t="str">
        <f>+'Precios Equipos'!$C$205</f>
        <v>Diseño Ingenieria Tableros Autosoportados</v>
      </c>
      <c r="M1264" s="545">
        <f>IFERROR(VLOOKUP(L1264,'Precios Equipos'!$C$11:$F$208,3,0),0)</f>
        <v>63</v>
      </c>
      <c r="O1264" s="468"/>
      <c r="R1264" s="489"/>
    </row>
    <row r="1265" spans="1:18" ht="16.5" thickBot="1" x14ac:dyDescent="0.3">
      <c r="B1265" s="596"/>
      <c r="C1265" s="526"/>
      <c r="D1265" s="620" t="s">
        <v>568</v>
      </c>
      <c r="F1265" s="495"/>
      <c r="G1265" s="561"/>
      <c r="H1265" s="561"/>
      <c r="I1265" s="477"/>
      <c r="J1265" s="974"/>
      <c r="K1265" s="539"/>
      <c r="L1265" s="546" t="s">
        <v>89</v>
      </c>
      <c r="M1265" s="560">
        <f>SUM(M1262:M1264)</f>
        <v>65</v>
      </c>
      <c r="O1265" s="468"/>
      <c r="R1265" s="489"/>
    </row>
    <row r="1266" spans="1:18" x14ac:dyDescent="0.25">
      <c r="B1266" s="596"/>
      <c r="C1266" s="526">
        <v>3</v>
      </c>
      <c r="D1266" s="467" t="str">
        <f>+'Precios Equipos'!C41</f>
        <v>ITM 2x63A, Caja Moldeada 63A, 50kA en 220V, A1N/P, ABB, DC</v>
      </c>
      <c r="F1266" s="495"/>
      <c r="G1266" s="561">
        <f>VLOOKUP(D1266,'Precios Equipos'!$C$25:$F$208,3,0)</f>
        <v>24</v>
      </c>
      <c r="H1266" s="561">
        <f t="shared" ref="H1266:H1269" si="124">G1266*C1266</f>
        <v>72</v>
      </c>
      <c r="I1266" s="1081">
        <f>SUM(H1266:H1269)</f>
        <v>457</v>
      </c>
      <c r="J1266" s="1121">
        <f>+I1266/H1275</f>
        <v>0.87547892720306508</v>
      </c>
      <c r="K1266" s="539"/>
      <c r="O1266" s="468"/>
      <c r="Q1266" s="465">
        <f>+C1266*$C$1260</f>
        <v>3</v>
      </c>
      <c r="R1266" s="489"/>
    </row>
    <row r="1267" spans="1:18" x14ac:dyDescent="0.25">
      <c r="B1267" s="596"/>
      <c r="C1267" s="526">
        <v>1</v>
      </c>
      <c r="D1267" s="467" t="str">
        <f>+'Precios Equipos'!C43</f>
        <v>ITM 2x160A, Caja Moldeada 160A, 50kA en 220V, A2N 250, ABB, DC</v>
      </c>
      <c r="F1267" s="495"/>
      <c r="G1267" s="561">
        <f>VLOOKUP(D1267,'Precios Equipos'!$C$25:$F$208,3,0)</f>
        <v>92</v>
      </c>
      <c r="H1267" s="561">
        <f t="shared" si="124"/>
        <v>92</v>
      </c>
      <c r="I1267" s="1082"/>
      <c r="J1267" s="1122"/>
      <c r="K1267" s="539"/>
      <c r="O1267" s="468"/>
      <c r="Q1267" s="465">
        <f>+C1267*$C$1260</f>
        <v>1</v>
      </c>
      <c r="R1267" s="489"/>
    </row>
    <row r="1268" spans="1:18" x14ac:dyDescent="0.25">
      <c r="B1268" s="596"/>
      <c r="C1268" s="526">
        <v>1</v>
      </c>
      <c r="D1268" s="467" t="str">
        <f>+'Precios Equipos'!C64</f>
        <v>Seccionador Portafusible XLP1-1P-2BC, 250A, 1SEP600116R0002, ABB</v>
      </c>
      <c r="F1268" s="495"/>
      <c r="G1268" s="561">
        <f>VLOOKUP(D1268,'Precios Equipos'!$C$25:$F$208,3,0)</f>
        <v>148</v>
      </c>
      <c r="H1268" s="561">
        <f t="shared" si="124"/>
        <v>148</v>
      </c>
      <c r="I1268" s="1082"/>
      <c r="J1268" s="1122"/>
      <c r="K1268" s="539"/>
      <c r="O1268" s="468"/>
      <c r="Q1268" s="465">
        <f>+C1268*$C$1260</f>
        <v>1</v>
      </c>
      <c r="R1268" s="489"/>
    </row>
    <row r="1269" spans="1:18" x14ac:dyDescent="0.25">
      <c r="B1269" s="596"/>
      <c r="C1269" s="526">
        <v>1</v>
      </c>
      <c r="D1269" s="467" t="str">
        <f>+'Precios Equipos'!$C$65</f>
        <v>Fusible tipo NH1 250A</v>
      </c>
      <c r="F1269" s="495"/>
      <c r="G1269" s="561">
        <f>VLOOKUP(D1269,'Precios Equipos'!$C$11:$F$208,3,0)</f>
        <v>145</v>
      </c>
      <c r="H1269" s="561">
        <f t="shared" si="124"/>
        <v>145</v>
      </c>
      <c r="I1269" s="1083"/>
      <c r="J1269" s="1123"/>
      <c r="K1269" s="539"/>
      <c r="O1269" s="468"/>
      <c r="Q1269" s="465">
        <f>+C1269*$C$1260</f>
        <v>1</v>
      </c>
      <c r="R1269" s="489"/>
    </row>
    <row r="1270" spans="1:18" x14ac:dyDescent="0.25">
      <c r="B1270" s="596"/>
      <c r="C1270" s="526"/>
      <c r="F1270" s="495"/>
      <c r="G1270" s="561"/>
      <c r="H1270" s="561"/>
      <c r="I1270" s="477"/>
      <c r="J1270" s="974"/>
      <c r="K1270" s="539"/>
      <c r="O1270" s="468"/>
      <c r="R1270" s="489"/>
    </row>
    <row r="1271" spans="1:18" x14ac:dyDescent="0.25">
      <c r="B1271" s="596"/>
      <c r="C1271" s="526"/>
      <c r="D1271" s="620" t="s">
        <v>87</v>
      </c>
      <c r="F1271" s="495"/>
      <c r="G1271" s="561"/>
      <c r="H1271" s="561"/>
      <c r="I1271" s="477"/>
      <c r="J1271" s="974"/>
      <c r="K1271" s="539"/>
      <c r="O1271" s="468"/>
      <c r="R1271" s="489"/>
    </row>
    <row r="1272" spans="1:18" x14ac:dyDescent="0.25">
      <c r="B1272" s="596"/>
      <c r="C1272" s="526">
        <v>1</v>
      </c>
      <c r="D1272" s="494" t="s">
        <v>49</v>
      </c>
      <c r="F1272" s="495"/>
      <c r="G1272" s="561"/>
      <c r="H1272" s="561">
        <f>+M1265</f>
        <v>65</v>
      </c>
      <c r="I1272" s="561">
        <f>+H1272</f>
        <v>65</v>
      </c>
      <c r="J1272" s="975">
        <f>+I1272/H1275</f>
        <v>0.12452107279693486</v>
      </c>
      <c r="K1272" s="539"/>
      <c r="O1272" s="468"/>
      <c r="R1272" s="489"/>
    </row>
    <row r="1273" spans="1:18" x14ac:dyDescent="0.25">
      <c r="B1273" s="596"/>
      <c r="C1273" s="526">
        <v>1</v>
      </c>
      <c r="D1273" s="494" t="s">
        <v>51</v>
      </c>
      <c r="F1273" s="495"/>
      <c r="G1273" s="561"/>
      <c r="H1273" s="561"/>
      <c r="I1273" s="1081">
        <f>SUM(H1273:H1274)</f>
        <v>0</v>
      </c>
      <c r="J1273" s="1116">
        <f>+I1273/H1275</f>
        <v>0</v>
      </c>
      <c r="K1273" s="539"/>
      <c r="O1273" s="468"/>
      <c r="R1273" s="489"/>
    </row>
    <row r="1274" spans="1:18" x14ac:dyDescent="0.25">
      <c r="B1274" s="596"/>
      <c r="C1274" s="526">
        <v>1</v>
      </c>
      <c r="D1274" s="467" t="s">
        <v>20</v>
      </c>
      <c r="F1274" s="495"/>
      <c r="G1274" s="561"/>
      <c r="H1274" s="561"/>
      <c r="I1274" s="1083"/>
      <c r="J1274" s="1117"/>
      <c r="K1274" s="539"/>
      <c r="O1274" s="468"/>
      <c r="R1274" s="489"/>
    </row>
    <row r="1275" spans="1:18" x14ac:dyDescent="0.25">
      <c r="B1275" s="596"/>
      <c r="C1275" s="526">
        <v>1</v>
      </c>
      <c r="D1275" s="467" t="s">
        <v>52</v>
      </c>
      <c r="F1275" s="495"/>
      <c r="G1275" s="553" t="s">
        <v>97</v>
      </c>
      <c r="H1275" s="561">
        <f>SUM(H1262:H1274)</f>
        <v>522</v>
      </c>
      <c r="I1275" s="477"/>
      <c r="J1275" s="974"/>
      <c r="K1275" s="539"/>
      <c r="O1275" s="468"/>
      <c r="R1275" s="489"/>
    </row>
    <row r="1276" spans="1:18" x14ac:dyDescent="0.25">
      <c r="B1276" s="596"/>
      <c r="C1276" s="526">
        <v>1</v>
      </c>
      <c r="D1276" s="467" t="s">
        <v>21</v>
      </c>
      <c r="F1276" s="495"/>
      <c r="G1276" s="553" t="s">
        <v>105</v>
      </c>
      <c r="H1276" s="561">
        <f>H1275*$M$153</f>
        <v>104.4</v>
      </c>
      <c r="I1276" s="477"/>
      <c r="J1276" s="974"/>
      <c r="K1276" s="539"/>
      <c r="O1276" s="468"/>
      <c r="R1276" s="489"/>
    </row>
    <row r="1277" spans="1:18" x14ac:dyDescent="0.25">
      <c r="B1277" s="562"/>
      <c r="C1277" s="527" t="s">
        <v>17</v>
      </c>
      <c r="D1277" s="522" t="s">
        <v>48</v>
      </c>
      <c r="E1277" s="523"/>
      <c r="F1277" s="524"/>
      <c r="G1277" s="553" t="s">
        <v>452</v>
      </c>
      <c r="H1277" s="561">
        <f>SUM(H1275:H1276)</f>
        <v>626.4</v>
      </c>
      <c r="I1277" s="477"/>
      <c r="J1277" s="974"/>
      <c r="K1277" s="539"/>
      <c r="O1277" s="468"/>
      <c r="R1277" s="489"/>
    </row>
    <row r="1278" spans="1:18" x14ac:dyDescent="0.25">
      <c r="G1278" s="477"/>
      <c r="H1278" s="477"/>
      <c r="I1278" s="477"/>
      <c r="J1278" s="974"/>
      <c r="K1278" s="539"/>
      <c r="O1278" s="468"/>
      <c r="R1278" s="489"/>
    </row>
    <row r="1279" spans="1:18" s="467" customFormat="1" x14ac:dyDescent="0.2">
      <c r="A1279" s="463"/>
      <c r="B1279" s="555" t="s">
        <v>6</v>
      </c>
      <c r="C1279" s="515" t="s">
        <v>0</v>
      </c>
      <c r="D1279" s="556" t="s">
        <v>8</v>
      </c>
      <c r="E1279" s="525" t="s">
        <v>4</v>
      </c>
      <c r="F1279" s="556" t="s">
        <v>3</v>
      </c>
      <c r="G1279" s="477"/>
      <c r="H1279" s="477"/>
      <c r="I1279" s="477"/>
      <c r="J1279" s="974"/>
      <c r="K1279" s="539"/>
      <c r="Q1279" s="465"/>
    </row>
    <row r="1280" spans="1:18" ht="16.5" thickBot="1" x14ac:dyDescent="0.3">
      <c r="A1280" s="463">
        <v>153</v>
      </c>
      <c r="B1280" s="1077">
        <f>+B76</f>
        <v>4.0899999999999981</v>
      </c>
      <c r="C1280" s="1077">
        <f>+C76</f>
        <v>3</v>
      </c>
      <c r="D1280" s="1091" t="str">
        <f>+D76</f>
        <v>TABLERO BUSBAR - TIPO 09</v>
      </c>
      <c r="E1280" s="517">
        <f>+H1297</f>
        <v>1089.5999999999999</v>
      </c>
      <c r="F1280" s="518">
        <f>+E1280*C1280</f>
        <v>3268.7999999999997</v>
      </c>
      <c r="G1280" s="553" t="s">
        <v>450</v>
      </c>
      <c r="H1280" s="553" t="s">
        <v>1</v>
      </c>
      <c r="I1280" s="477"/>
      <c r="J1280" s="974"/>
      <c r="K1280" s="539"/>
      <c r="O1280" s="468"/>
    </row>
    <row r="1281" spans="2:18" ht="16.5" thickBot="1" x14ac:dyDescent="0.3">
      <c r="B1281" s="1078"/>
      <c r="C1281" s="1078"/>
      <c r="D1281" s="1092"/>
      <c r="E1281" s="519" t="s">
        <v>50</v>
      </c>
      <c r="F1281" s="520" t="s">
        <v>50</v>
      </c>
      <c r="G1281" s="553" t="s">
        <v>50</v>
      </c>
      <c r="H1281" s="553" t="s">
        <v>50</v>
      </c>
      <c r="I1281" s="477"/>
      <c r="J1281" s="974"/>
      <c r="K1281" s="539"/>
      <c r="L1281" s="540" t="s">
        <v>451</v>
      </c>
      <c r="M1281" s="541"/>
      <c r="O1281" s="468"/>
    </row>
    <row r="1282" spans="2:18" ht="16.5" thickBot="1" x14ac:dyDescent="0.3">
      <c r="B1282" s="596"/>
      <c r="C1282" s="526"/>
      <c r="F1282" s="495"/>
      <c r="G1282" s="561"/>
      <c r="H1282" s="561"/>
      <c r="I1282" s="477"/>
      <c r="J1282" s="974"/>
      <c r="K1282" s="539"/>
      <c r="L1282" s="542" t="s">
        <v>88</v>
      </c>
      <c r="M1282" s="543" t="s">
        <v>85</v>
      </c>
      <c r="O1282" s="468"/>
      <c r="R1282" s="489"/>
    </row>
    <row r="1283" spans="2:18" x14ac:dyDescent="0.25">
      <c r="B1283" s="596"/>
      <c r="C1283" s="526">
        <v>1</v>
      </c>
      <c r="D1283" s="539" t="str">
        <f>+'Precios Equipos'!C190</f>
        <v>Gabinete Autosoportado 1800x600x450mm. (Alto x ancho x profundidad)</v>
      </c>
      <c r="F1283" s="495"/>
      <c r="G1283" s="561">
        <f>VLOOKUP(D1283,'Precios Equipos'!$C$11:$F$208,3,0)</f>
        <v>0</v>
      </c>
      <c r="H1283" s="561">
        <f t="shared" ref="H1283" si="125">G1283*C1283</f>
        <v>0</v>
      </c>
      <c r="I1283" s="561">
        <f>+H1283</f>
        <v>0</v>
      </c>
      <c r="J1283" s="975">
        <f>+I1283/H1295</f>
        <v>0</v>
      </c>
      <c r="K1283" s="539"/>
      <c r="L1283" s="544" t="str">
        <f>+'Precios Equipos'!C119</f>
        <v>COBRE BUS BAR TIPO 9</v>
      </c>
      <c r="M1283" s="545">
        <f>IFERROR(VLOOKUP(L1283,'Precios Equipos'!$C$11:$F$208,3,0),0)</f>
        <v>3</v>
      </c>
      <c r="O1283" s="468"/>
      <c r="Q1283" s="465">
        <f>+C1283*$C$1280</f>
        <v>3</v>
      </c>
      <c r="R1283" s="489"/>
    </row>
    <row r="1284" spans="2:18" x14ac:dyDescent="0.25">
      <c r="B1284" s="596"/>
      <c r="C1284" s="526"/>
      <c r="F1284" s="495"/>
      <c r="G1284" s="561"/>
      <c r="H1284" s="561"/>
      <c r="I1284" s="477"/>
      <c r="J1284" s="974"/>
      <c r="K1284" s="539"/>
      <c r="L1284" s="544" t="str">
        <f>+'Precios Equipos'!C154</f>
        <v>M. Obra Electricidad BUS BAR TIPO 9</v>
      </c>
      <c r="M1284" s="545">
        <f>IFERROR(VLOOKUP(L1284,'Precios Equipos'!$C$11:$F$208,3,0),0)</f>
        <v>0</v>
      </c>
      <c r="O1284" s="468"/>
      <c r="R1284" s="489"/>
    </row>
    <row r="1285" spans="2:18" ht="16.5" thickBot="1" x14ac:dyDescent="0.3">
      <c r="B1285" s="596"/>
      <c r="C1285" s="526"/>
      <c r="D1285" s="620" t="s">
        <v>568</v>
      </c>
      <c r="F1285" s="495"/>
      <c r="G1285" s="561"/>
      <c r="H1285" s="561"/>
      <c r="I1285" s="477"/>
      <c r="J1285" s="974"/>
      <c r="K1285" s="539"/>
      <c r="L1285" s="544" t="str">
        <f>+'Precios Equipos'!$C$205</f>
        <v>Diseño Ingenieria Tableros Autosoportados</v>
      </c>
      <c r="M1285" s="545">
        <f>IFERROR(VLOOKUP(L1285,'Precios Equipos'!$C$11:$F$208,3,0),0)</f>
        <v>63</v>
      </c>
      <c r="O1285" s="468"/>
      <c r="R1285" s="489"/>
    </row>
    <row r="1286" spans="2:18" ht="16.5" thickBot="1" x14ac:dyDescent="0.3">
      <c r="B1286" s="596"/>
      <c r="C1286" s="526">
        <v>3</v>
      </c>
      <c r="D1286" s="467" t="str">
        <f>+'Precios Equipos'!C41</f>
        <v>ITM 2x63A, Caja Moldeada 63A, 50kA en 220V, A1N/P, ABB, DC</v>
      </c>
      <c r="F1286" s="495"/>
      <c r="G1286" s="561">
        <f>VLOOKUP(D1286,'Precios Equipos'!$C$25:$F$208,3,0)</f>
        <v>24</v>
      </c>
      <c r="H1286" s="561">
        <f t="shared" ref="H1286:H1289" si="126">G1286*C1286</f>
        <v>72</v>
      </c>
      <c r="I1286" s="1081">
        <f>SUM(H1286:H1289)</f>
        <v>842</v>
      </c>
      <c r="J1286" s="1116">
        <f>+I1286/H1295</f>
        <v>0.92731277533039647</v>
      </c>
      <c r="K1286" s="539"/>
      <c r="L1286" s="546" t="s">
        <v>89</v>
      </c>
      <c r="M1286" s="560">
        <f>SUM(M1283:M1285)</f>
        <v>66</v>
      </c>
      <c r="O1286" s="468"/>
      <c r="Q1286" s="465">
        <f>+C1286*$C$1280</f>
        <v>9</v>
      </c>
      <c r="R1286" s="489"/>
    </row>
    <row r="1287" spans="2:18" x14ac:dyDescent="0.25">
      <c r="B1287" s="596"/>
      <c r="C1287" s="526">
        <v>2</v>
      </c>
      <c r="D1287" s="467" t="str">
        <f>+'Precios Equipos'!C43</f>
        <v>ITM 2x160A, Caja Moldeada 160A, 50kA en 220V, A2N 250, ABB, DC</v>
      </c>
      <c r="F1287" s="495"/>
      <c r="G1287" s="561">
        <f>VLOOKUP(D1287,'Precios Equipos'!$C$25:$F$208,3,0)</f>
        <v>92</v>
      </c>
      <c r="H1287" s="561">
        <f t="shared" si="126"/>
        <v>184</v>
      </c>
      <c r="I1287" s="1082"/>
      <c r="J1287" s="1129"/>
      <c r="K1287" s="539"/>
      <c r="O1287" s="468"/>
      <c r="Q1287" s="465">
        <f>+C1287*$C$1280</f>
        <v>6</v>
      </c>
      <c r="R1287" s="489"/>
    </row>
    <row r="1288" spans="2:18" x14ac:dyDescent="0.25">
      <c r="B1288" s="596"/>
      <c r="C1288" s="526">
        <v>2</v>
      </c>
      <c r="D1288" s="467" t="str">
        <f>+'Precios Equipos'!C64</f>
        <v>Seccionador Portafusible XLP1-1P-2BC, 250A, 1SEP600116R0002, ABB</v>
      </c>
      <c r="F1288" s="495"/>
      <c r="G1288" s="561">
        <f>VLOOKUP(D1288,'Precios Equipos'!$C$25:$F$208,3,0)</f>
        <v>148</v>
      </c>
      <c r="H1288" s="561">
        <f t="shared" si="126"/>
        <v>296</v>
      </c>
      <c r="I1288" s="1082"/>
      <c r="J1288" s="1129"/>
      <c r="K1288" s="539"/>
      <c r="O1288" s="468"/>
      <c r="Q1288" s="465">
        <f>+C1288*$C$1280</f>
        <v>6</v>
      </c>
      <c r="R1288" s="489"/>
    </row>
    <row r="1289" spans="2:18" x14ac:dyDescent="0.25">
      <c r="B1289" s="596"/>
      <c r="C1289" s="526">
        <v>2</v>
      </c>
      <c r="D1289" s="467" t="str">
        <f>+'Precios Equipos'!$C$65</f>
        <v>Fusible tipo NH1 250A</v>
      </c>
      <c r="F1289" s="495"/>
      <c r="G1289" s="561">
        <f>VLOOKUP(D1289,'Precios Equipos'!$C$11:$F$208,3,0)</f>
        <v>145</v>
      </c>
      <c r="H1289" s="561">
        <f t="shared" si="126"/>
        <v>290</v>
      </c>
      <c r="I1289" s="1083"/>
      <c r="J1289" s="1117"/>
      <c r="K1289" s="539"/>
      <c r="O1289" s="468"/>
      <c r="Q1289" s="465">
        <f>+C1289*$C$1280</f>
        <v>6</v>
      </c>
      <c r="R1289" s="489"/>
    </row>
    <row r="1290" spans="2:18" x14ac:dyDescent="0.25">
      <c r="B1290" s="596"/>
      <c r="C1290" s="526"/>
      <c r="F1290" s="495"/>
      <c r="G1290" s="561"/>
      <c r="H1290" s="561"/>
      <c r="I1290" s="477"/>
      <c r="J1290" s="974"/>
      <c r="K1290" s="539"/>
      <c r="O1290" s="468"/>
      <c r="R1290" s="489"/>
    </row>
    <row r="1291" spans="2:18" x14ac:dyDescent="0.25">
      <c r="B1291" s="596"/>
      <c r="C1291" s="526"/>
      <c r="D1291" s="620" t="s">
        <v>87</v>
      </c>
      <c r="F1291" s="495"/>
      <c r="G1291" s="561"/>
      <c r="H1291" s="561">
        <f>+M1286</f>
        <v>66</v>
      </c>
      <c r="I1291" s="561">
        <f>+H1291</f>
        <v>66</v>
      </c>
      <c r="J1291" s="1058">
        <f>+I1291/H1295</f>
        <v>7.268722466960352E-2</v>
      </c>
      <c r="K1291" s="539"/>
      <c r="O1291" s="468"/>
      <c r="R1291" s="489"/>
    </row>
    <row r="1292" spans="2:18" x14ac:dyDescent="0.25">
      <c r="B1292" s="596"/>
      <c r="C1292" s="526">
        <v>1</v>
      </c>
      <c r="D1292" s="494" t="s">
        <v>49</v>
      </c>
      <c r="F1292" s="495"/>
      <c r="G1292" s="561"/>
      <c r="H1292" s="561"/>
      <c r="I1292" s="561">
        <f>+H1292</f>
        <v>0</v>
      </c>
      <c r="J1292" s="975">
        <f>+I1292/H1295</f>
        <v>0</v>
      </c>
      <c r="K1292" s="539"/>
      <c r="O1292" s="468"/>
      <c r="R1292" s="489"/>
    </row>
    <row r="1293" spans="2:18" x14ac:dyDescent="0.25">
      <c r="B1293" s="596"/>
      <c r="C1293" s="526">
        <v>1</v>
      </c>
      <c r="D1293" s="494" t="s">
        <v>51</v>
      </c>
      <c r="F1293" s="495"/>
      <c r="G1293" s="561"/>
      <c r="H1293" s="561"/>
      <c r="I1293" s="1081">
        <f>SUM(H1293:H1294)</f>
        <v>0</v>
      </c>
      <c r="J1293" s="1116">
        <f>+I1293/H1295</f>
        <v>0</v>
      </c>
      <c r="K1293" s="539"/>
      <c r="O1293" s="468"/>
      <c r="R1293" s="489"/>
    </row>
    <row r="1294" spans="2:18" x14ac:dyDescent="0.25">
      <c r="B1294" s="596"/>
      <c r="C1294" s="526">
        <v>1</v>
      </c>
      <c r="D1294" s="467" t="s">
        <v>20</v>
      </c>
      <c r="F1294" s="495"/>
      <c r="G1294" s="561"/>
      <c r="H1294" s="561"/>
      <c r="I1294" s="1083"/>
      <c r="J1294" s="1117"/>
      <c r="K1294" s="539"/>
      <c r="O1294" s="468"/>
      <c r="R1294" s="489"/>
    </row>
    <row r="1295" spans="2:18" x14ac:dyDescent="0.25">
      <c r="B1295" s="596"/>
      <c r="C1295" s="526">
        <v>1</v>
      </c>
      <c r="D1295" s="467" t="s">
        <v>52</v>
      </c>
      <c r="F1295" s="495"/>
      <c r="G1295" s="553" t="s">
        <v>97</v>
      </c>
      <c r="H1295" s="561">
        <f>SUM(H1282:H1294)</f>
        <v>908</v>
      </c>
      <c r="I1295" s="477"/>
      <c r="J1295" s="974"/>
      <c r="K1295" s="539"/>
      <c r="O1295" s="468"/>
      <c r="R1295" s="489"/>
    </row>
    <row r="1296" spans="2:18" x14ac:dyDescent="0.25">
      <c r="B1296" s="596"/>
      <c r="C1296" s="526">
        <v>1</v>
      </c>
      <c r="D1296" s="467" t="s">
        <v>21</v>
      </c>
      <c r="F1296" s="495"/>
      <c r="G1296" s="553" t="s">
        <v>105</v>
      </c>
      <c r="H1296" s="561">
        <f>H1295*$M$153</f>
        <v>181.60000000000002</v>
      </c>
      <c r="I1296" s="477"/>
      <c r="J1296" s="974"/>
      <c r="K1296" s="539"/>
      <c r="O1296" s="468"/>
      <c r="R1296" s="489"/>
    </row>
    <row r="1297" spans="1:18" x14ac:dyDescent="0.25">
      <c r="B1297" s="562"/>
      <c r="C1297" s="527" t="s">
        <v>17</v>
      </c>
      <c r="D1297" s="522" t="s">
        <v>48</v>
      </c>
      <c r="E1297" s="523"/>
      <c r="F1297" s="524"/>
      <c r="G1297" s="553" t="s">
        <v>452</v>
      </c>
      <c r="H1297" s="561">
        <f>SUM(H1295:H1296)</f>
        <v>1089.5999999999999</v>
      </c>
      <c r="I1297" s="477"/>
      <c r="J1297" s="974"/>
      <c r="K1297" s="539"/>
      <c r="O1297" s="468"/>
      <c r="R1297" s="489"/>
    </row>
    <row r="1298" spans="1:18" x14ac:dyDescent="0.25">
      <c r="G1298" s="477"/>
      <c r="H1298" s="477"/>
      <c r="I1298" s="477"/>
      <c r="J1298" s="974"/>
      <c r="K1298" s="539"/>
      <c r="O1298" s="468"/>
      <c r="R1298" s="489"/>
    </row>
    <row r="1299" spans="1:18" s="467" customFormat="1" x14ac:dyDescent="0.2">
      <c r="A1299" s="463"/>
      <c r="B1299" s="555" t="s">
        <v>6</v>
      </c>
      <c r="C1299" s="515" t="s">
        <v>0</v>
      </c>
      <c r="D1299" s="556" t="s">
        <v>8</v>
      </c>
      <c r="E1299" s="525" t="s">
        <v>4</v>
      </c>
      <c r="F1299" s="556" t="s">
        <v>3</v>
      </c>
      <c r="G1299" s="477"/>
      <c r="H1299" s="477"/>
      <c r="I1299" s="477"/>
      <c r="J1299" s="974"/>
      <c r="K1299" s="539"/>
      <c r="Q1299" s="465"/>
    </row>
    <row r="1300" spans="1:18" x14ac:dyDescent="0.25">
      <c r="A1300" s="463">
        <v>153</v>
      </c>
      <c r="B1300" s="1118">
        <f>+B77</f>
        <v>4.0999999999999979</v>
      </c>
      <c r="C1300" s="1099">
        <f>+C77</f>
        <v>1</v>
      </c>
      <c r="D1300" s="1119" t="str">
        <f>+D77</f>
        <v>TABLERO BUSBAR - TIPO 09.1</v>
      </c>
      <c r="E1300" s="517">
        <f>+H1317</f>
        <v>1089.5999999999999</v>
      </c>
      <c r="F1300" s="518">
        <f>+E1300*C1300</f>
        <v>1089.5999999999999</v>
      </c>
      <c r="G1300" s="553" t="s">
        <v>450</v>
      </c>
      <c r="H1300" s="553" t="s">
        <v>1</v>
      </c>
      <c r="I1300" s="477"/>
      <c r="J1300" s="974"/>
      <c r="K1300" s="539"/>
      <c r="O1300" s="468"/>
    </row>
    <row r="1301" spans="1:18" ht="16.5" thickBot="1" x14ac:dyDescent="0.3">
      <c r="B1301" s="1078"/>
      <c r="C1301" s="1100"/>
      <c r="D1301" s="1092"/>
      <c r="E1301" s="519" t="s">
        <v>50</v>
      </c>
      <c r="F1301" s="520" t="s">
        <v>50</v>
      </c>
      <c r="G1301" s="553" t="s">
        <v>50</v>
      </c>
      <c r="H1301" s="553" t="s">
        <v>50</v>
      </c>
      <c r="I1301" s="477"/>
      <c r="J1301" s="974"/>
      <c r="K1301" s="539"/>
      <c r="O1301" s="468"/>
    </row>
    <row r="1302" spans="1:18" ht="16.5" thickBot="1" x14ac:dyDescent="0.3">
      <c r="B1302" s="596"/>
      <c r="C1302" s="526"/>
      <c r="F1302" s="495"/>
      <c r="G1302" s="561"/>
      <c r="H1302" s="561"/>
      <c r="I1302" s="477"/>
      <c r="J1302" s="974"/>
      <c r="K1302" s="539"/>
      <c r="L1302" s="540" t="s">
        <v>451</v>
      </c>
      <c r="M1302" s="541"/>
      <c r="O1302" s="468"/>
      <c r="R1302" s="489"/>
    </row>
    <row r="1303" spans="1:18" ht="16.5" thickBot="1" x14ac:dyDescent="0.3">
      <c r="B1303" s="596"/>
      <c r="C1303" s="526">
        <v>1</v>
      </c>
      <c r="D1303" s="539" t="str">
        <f>+'Precios Equipos'!C190</f>
        <v>Gabinete Autosoportado 1800x600x450mm. (Alto x ancho x profundidad)</v>
      </c>
      <c r="F1303" s="495"/>
      <c r="G1303" s="561">
        <f>VLOOKUP(D1303,'Precios Equipos'!$C$11:$F$208,3,0)</f>
        <v>0</v>
      </c>
      <c r="H1303" s="561">
        <f t="shared" ref="H1303" si="127">G1303*C1303</f>
        <v>0</v>
      </c>
      <c r="I1303" s="561">
        <f>+H1303</f>
        <v>0</v>
      </c>
      <c r="J1303" s="975">
        <f>+I1303/H1315</f>
        <v>0</v>
      </c>
      <c r="K1303" s="539"/>
      <c r="L1303" s="542" t="s">
        <v>88</v>
      </c>
      <c r="M1303" s="543" t="s">
        <v>85</v>
      </c>
      <c r="O1303" s="468"/>
      <c r="Q1303" s="465">
        <f>+C1303*$C$1300</f>
        <v>1</v>
      </c>
      <c r="R1303" s="489"/>
    </row>
    <row r="1304" spans="1:18" x14ac:dyDescent="0.25">
      <c r="B1304" s="596"/>
      <c r="C1304" s="526"/>
      <c r="F1304" s="495"/>
      <c r="G1304" s="561"/>
      <c r="H1304" s="561"/>
      <c r="I1304" s="477"/>
      <c r="J1304" s="974"/>
      <c r="K1304" s="539"/>
      <c r="L1304" s="544" t="str">
        <f>+'Precios Equipos'!C119</f>
        <v>COBRE BUS BAR TIPO 9</v>
      </c>
      <c r="M1304" s="545">
        <f>IFERROR(VLOOKUP(L1304,'Precios Equipos'!$C$11:$F$208,3,0),0)</f>
        <v>3</v>
      </c>
      <c r="O1304" s="468"/>
      <c r="R1304" s="489"/>
    </row>
    <row r="1305" spans="1:18" x14ac:dyDescent="0.25">
      <c r="B1305" s="596"/>
      <c r="C1305" s="526"/>
      <c r="D1305" s="620" t="s">
        <v>568</v>
      </c>
      <c r="F1305" s="495"/>
      <c r="G1305" s="561"/>
      <c r="H1305" s="561"/>
      <c r="I1305" s="477"/>
      <c r="J1305" s="974"/>
      <c r="K1305" s="539"/>
      <c r="L1305" s="544" t="str">
        <f>+'Precios Equipos'!C153</f>
        <v>M. Obra Electricidad BUS BAR TIPO 8; 8.1 y 9.1</v>
      </c>
      <c r="M1305" s="545">
        <f>IFERROR(VLOOKUP(L1305,'Precios Equipos'!$C$11:$F$208,3,0),0)</f>
        <v>0</v>
      </c>
      <c r="O1305" s="468"/>
      <c r="R1305" s="489"/>
    </row>
    <row r="1306" spans="1:18" ht="16.5" thickBot="1" x14ac:dyDescent="0.3">
      <c r="B1306" s="596"/>
      <c r="C1306" s="526">
        <v>3</v>
      </c>
      <c r="D1306" s="467" t="str">
        <f>+'Precios Equipos'!C41</f>
        <v>ITM 2x63A, Caja Moldeada 63A, 50kA en 220V, A1N/P, ABB, DC</v>
      </c>
      <c r="F1306" s="495"/>
      <c r="G1306" s="561">
        <f>VLOOKUP(D1306,'Precios Equipos'!$C$25:$F$208,3,0)</f>
        <v>24</v>
      </c>
      <c r="H1306" s="561">
        <f t="shared" ref="H1306:H1309" si="128">G1306*C1306</f>
        <v>72</v>
      </c>
      <c r="I1306" s="1081">
        <f>SUM(H1306:H1309)</f>
        <v>842</v>
      </c>
      <c r="J1306" s="1116">
        <f>+I1306/H1315</f>
        <v>0.92731277533039647</v>
      </c>
      <c r="K1306" s="539"/>
      <c r="L1306" s="544" t="str">
        <f>+'Precios Equipos'!$C$205</f>
        <v>Diseño Ingenieria Tableros Autosoportados</v>
      </c>
      <c r="M1306" s="545">
        <f>IFERROR(VLOOKUP(L1306,'Precios Equipos'!$C$11:$F$208,3,0),0)</f>
        <v>63</v>
      </c>
      <c r="O1306" s="468"/>
      <c r="Q1306" s="465">
        <f>+C1306*$C$1300</f>
        <v>3</v>
      </c>
      <c r="R1306" s="489"/>
    </row>
    <row r="1307" spans="1:18" ht="16.5" thickBot="1" x14ac:dyDescent="0.3">
      <c r="B1307" s="596"/>
      <c r="C1307" s="526">
        <v>2</v>
      </c>
      <c r="D1307" s="467" t="str">
        <f>+'Precios Equipos'!C43</f>
        <v>ITM 2x160A, Caja Moldeada 160A, 50kA en 220V, A2N 250, ABB, DC</v>
      </c>
      <c r="F1307" s="495"/>
      <c r="G1307" s="561">
        <f>VLOOKUP(D1307,'Precios Equipos'!$C$25:$F$208,3,0)</f>
        <v>92</v>
      </c>
      <c r="H1307" s="561">
        <f t="shared" si="128"/>
        <v>184</v>
      </c>
      <c r="I1307" s="1082"/>
      <c r="J1307" s="1129"/>
      <c r="K1307" s="539"/>
      <c r="L1307" s="546" t="s">
        <v>89</v>
      </c>
      <c r="M1307" s="560">
        <f>SUM(M1304:M1306)</f>
        <v>66</v>
      </c>
      <c r="O1307" s="468"/>
      <c r="Q1307" s="465">
        <f t="shared" ref="Q1307:Q1309" si="129">+C1307*$C$1300</f>
        <v>2</v>
      </c>
      <c r="R1307" s="489"/>
    </row>
    <row r="1308" spans="1:18" x14ac:dyDescent="0.25">
      <c r="B1308" s="596"/>
      <c r="C1308" s="526">
        <v>2</v>
      </c>
      <c r="D1308" s="467" t="str">
        <f>+'Precios Equipos'!C64</f>
        <v>Seccionador Portafusible XLP1-1P-2BC, 250A, 1SEP600116R0002, ABB</v>
      </c>
      <c r="F1308" s="495"/>
      <c r="G1308" s="561">
        <f>VLOOKUP(D1308,'Precios Equipos'!$C$25:$F$208,3,0)</f>
        <v>148</v>
      </c>
      <c r="H1308" s="561">
        <f t="shared" si="128"/>
        <v>296</v>
      </c>
      <c r="I1308" s="1082"/>
      <c r="J1308" s="1129"/>
      <c r="K1308" s="539"/>
      <c r="O1308" s="468"/>
      <c r="Q1308" s="465">
        <f t="shared" si="129"/>
        <v>2</v>
      </c>
      <c r="R1308" s="489"/>
    </row>
    <row r="1309" spans="1:18" x14ac:dyDescent="0.25">
      <c r="B1309" s="596"/>
      <c r="C1309" s="526">
        <v>2</v>
      </c>
      <c r="D1309" s="467" t="str">
        <f>+'Precios Equipos'!$C$65</f>
        <v>Fusible tipo NH1 250A</v>
      </c>
      <c r="F1309" s="495"/>
      <c r="G1309" s="561">
        <f>VLOOKUP(D1309,'Precios Equipos'!$C$11:$F$208,3,0)</f>
        <v>145</v>
      </c>
      <c r="H1309" s="561">
        <f t="shared" si="128"/>
        <v>290</v>
      </c>
      <c r="I1309" s="1083"/>
      <c r="J1309" s="1117"/>
      <c r="K1309" s="539"/>
      <c r="O1309" s="468"/>
      <c r="Q1309" s="465">
        <f t="shared" si="129"/>
        <v>2</v>
      </c>
      <c r="R1309" s="489"/>
    </row>
    <row r="1310" spans="1:18" x14ac:dyDescent="0.25">
      <c r="B1310" s="596"/>
      <c r="C1310" s="526"/>
      <c r="F1310" s="495"/>
      <c r="G1310" s="561"/>
      <c r="H1310" s="561"/>
      <c r="I1310" s="477"/>
      <c r="J1310" s="974"/>
      <c r="K1310" s="539"/>
      <c r="O1310" s="468"/>
      <c r="R1310" s="489"/>
    </row>
    <row r="1311" spans="1:18" x14ac:dyDescent="0.25">
      <c r="B1311" s="596"/>
      <c r="C1311" s="526"/>
      <c r="D1311" s="620" t="s">
        <v>87</v>
      </c>
      <c r="F1311" s="495"/>
      <c r="G1311" s="561"/>
      <c r="H1311" s="561"/>
      <c r="I1311" s="477"/>
      <c r="J1311" s="974"/>
      <c r="K1311" s="539"/>
      <c r="O1311" s="468"/>
      <c r="R1311" s="489"/>
    </row>
    <row r="1312" spans="1:18" x14ac:dyDescent="0.25">
      <c r="B1312" s="596"/>
      <c r="C1312" s="526">
        <v>1</v>
      </c>
      <c r="D1312" s="494" t="s">
        <v>49</v>
      </c>
      <c r="F1312" s="495"/>
      <c r="G1312" s="561"/>
      <c r="H1312" s="561">
        <f>+M1307</f>
        <v>66</v>
      </c>
      <c r="I1312" s="561">
        <f>+H1312</f>
        <v>66</v>
      </c>
      <c r="J1312" s="975">
        <f>+I1312/H1315</f>
        <v>7.268722466960352E-2</v>
      </c>
      <c r="K1312" s="539"/>
      <c r="O1312" s="468"/>
      <c r="R1312" s="489"/>
    </row>
    <row r="1313" spans="1:18" x14ac:dyDescent="0.25">
      <c r="B1313" s="596"/>
      <c r="C1313" s="526">
        <v>1</v>
      </c>
      <c r="D1313" s="494" t="s">
        <v>51</v>
      </c>
      <c r="F1313" s="495"/>
      <c r="G1313" s="561"/>
      <c r="H1313" s="561"/>
      <c r="I1313" s="1081">
        <f>SUM(H1313:H1314)</f>
        <v>0</v>
      </c>
      <c r="J1313" s="1116">
        <f>+I1313/H1315</f>
        <v>0</v>
      </c>
      <c r="K1313" s="539"/>
      <c r="O1313" s="468"/>
      <c r="R1313" s="489"/>
    </row>
    <row r="1314" spans="1:18" x14ac:dyDescent="0.25">
      <c r="B1314" s="596"/>
      <c r="C1314" s="526">
        <v>1</v>
      </c>
      <c r="D1314" s="467" t="s">
        <v>20</v>
      </c>
      <c r="F1314" s="495"/>
      <c r="G1314" s="561"/>
      <c r="H1314" s="561"/>
      <c r="I1314" s="1083"/>
      <c r="J1314" s="1117"/>
      <c r="K1314" s="539"/>
      <c r="O1314" s="468"/>
      <c r="R1314" s="489"/>
    </row>
    <row r="1315" spans="1:18" x14ac:dyDescent="0.25">
      <c r="B1315" s="596"/>
      <c r="C1315" s="526">
        <v>1</v>
      </c>
      <c r="D1315" s="467" t="s">
        <v>52</v>
      </c>
      <c r="F1315" s="495"/>
      <c r="G1315" s="553" t="s">
        <v>97</v>
      </c>
      <c r="H1315" s="561">
        <f>SUM(H1302:H1314)</f>
        <v>908</v>
      </c>
      <c r="I1315" s="477"/>
      <c r="J1315" s="974"/>
      <c r="K1315" s="539"/>
      <c r="O1315" s="468"/>
      <c r="R1315" s="489"/>
    </row>
    <row r="1316" spans="1:18" x14ac:dyDescent="0.25">
      <c r="B1316" s="596"/>
      <c r="C1316" s="526">
        <v>1</v>
      </c>
      <c r="D1316" s="467" t="s">
        <v>21</v>
      </c>
      <c r="F1316" s="495"/>
      <c r="G1316" s="553" t="s">
        <v>105</v>
      </c>
      <c r="H1316" s="561">
        <f>H1315*$M$153</f>
        <v>181.60000000000002</v>
      </c>
      <c r="I1316" s="477"/>
      <c r="J1316" s="974"/>
      <c r="K1316" s="539"/>
      <c r="O1316" s="468"/>
      <c r="R1316" s="489"/>
    </row>
    <row r="1317" spans="1:18" x14ac:dyDescent="0.25">
      <c r="B1317" s="562"/>
      <c r="C1317" s="527" t="s">
        <v>17</v>
      </c>
      <c r="D1317" s="522" t="s">
        <v>48</v>
      </c>
      <c r="E1317" s="523"/>
      <c r="F1317" s="524"/>
      <c r="G1317" s="553" t="s">
        <v>452</v>
      </c>
      <c r="H1317" s="561">
        <f>SUM(H1315:H1316)</f>
        <v>1089.5999999999999</v>
      </c>
      <c r="I1317" s="477"/>
      <c r="J1317" s="974"/>
      <c r="K1317" s="539"/>
      <c r="O1317" s="468"/>
      <c r="R1317" s="489"/>
    </row>
    <row r="1318" spans="1:18" x14ac:dyDescent="0.25">
      <c r="G1318" s="477"/>
      <c r="H1318" s="477"/>
      <c r="I1318" s="477"/>
      <c r="J1318" s="974"/>
      <c r="K1318" s="539"/>
      <c r="O1318" s="468"/>
      <c r="R1318" s="489"/>
    </row>
    <row r="1319" spans="1:18" s="467" customFormat="1" x14ac:dyDescent="0.2">
      <c r="A1319" s="463"/>
      <c r="B1319" s="555" t="s">
        <v>6</v>
      </c>
      <c r="C1319" s="515" t="s">
        <v>0</v>
      </c>
      <c r="D1319" s="556" t="s">
        <v>8</v>
      </c>
      <c r="E1319" s="556" t="s">
        <v>4</v>
      </c>
      <c r="F1319" s="556" t="s">
        <v>3</v>
      </c>
      <c r="G1319" s="477"/>
      <c r="H1319" s="477"/>
      <c r="I1319" s="477"/>
      <c r="J1319" s="974"/>
      <c r="K1319" s="539"/>
      <c r="Q1319" s="465"/>
    </row>
    <row r="1320" spans="1:18" x14ac:dyDescent="0.25">
      <c r="A1320" s="463">
        <v>153</v>
      </c>
      <c r="B1320" s="1118">
        <f>+B78</f>
        <v>4.1099999999999977</v>
      </c>
      <c r="C1320" s="1099">
        <f>+C78</f>
        <v>2</v>
      </c>
      <c r="D1320" s="1119" t="str">
        <f>+D78</f>
        <v>TABLERO BUSBAR - TIPO 10</v>
      </c>
      <c r="E1320" s="518">
        <f>+H1337</f>
        <v>1914</v>
      </c>
      <c r="F1320" s="518">
        <f>+E1320*C1320</f>
        <v>3828</v>
      </c>
      <c r="G1320" s="553" t="s">
        <v>450</v>
      </c>
      <c r="H1320" s="553" t="s">
        <v>1</v>
      </c>
      <c r="I1320" s="477"/>
      <c r="J1320" s="974"/>
      <c r="K1320" s="539"/>
      <c r="O1320" s="468"/>
    </row>
    <row r="1321" spans="1:18" ht="16.5" thickBot="1" x14ac:dyDescent="0.3">
      <c r="B1321" s="1078"/>
      <c r="C1321" s="1100"/>
      <c r="D1321" s="1092"/>
      <c r="E1321" s="520" t="s">
        <v>50</v>
      </c>
      <c r="F1321" s="520" t="s">
        <v>50</v>
      </c>
      <c r="G1321" s="553" t="s">
        <v>50</v>
      </c>
      <c r="H1321" s="553" t="s">
        <v>50</v>
      </c>
      <c r="I1321" s="477"/>
      <c r="J1321" s="974"/>
      <c r="K1321" s="539"/>
      <c r="O1321" s="468"/>
    </row>
    <row r="1322" spans="1:18" ht="16.5" thickBot="1" x14ac:dyDescent="0.3">
      <c r="B1322" s="596"/>
      <c r="C1322" s="526"/>
      <c r="F1322" s="495"/>
      <c r="G1322" s="561"/>
      <c r="H1322" s="561"/>
      <c r="I1322" s="477"/>
      <c r="J1322" s="974"/>
      <c r="K1322" s="539"/>
      <c r="L1322" s="540" t="s">
        <v>451</v>
      </c>
      <c r="M1322" s="541"/>
      <c r="O1322" s="468"/>
      <c r="R1322" s="489"/>
    </row>
    <row r="1323" spans="1:18" ht="16.5" thickBot="1" x14ac:dyDescent="0.3">
      <c r="B1323" s="596"/>
      <c r="C1323" s="526">
        <v>1</v>
      </c>
      <c r="D1323" s="539" t="str">
        <f>+'Precios Equipos'!C192</f>
        <v>Gabinete Autosoportado 2000x800x450mm. (Alto x ancho x profundidad)</v>
      </c>
      <c r="F1323" s="495"/>
      <c r="G1323" s="561">
        <f>VLOOKUP(D1323,'Precios Equipos'!$C$11:$F$208,3,0)</f>
        <v>0</v>
      </c>
      <c r="H1323" s="561">
        <f t="shared" ref="H1323" si="130">G1323*C1323</f>
        <v>0</v>
      </c>
      <c r="I1323" s="561">
        <f>+H1323</f>
        <v>0</v>
      </c>
      <c r="J1323" s="975">
        <f>+I1323/H1335</f>
        <v>0</v>
      </c>
      <c r="K1323" s="539"/>
      <c r="L1323" s="542" t="s">
        <v>88</v>
      </c>
      <c r="M1323" s="543" t="s">
        <v>85</v>
      </c>
      <c r="O1323" s="468"/>
      <c r="Q1323" s="465">
        <f>+C1323*$C$1320</f>
        <v>2</v>
      </c>
      <c r="R1323" s="489"/>
    </row>
    <row r="1324" spans="1:18" x14ac:dyDescent="0.25">
      <c r="B1324" s="596"/>
      <c r="C1324" s="526"/>
      <c r="F1324" s="495"/>
      <c r="G1324" s="561"/>
      <c r="H1324" s="561"/>
      <c r="I1324" s="477"/>
      <c r="J1324" s="974"/>
      <c r="K1324" s="539"/>
      <c r="L1324" s="544" t="str">
        <f>+'Precios Equipos'!C120</f>
        <v>COBRE BUS BAR TIPO 10; 10.1; 10.2; 11</v>
      </c>
      <c r="M1324" s="545">
        <f>IFERROR(VLOOKUP(L1324,'Precios Equipos'!$C$11:$F$208,3,0),0)</f>
        <v>1</v>
      </c>
      <c r="O1324" s="468"/>
      <c r="R1324" s="489"/>
    </row>
    <row r="1325" spans="1:18" x14ac:dyDescent="0.25">
      <c r="B1325" s="596"/>
      <c r="C1325" s="526"/>
      <c r="D1325" s="620" t="s">
        <v>568</v>
      </c>
      <c r="F1325" s="495"/>
      <c r="G1325" s="561"/>
      <c r="H1325" s="561"/>
      <c r="I1325" s="477"/>
      <c r="J1325" s="974"/>
      <c r="K1325" s="539"/>
      <c r="L1325" s="544" t="str">
        <f>+'Precios Equipos'!C155</f>
        <v>M. Obra Electricidad BUS BAR TIPO 10; 10.1; 10.2; 11</v>
      </c>
      <c r="M1325" s="545">
        <f>IFERROR(VLOOKUP(L1325,'Precios Equipos'!$C$11:$F$208,3,0),0)</f>
        <v>0</v>
      </c>
      <c r="O1325" s="468"/>
      <c r="R1325" s="489"/>
    </row>
    <row r="1326" spans="1:18" ht="16.5" thickBot="1" x14ac:dyDescent="0.3">
      <c r="B1326" s="596"/>
      <c r="C1326" s="526">
        <v>6</v>
      </c>
      <c r="D1326" s="467" t="str">
        <f>+'Precios Equipos'!C42</f>
        <v>ITM 2x125A, Caja Moldeada 125A, 25kA en 220V, A1N/P, ABB, DC</v>
      </c>
      <c r="F1326" s="495"/>
      <c r="G1326" s="561">
        <f>VLOOKUP(D1326,'Precios Equipos'!$C$25:$F$208,3,0)</f>
        <v>78</v>
      </c>
      <c r="H1326" s="561">
        <f t="shared" ref="H1326:H1329" si="131">G1326*C1326</f>
        <v>468</v>
      </c>
      <c r="I1326" s="1081">
        <f>SUM(H1326:H1329)</f>
        <v>1531</v>
      </c>
      <c r="J1326" s="1116">
        <f>+I1326/H1335</f>
        <v>0.95987460815047021</v>
      </c>
      <c r="K1326" s="539"/>
      <c r="L1326" s="544" t="str">
        <f>+'Precios Equipos'!$C$205</f>
        <v>Diseño Ingenieria Tableros Autosoportados</v>
      </c>
      <c r="M1326" s="545">
        <f>IFERROR(VLOOKUP(L1326,'Precios Equipos'!$C$11:$F$208,3,0),0)</f>
        <v>63</v>
      </c>
      <c r="O1326" s="468"/>
      <c r="Q1326" s="465">
        <f>+C1326*$C$1320</f>
        <v>12</v>
      </c>
      <c r="R1326" s="489"/>
    </row>
    <row r="1327" spans="1:18" ht="16.5" thickBot="1" x14ac:dyDescent="0.3">
      <c r="B1327" s="596"/>
      <c r="C1327" s="526">
        <v>2</v>
      </c>
      <c r="D1327" s="467" t="str">
        <f>+'Precios Equipos'!C43</f>
        <v>ITM 2x160A, Caja Moldeada 160A, 50kA en 220V, A2N 250, ABB, DC</v>
      </c>
      <c r="F1327" s="495"/>
      <c r="G1327" s="561">
        <f>VLOOKUP(D1327,'Precios Equipos'!$C$25:$F$208,3,0)</f>
        <v>92</v>
      </c>
      <c r="H1327" s="561">
        <f t="shared" si="131"/>
        <v>184</v>
      </c>
      <c r="I1327" s="1082"/>
      <c r="J1327" s="1129"/>
      <c r="K1327" s="539"/>
      <c r="L1327" s="546" t="s">
        <v>89</v>
      </c>
      <c r="M1327" s="560">
        <f>SUM(M1324:M1326)</f>
        <v>64</v>
      </c>
      <c r="O1327" s="468"/>
      <c r="Q1327" s="465">
        <f t="shared" ref="Q1327:Q1329" si="132">+C1327*$C$1320</f>
        <v>4</v>
      </c>
      <c r="R1327" s="489"/>
    </row>
    <row r="1328" spans="1:18" x14ac:dyDescent="0.25">
      <c r="B1328" s="596"/>
      <c r="C1328" s="526">
        <v>3</v>
      </c>
      <c r="D1328" s="467" t="str">
        <f>+'Precios Equipos'!C64</f>
        <v>Seccionador Portafusible XLP1-1P-2BC, 250A, 1SEP600116R0002, ABB</v>
      </c>
      <c r="F1328" s="495"/>
      <c r="G1328" s="561">
        <f>VLOOKUP(D1328,'Precios Equipos'!$C$25:$F$208,3,0)</f>
        <v>148</v>
      </c>
      <c r="H1328" s="561">
        <f t="shared" si="131"/>
        <v>444</v>
      </c>
      <c r="I1328" s="1082"/>
      <c r="J1328" s="1129"/>
      <c r="K1328" s="539"/>
      <c r="O1328" s="468"/>
      <c r="Q1328" s="465">
        <f t="shared" si="132"/>
        <v>6</v>
      </c>
      <c r="R1328" s="489"/>
    </row>
    <row r="1329" spans="1:18" x14ac:dyDescent="0.25">
      <c r="B1329" s="596"/>
      <c r="C1329" s="526">
        <v>3</v>
      </c>
      <c r="D1329" s="467" t="str">
        <f>+'Precios Equipos'!$C$65</f>
        <v>Fusible tipo NH1 250A</v>
      </c>
      <c r="F1329" s="495"/>
      <c r="G1329" s="561">
        <f>VLOOKUP(D1329,'Precios Equipos'!$C$11:$F$208,3,0)</f>
        <v>145</v>
      </c>
      <c r="H1329" s="561">
        <f t="shared" si="131"/>
        <v>435</v>
      </c>
      <c r="I1329" s="1083"/>
      <c r="J1329" s="1117"/>
      <c r="K1329" s="539"/>
      <c r="O1329" s="468"/>
      <c r="Q1329" s="465">
        <f t="shared" si="132"/>
        <v>6</v>
      </c>
      <c r="R1329" s="489"/>
    </row>
    <row r="1330" spans="1:18" x14ac:dyDescent="0.25">
      <c r="B1330" s="596"/>
      <c r="C1330" s="526"/>
      <c r="F1330" s="495"/>
      <c r="G1330" s="561"/>
      <c r="H1330" s="561"/>
      <c r="I1330" s="477"/>
      <c r="J1330" s="974"/>
      <c r="K1330" s="539"/>
      <c r="O1330" s="468"/>
      <c r="R1330" s="489"/>
    </row>
    <row r="1331" spans="1:18" x14ac:dyDescent="0.25">
      <c r="B1331" s="596"/>
      <c r="C1331" s="526"/>
      <c r="D1331" s="620" t="s">
        <v>87</v>
      </c>
      <c r="F1331" s="495"/>
      <c r="G1331" s="561"/>
      <c r="H1331" s="561"/>
      <c r="I1331" s="477"/>
      <c r="J1331" s="974"/>
      <c r="K1331" s="539"/>
      <c r="O1331" s="468"/>
      <c r="R1331" s="489"/>
    </row>
    <row r="1332" spans="1:18" x14ac:dyDescent="0.25">
      <c r="B1332" s="596"/>
      <c r="C1332" s="526">
        <v>1</v>
      </c>
      <c r="D1332" s="494" t="s">
        <v>49</v>
      </c>
      <c r="F1332" s="495"/>
      <c r="G1332" s="561"/>
      <c r="H1332" s="561">
        <f>+M1327</f>
        <v>64</v>
      </c>
      <c r="I1332" s="561">
        <f>+H1332</f>
        <v>64</v>
      </c>
      <c r="J1332" s="975">
        <f>+I1332/H1335</f>
        <v>4.0125391849529783E-2</v>
      </c>
      <c r="K1332" s="539"/>
      <c r="O1332" s="468"/>
      <c r="R1332" s="489"/>
    </row>
    <row r="1333" spans="1:18" x14ac:dyDescent="0.25">
      <c r="B1333" s="596"/>
      <c r="C1333" s="526">
        <v>1</v>
      </c>
      <c r="D1333" s="494" t="s">
        <v>51</v>
      </c>
      <c r="F1333" s="495"/>
      <c r="G1333" s="561"/>
      <c r="H1333" s="561"/>
      <c r="I1333" s="1081">
        <f>SUM(H1333:H1334)</f>
        <v>0</v>
      </c>
      <c r="J1333" s="1116">
        <f>+I1333/H1335</f>
        <v>0</v>
      </c>
      <c r="K1333" s="539"/>
      <c r="O1333" s="468"/>
      <c r="R1333" s="489"/>
    </row>
    <row r="1334" spans="1:18" x14ac:dyDescent="0.25">
      <c r="B1334" s="596"/>
      <c r="C1334" s="526">
        <v>1</v>
      </c>
      <c r="D1334" s="467" t="s">
        <v>20</v>
      </c>
      <c r="F1334" s="495"/>
      <c r="G1334" s="561"/>
      <c r="H1334" s="561"/>
      <c r="I1334" s="1083"/>
      <c r="J1334" s="1117"/>
      <c r="K1334" s="539"/>
      <c r="O1334" s="468"/>
      <c r="R1334" s="489"/>
    </row>
    <row r="1335" spans="1:18" x14ac:dyDescent="0.25">
      <c r="B1335" s="596"/>
      <c r="C1335" s="526">
        <v>1</v>
      </c>
      <c r="D1335" s="467" t="s">
        <v>52</v>
      </c>
      <c r="F1335" s="495"/>
      <c r="G1335" s="553" t="s">
        <v>97</v>
      </c>
      <c r="H1335" s="561">
        <f>SUM(H1322:H1334)</f>
        <v>1595</v>
      </c>
      <c r="I1335" s="477"/>
      <c r="J1335" s="974"/>
      <c r="K1335" s="539"/>
      <c r="O1335" s="468"/>
      <c r="R1335" s="489"/>
    </row>
    <row r="1336" spans="1:18" x14ac:dyDescent="0.25">
      <c r="B1336" s="596"/>
      <c r="C1336" s="526">
        <v>1</v>
      </c>
      <c r="D1336" s="467" t="s">
        <v>21</v>
      </c>
      <c r="F1336" s="495"/>
      <c r="G1336" s="553" t="s">
        <v>105</v>
      </c>
      <c r="H1336" s="561">
        <f>H1335*$M$153</f>
        <v>319</v>
      </c>
      <c r="I1336" s="477"/>
      <c r="J1336" s="974"/>
      <c r="K1336" s="539"/>
      <c r="O1336" s="468"/>
      <c r="R1336" s="489"/>
    </row>
    <row r="1337" spans="1:18" x14ac:dyDescent="0.25">
      <c r="B1337" s="562"/>
      <c r="C1337" s="527" t="s">
        <v>17</v>
      </c>
      <c r="D1337" s="522" t="s">
        <v>48</v>
      </c>
      <c r="E1337" s="523"/>
      <c r="F1337" s="524"/>
      <c r="G1337" s="553" t="s">
        <v>452</v>
      </c>
      <c r="H1337" s="561">
        <f>SUM(H1335:H1336)</f>
        <v>1914</v>
      </c>
      <c r="I1337" s="477"/>
      <c r="J1337" s="974"/>
      <c r="K1337" s="539"/>
      <c r="O1337" s="468"/>
      <c r="R1337" s="489"/>
    </row>
    <row r="1338" spans="1:18" x14ac:dyDescent="0.25">
      <c r="G1338" s="477"/>
      <c r="H1338" s="477"/>
      <c r="I1338" s="477"/>
      <c r="J1338" s="974"/>
      <c r="K1338" s="539"/>
      <c r="O1338" s="468"/>
      <c r="R1338" s="489"/>
    </row>
    <row r="1339" spans="1:18" s="467" customFormat="1" x14ac:dyDescent="0.2">
      <c r="A1339" s="463"/>
      <c r="B1339" s="555" t="s">
        <v>6</v>
      </c>
      <c r="C1339" s="515" t="s">
        <v>0</v>
      </c>
      <c r="D1339" s="556" t="s">
        <v>8</v>
      </c>
      <c r="E1339" s="525" t="s">
        <v>4</v>
      </c>
      <c r="F1339" s="556" t="s">
        <v>3</v>
      </c>
      <c r="G1339" s="477"/>
      <c r="H1339" s="477"/>
      <c r="I1339" s="477"/>
      <c r="J1339" s="974"/>
      <c r="K1339" s="539"/>
      <c r="Q1339" s="465"/>
    </row>
    <row r="1340" spans="1:18" x14ac:dyDescent="0.25">
      <c r="A1340" s="463">
        <v>153</v>
      </c>
      <c r="B1340" s="1077">
        <f>+B79</f>
        <v>4.1199999999999974</v>
      </c>
      <c r="C1340" s="1077">
        <f>+C79</f>
        <v>2</v>
      </c>
      <c r="D1340" s="1091" t="str">
        <f>+D79</f>
        <v>TABLERO BUSBAR - TIPO 10.1</v>
      </c>
      <c r="E1340" s="517">
        <f>+H1357</f>
        <v>1564.8</v>
      </c>
      <c r="F1340" s="518">
        <f>+E1340*C1340</f>
        <v>3129.6</v>
      </c>
      <c r="G1340" s="553" t="s">
        <v>450</v>
      </c>
      <c r="H1340" s="553" t="s">
        <v>1</v>
      </c>
      <c r="I1340" s="477"/>
      <c r="J1340" s="974"/>
      <c r="K1340" s="539"/>
      <c r="O1340" s="468"/>
    </row>
    <row r="1341" spans="1:18" x14ac:dyDescent="0.25">
      <c r="B1341" s="1078"/>
      <c r="C1341" s="1078"/>
      <c r="D1341" s="1092"/>
      <c r="E1341" s="519" t="s">
        <v>50</v>
      </c>
      <c r="F1341" s="520" t="s">
        <v>50</v>
      </c>
      <c r="G1341" s="553" t="s">
        <v>50</v>
      </c>
      <c r="H1341" s="553" t="s">
        <v>50</v>
      </c>
      <c r="I1341" s="477"/>
      <c r="J1341" s="974"/>
      <c r="K1341" s="539"/>
      <c r="O1341" s="468"/>
    </row>
    <row r="1342" spans="1:18" ht="16.5" thickBot="1" x14ac:dyDescent="0.3">
      <c r="B1342" s="596"/>
      <c r="C1342" s="526"/>
      <c r="F1342" s="495"/>
      <c r="G1342" s="561"/>
      <c r="H1342" s="561"/>
      <c r="I1342" s="477"/>
      <c r="J1342" s="974"/>
      <c r="K1342" s="539"/>
      <c r="O1342" s="468"/>
      <c r="R1342" s="489"/>
    </row>
    <row r="1343" spans="1:18" ht="16.5" thickBot="1" x14ac:dyDescent="0.3">
      <c r="B1343" s="596"/>
      <c r="C1343" s="526">
        <v>1</v>
      </c>
      <c r="D1343" s="539" t="str">
        <f>+'Precios Equipos'!C192</f>
        <v>Gabinete Autosoportado 2000x800x450mm. (Alto x ancho x profundidad)</v>
      </c>
      <c r="F1343" s="495"/>
      <c r="G1343" s="561">
        <f>VLOOKUP(D1343,'Precios Equipos'!$C$11:$F$208,3,0)</f>
        <v>0</v>
      </c>
      <c r="H1343" s="561">
        <f t="shared" ref="H1343" si="133">G1343*C1343</f>
        <v>0</v>
      </c>
      <c r="I1343" s="561">
        <f>+H1343</f>
        <v>0</v>
      </c>
      <c r="J1343" s="975">
        <f>+I1343/H1355</f>
        <v>0</v>
      </c>
      <c r="K1343" s="539"/>
      <c r="L1343" s="540" t="s">
        <v>451</v>
      </c>
      <c r="M1343" s="541"/>
      <c r="O1343" s="468"/>
      <c r="Q1343" s="465">
        <f>+C1343*$C$1340</f>
        <v>2</v>
      </c>
      <c r="R1343" s="489"/>
    </row>
    <row r="1344" spans="1:18" ht="16.5" thickBot="1" x14ac:dyDescent="0.3">
      <c r="B1344" s="596"/>
      <c r="C1344" s="526"/>
      <c r="F1344" s="495"/>
      <c r="G1344" s="561"/>
      <c r="H1344" s="561"/>
      <c r="I1344" s="477"/>
      <c r="J1344" s="974"/>
      <c r="K1344" s="539"/>
      <c r="L1344" s="542" t="s">
        <v>88</v>
      </c>
      <c r="M1344" s="543" t="s">
        <v>85</v>
      </c>
      <c r="O1344" s="468"/>
      <c r="R1344" s="489"/>
    </row>
    <row r="1345" spans="1:18" x14ac:dyDescent="0.25">
      <c r="B1345" s="596"/>
      <c r="C1345" s="526"/>
      <c r="D1345" s="620" t="s">
        <v>568</v>
      </c>
      <c r="F1345" s="495"/>
      <c r="G1345" s="561"/>
      <c r="H1345" s="561"/>
      <c r="I1345" s="477"/>
      <c r="J1345" s="974"/>
      <c r="K1345" s="539"/>
      <c r="L1345" s="544" t="str">
        <f>+'Precios Equipos'!C119</f>
        <v>COBRE BUS BAR TIPO 9</v>
      </c>
      <c r="M1345" s="545">
        <f>IFERROR(VLOOKUP(L1345,'Precios Equipos'!$C$11:$F$208,3,0),0)</f>
        <v>3</v>
      </c>
      <c r="O1345" s="468"/>
      <c r="R1345" s="489"/>
    </row>
    <row r="1346" spans="1:18" x14ac:dyDescent="0.25">
      <c r="B1346" s="596"/>
      <c r="C1346" s="526">
        <v>6</v>
      </c>
      <c r="D1346" s="467" t="str">
        <f>+'Precios Equipos'!C42</f>
        <v>ITM 2x125A, Caja Moldeada 125A, 25kA en 220V, A1N/P, ABB, DC</v>
      </c>
      <c r="F1346" s="495"/>
      <c r="G1346" s="561">
        <f>VLOOKUP(D1346,'Precios Equipos'!$C$25:$F$208,3,0)</f>
        <v>78</v>
      </c>
      <c r="H1346" s="561">
        <f t="shared" ref="H1346:H1349" si="134">G1346*C1346</f>
        <v>468</v>
      </c>
      <c r="I1346" s="1133">
        <f>SUM(H1346:H1349)</f>
        <v>1238</v>
      </c>
      <c r="J1346" s="1116">
        <f>+I1346/H1355</f>
        <v>0.94938650306748462</v>
      </c>
      <c r="K1346" s="539"/>
      <c r="L1346" s="544" t="str">
        <f>+'Precios Equipos'!C155</f>
        <v>M. Obra Electricidad BUS BAR TIPO 10; 10.1; 10.2; 11</v>
      </c>
      <c r="M1346" s="545">
        <f>IFERROR(VLOOKUP(L1346,'Precios Equipos'!$C$11:$F$208,3,0),0)</f>
        <v>0</v>
      </c>
      <c r="O1346" s="468"/>
      <c r="Q1346" s="465">
        <f>+C1346*$C$1340</f>
        <v>12</v>
      </c>
      <c r="R1346" s="489"/>
    </row>
    <row r="1347" spans="1:18" ht="16.5" thickBot="1" x14ac:dyDescent="0.3">
      <c r="B1347" s="596"/>
      <c r="C1347" s="526">
        <v>2</v>
      </c>
      <c r="D1347" s="467" t="str">
        <f>+'Precios Equipos'!C43</f>
        <v>ITM 2x160A, Caja Moldeada 160A, 50kA en 220V, A2N 250, ABB, DC</v>
      </c>
      <c r="F1347" s="495"/>
      <c r="G1347" s="561">
        <f>VLOOKUP(D1347,'Precios Equipos'!$C$25:$F$208,3,0)</f>
        <v>92</v>
      </c>
      <c r="H1347" s="561">
        <f t="shared" si="134"/>
        <v>184</v>
      </c>
      <c r="I1347" s="1134"/>
      <c r="J1347" s="1129"/>
      <c r="K1347" s="539"/>
      <c r="L1347" s="544" t="str">
        <f>+'Precios Equipos'!$C$205</f>
        <v>Diseño Ingenieria Tableros Autosoportados</v>
      </c>
      <c r="M1347" s="545">
        <f>IFERROR(VLOOKUP(L1347,'Precios Equipos'!$C$11:$F$208,3,0),0)</f>
        <v>63</v>
      </c>
      <c r="O1347" s="468"/>
      <c r="Q1347" s="465">
        <f>+C1347*$C$1340</f>
        <v>4</v>
      </c>
      <c r="R1347" s="489"/>
    </row>
    <row r="1348" spans="1:18" ht="16.5" thickBot="1" x14ac:dyDescent="0.3">
      <c r="B1348" s="596"/>
      <c r="C1348" s="526">
        <v>2</v>
      </c>
      <c r="D1348" s="467" t="str">
        <f>+'Precios Equipos'!C64</f>
        <v>Seccionador Portafusible XLP1-1P-2BC, 250A, 1SEP600116R0002, ABB</v>
      </c>
      <c r="F1348" s="495"/>
      <c r="G1348" s="561">
        <f>VLOOKUP(D1348,'Precios Equipos'!$C$25:$F$208,3,0)</f>
        <v>148</v>
      </c>
      <c r="H1348" s="561">
        <f t="shared" si="134"/>
        <v>296</v>
      </c>
      <c r="I1348" s="1134"/>
      <c r="J1348" s="1129"/>
      <c r="K1348" s="539"/>
      <c r="L1348" s="546" t="s">
        <v>89</v>
      </c>
      <c r="M1348" s="560">
        <f>SUM(M1345:M1347)</f>
        <v>66</v>
      </c>
      <c r="O1348" s="468"/>
      <c r="Q1348" s="465">
        <f t="shared" ref="Q1348:Q1349" si="135">+C1348*$C$1340</f>
        <v>4</v>
      </c>
      <c r="R1348" s="489"/>
    </row>
    <row r="1349" spans="1:18" x14ac:dyDescent="0.25">
      <c r="B1349" s="596"/>
      <c r="C1349" s="526">
        <v>2</v>
      </c>
      <c r="D1349" s="467" t="str">
        <f>+'Precios Equipos'!$C$65</f>
        <v>Fusible tipo NH1 250A</v>
      </c>
      <c r="F1349" s="495"/>
      <c r="G1349" s="561">
        <f>VLOOKUP(D1349,'Precios Equipos'!$C$11:$F$208,3,0)</f>
        <v>145</v>
      </c>
      <c r="H1349" s="561">
        <f t="shared" si="134"/>
        <v>290</v>
      </c>
      <c r="I1349" s="1135"/>
      <c r="J1349" s="1117"/>
      <c r="K1349" s="539"/>
      <c r="O1349" s="468"/>
      <c r="Q1349" s="465">
        <f t="shared" si="135"/>
        <v>4</v>
      </c>
      <c r="R1349" s="489"/>
    </row>
    <row r="1350" spans="1:18" x14ac:dyDescent="0.25">
      <c r="B1350" s="596"/>
      <c r="C1350" s="526"/>
      <c r="F1350" s="495"/>
      <c r="G1350" s="561"/>
      <c r="H1350" s="561"/>
      <c r="I1350" s="477"/>
      <c r="J1350" s="974"/>
      <c r="K1350" s="539"/>
      <c r="O1350" s="468"/>
      <c r="R1350" s="489"/>
    </row>
    <row r="1351" spans="1:18" x14ac:dyDescent="0.25">
      <c r="B1351" s="596"/>
      <c r="C1351" s="526"/>
      <c r="D1351" s="620" t="s">
        <v>87</v>
      </c>
      <c r="F1351" s="495"/>
      <c r="G1351" s="561"/>
      <c r="H1351" s="561"/>
      <c r="I1351" s="477"/>
      <c r="J1351" s="974"/>
      <c r="K1351" s="539"/>
      <c r="O1351" s="468"/>
      <c r="R1351" s="489"/>
    </row>
    <row r="1352" spans="1:18" x14ac:dyDescent="0.25">
      <c r="B1352" s="596"/>
      <c r="C1352" s="526">
        <v>1</v>
      </c>
      <c r="D1352" s="494" t="s">
        <v>49</v>
      </c>
      <c r="F1352" s="495"/>
      <c r="G1352" s="561"/>
      <c r="H1352" s="561">
        <f>+M1348</f>
        <v>66</v>
      </c>
      <c r="I1352" s="561">
        <f>+H1352</f>
        <v>66</v>
      </c>
      <c r="J1352" s="975">
        <f>+I1352/H1355</f>
        <v>5.0613496932515337E-2</v>
      </c>
      <c r="K1352" s="539"/>
      <c r="O1352" s="468"/>
      <c r="R1352" s="489"/>
    </row>
    <row r="1353" spans="1:18" x14ac:dyDescent="0.25">
      <c r="B1353" s="596"/>
      <c r="C1353" s="526">
        <v>1</v>
      </c>
      <c r="D1353" s="494" t="s">
        <v>51</v>
      </c>
      <c r="F1353" s="495"/>
      <c r="G1353" s="561"/>
      <c r="H1353" s="561"/>
      <c r="I1353" s="1081">
        <f>SUM(H1353:H1354)</f>
        <v>0</v>
      </c>
      <c r="J1353" s="1116">
        <f>+I1353/H1355</f>
        <v>0</v>
      </c>
      <c r="K1353" s="539"/>
      <c r="O1353" s="468"/>
      <c r="R1353" s="489"/>
    </row>
    <row r="1354" spans="1:18" x14ac:dyDescent="0.25">
      <c r="B1354" s="596"/>
      <c r="C1354" s="526">
        <v>1</v>
      </c>
      <c r="D1354" s="467" t="s">
        <v>20</v>
      </c>
      <c r="F1354" s="495"/>
      <c r="G1354" s="561"/>
      <c r="H1354" s="561"/>
      <c r="I1354" s="1083"/>
      <c r="J1354" s="1117"/>
      <c r="K1354" s="539"/>
      <c r="O1354" s="468"/>
      <c r="R1354" s="489"/>
    </row>
    <row r="1355" spans="1:18" x14ac:dyDescent="0.25">
      <c r="B1355" s="596"/>
      <c r="C1355" s="526">
        <v>1</v>
      </c>
      <c r="D1355" s="467" t="s">
        <v>52</v>
      </c>
      <c r="F1355" s="495"/>
      <c r="G1355" s="553" t="s">
        <v>97</v>
      </c>
      <c r="H1355" s="561">
        <f>SUM(H1342:H1354)</f>
        <v>1304</v>
      </c>
      <c r="I1355" s="477"/>
      <c r="J1355" s="974"/>
      <c r="K1355" s="539"/>
      <c r="O1355" s="468"/>
      <c r="R1355" s="489"/>
    </row>
    <row r="1356" spans="1:18" x14ac:dyDescent="0.25">
      <c r="B1356" s="596"/>
      <c r="C1356" s="526">
        <v>1</v>
      </c>
      <c r="D1356" s="467" t="s">
        <v>21</v>
      </c>
      <c r="F1356" s="495"/>
      <c r="G1356" s="553" t="s">
        <v>105</v>
      </c>
      <c r="H1356" s="561">
        <f>H1355*$M$153</f>
        <v>260.8</v>
      </c>
      <c r="I1356" s="477"/>
      <c r="J1356" s="974"/>
      <c r="K1356" s="539"/>
      <c r="O1356" s="468"/>
      <c r="R1356" s="489"/>
    </row>
    <row r="1357" spans="1:18" x14ac:dyDescent="0.25">
      <c r="B1357" s="562"/>
      <c r="C1357" s="527" t="s">
        <v>17</v>
      </c>
      <c r="D1357" s="522" t="s">
        <v>48</v>
      </c>
      <c r="E1357" s="523"/>
      <c r="F1357" s="524"/>
      <c r="G1357" s="553" t="s">
        <v>452</v>
      </c>
      <c r="H1357" s="561">
        <f>SUM(H1355:H1356)</f>
        <v>1564.8</v>
      </c>
      <c r="I1357" s="477"/>
      <c r="J1357" s="974"/>
      <c r="K1357" s="539"/>
      <c r="O1357" s="468"/>
      <c r="R1357" s="489"/>
    </row>
    <row r="1358" spans="1:18" x14ac:dyDescent="0.25">
      <c r="G1358" s="477"/>
      <c r="H1358" s="477"/>
      <c r="I1358" s="477"/>
      <c r="J1358" s="974"/>
      <c r="K1358" s="539"/>
      <c r="O1358" s="468"/>
      <c r="R1358" s="489"/>
    </row>
    <row r="1359" spans="1:18" s="467" customFormat="1" x14ac:dyDescent="0.2">
      <c r="A1359" s="463"/>
      <c r="B1359" s="555" t="s">
        <v>6</v>
      </c>
      <c r="C1359" s="515" t="s">
        <v>0</v>
      </c>
      <c r="D1359" s="555" t="s">
        <v>8</v>
      </c>
      <c r="E1359" s="556" t="s">
        <v>4</v>
      </c>
      <c r="F1359" s="556" t="s">
        <v>3</v>
      </c>
      <c r="G1359" s="477"/>
      <c r="H1359" s="477"/>
      <c r="I1359" s="477"/>
      <c r="J1359" s="974"/>
      <c r="K1359" s="539"/>
      <c r="Q1359" s="465"/>
    </row>
    <row r="1360" spans="1:18" x14ac:dyDescent="0.25">
      <c r="A1360" s="463">
        <v>153</v>
      </c>
      <c r="B1360" s="1077">
        <f>+B80</f>
        <v>4.1299999999999972</v>
      </c>
      <c r="C1360" s="1077">
        <f>+C80</f>
        <v>3</v>
      </c>
      <c r="D1360" s="1077" t="str">
        <f>+D80</f>
        <v>TABLERO BUSBAR - TIPO 11</v>
      </c>
      <c r="E1360" s="518">
        <f>+H1377</f>
        <v>2028</v>
      </c>
      <c r="F1360" s="518">
        <f>+E1360*C1360</f>
        <v>6084</v>
      </c>
      <c r="G1360" s="553" t="s">
        <v>450</v>
      </c>
      <c r="H1360" s="553" t="s">
        <v>1</v>
      </c>
      <c r="I1360" s="477"/>
      <c r="J1360" s="974"/>
      <c r="K1360" s="539"/>
      <c r="O1360" s="468"/>
    </row>
    <row r="1361" spans="2:18" ht="16.5" thickBot="1" x14ac:dyDescent="0.3">
      <c r="B1361" s="1078"/>
      <c r="C1361" s="1078"/>
      <c r="D1361" s="1078"/>
      <c r="E1361" s="520" t="s">
        <v>50</v>
      </c>
      <c r="F1361" s="520" t="s">
        <v>50</v>
      </c>
      <c r="G1361" s="553" t="s">
        <v>50</v>
      </c>
      <c r="H1361" s="553" t="s">
        <v>50</v>
      </c>
      <c r="I1361" s="477"/>
      <c r="J1361" s="974"/>
      <c r="K1361" s="539"/>
      <c r="O1361" s="468"/>
    </row>
    <row r="1362" spans="2:18" ht="16.5" thickBot="1" x14ac:dyDescent="0.3">
      <c r="B1362" s="596"/>
      <c r="C1362" s="526"/>
      <c r="F1362" s="495"/>
      <c r="G1362" s="561"/>
      <c r="H1362" s="561"/>
      <c r="I1362" s="477"/>
      <c r="J1362" s="974"/>
      <c r="K1362" s="539"/>
      <c r="L1362" s="540" t="s">
        <v>451</v>
      </c>
      <c r="M1362" s="541"/>
      <c r="O1362" s="468"/>
      <c r="R1362" s="489"/>
    </row>
    <row r="1363" spans="2:18" ht="16.5" thickBot="1" x14ac:dyDescent="0.3">
      <c r="B1363" s="596"/>
      <c r="C1363" s="526">
        <v>1</v>
      </c>
      <c r="D1363" s="539" t="str">
        <f>+'Precios Equipos'!C192</f>
        <v>Gabinete Autosoportado 2000x800x450mm. (Alto x ancho x profundidad)</v>
      </c>
      <c r="F1363" s="495"/>
      <c r="G1363" s="561">
        <f>VLOOKUP(D1363,'Precios Equipos'!$C$11:$F$208,3,0)</f>
        <v>0</v>
      </c>
      <c r="H1363" s="561">
        <f t="shared" ref="H1363" si="136">G1363*C1363</f>
        <v>0</v>
      </c>
      <c r="I1363" s="561">
        <f>+H1363</f>
        <v>0</v>
      </c>
      <c r="J1363" s="975">
        <f>+I1363/H1375</f>
        <v>0</v>
      </c>
      <c r="K1363" s="539"/>
      <c r="L1363" s="542" t="s">
        <v>88</v>
      </c>
      <c r="M1363" s="543" t="s">
        <v>85</v>
      </c>
      <c r="O1363" s="468"/>
      <c r="Q1363" s="465">
        <f>+C1363*$C$1360</f>
        <v>3</v>
      </c>
      <c r="R1363" s="489"/>
    </row>
    <row r="1364" spans="2:18" x14ac:dyDescent="0.25">
      <c r="B1364" s="596"/>
      <c r="C1364" s="526"/>
      <c r="F1364" s="495"/>
      <c r="G1364" s="561"/>
      <c r="H1364" s="561"/>
      <c r="I1364" s="477"/>
      <c r="J1364" s="974"/>
      <c r="K1364" s="539"/>
      <c r="L1364" s="544" t="str">
        <f>+'Precios Equipos'!C121</f>
        <v>COBRE BUS BAR TIPO 12 y 12.1</v>
      </c>
      <c r="M1364" s="545">
        <f>IFERROR(VLOOKUP(L1364,'Precios Equipos'!$C$11:$F$208,3,0),0)</f>
        <v>4</v>
      </c>
      <c r="O1364" s="468"/>
      <c r="R1364" s="489"/>
    </row>
    <row r="1365" spans="2:18" x14ac:dyDescent="0.25">
      <c r="B1365" s="596"/>
      <c r="C1365" s="526"/>
      <c r="D1365" s="620" t="s">
        <v>568</v>
      </c>
      <c r="F1365" s="495"/>
      <c r="G1365" s="561"/>
      <c r="H1365" s="561"/>
      <c r="I1365" s="477"/>
      <c r="J1365" s="974"/>
      <c r="K1365" s="539"/>
      <c r="L1365" s="544" t="str">
        <f>+'Precios Equipos'!C155</f>
        <v>M. Obra Electricidad BUS BAR TIPO 10; 10.1; 10.2; 11</v>
      </c>
      <c r="M1365" s="545">
        <f>IFERROR(VLOOKUP(L1365,'Precios Equipos'!$C$11:$F$208,3,0),0)</f>
        <v>0</v>
      </c>
      <c r="O1365" s="468"/>
      <c r="R1365" s="489"/>
    </row>
    <row r="1366" spans="2:18" ht="16.5" thickBot="1" x14ac:dyDescent="0.3">
      <c r="B1366" s="596"/>
      <c r="C1366" s="526">
        <v>6</v>
      </c>
      <c r="D1366" s="467" t="str">
        <f>+'Precios Equipos'!C42</f>
        <v>ITM 2x125A, Caja Moldeada 125A, 25kA en 220V, A1N/P, ABB, DC</v>
      </c>
      <c r="F1366" s="495"/>
      <c r="G1366" s="561">
        <f>VLOOKUP(D1366,'Precios Equipos'!$C$25:$F$208,3,0)</f>
        <v>78</v>
      </c>
      <c r="H1366" s="561">
        <f t="shared" ref="H1366:H1369" si="137">G1366*C1366</f>
        <v>468</v>
      </c>
      <c r="I1366" s="1081">
        <f>SUM(H1366:H1369)</f>
        <v>1623</v>
      </c>
      <c r="J1366" s="1116">
        <f>+I1366/H1375</f>
        <v>0.96035502958579877</v>
      </c>
      <c r="K1366" s="539"/>
      <c r="L1366" s="544" t="str">
        <f>+'Precios Equipos'!$C$205</f>
        <v>Diseño Ingenieria Tableros Autosoportados</v>
      </c>
      <c r="M1366" s="545">
        <f>IFERROR(VLOOKUP(L1366,'Precios Equipos'!$C$11:$F$208,3,0),0)</f>
        <v>63</v>
      </c>
      <c r="O1366" s="468"/>
      <c r="Q1366" s="465">
        <f>+C1366*$C$1360</f>
        <v>18</v>
      </c>
      <c r="R1366" s="489"/>
    </row>
    <row r="1367" spans="2:18" ht="16.5" thickBot="1" x14ac:dyDescent="0.3">
      <c r="B1367" s="596"/>
      <c r="C1367" s="526">
        <v>3</v>
      </c>
      <c r="D1367" s="467" t="str">
        <f>+'Precios Equipos'!C43</f>
        <v>ITM 2x160A, Caja Moldeada 160A, 50kA en 220V, A2N 250, ABB, DC</v>
      </c>
      <c r="F1367" s="495"/>
      <c r="G1367" s="561">
        <f>VLOOKUP(D1367,'Precios Equipos'!$C$25:$F$208,3,0)</f>
        <v>92</v>
      </c>
      <c r="H1367" s="561">
        <f t="shared" si="137"/>
        <v>276</v>
      </c>
      <c r="I1367" s="1082"/>
      <c r="J1367" s="1129"/>
      <c r="K1367" s="539"/>
      <c r="L1367" s="546" t="s">
        <v>89</v>
      </c>
      <c r="M1367" s="560">
        <f>SUM(M1364:M1366)</f>
        <v>67</v>
      </c>
      <c r="O1367" s="468"/>
      <c r="Q1367" s="465">
        <f>+C1367*$C$1360</f>
        <v>9</v>
      </c>
      <c r="R1367" s="489"/>
    </row>
    <row r="1368" spans="2:18" x14ac:dyDescent="0.25">
      <c r="B1368" s="596"/>
      <c r="C1368" s="526">
        <v>3</v>
      </c>
      <c r="D1368" s="467" t="str">
        <f>+'Precios Equipos'!C64</f>
        <v>Seccionador Portafusible XLP1-1P-2BC, 250A, 1SEP600116R0002, ABB</v>
      </c>
      <c r="F1368" s="495"/>
      <c r="G1368" s="561">
        <f>VLOOKUP(D1368,'Precios Equipos'!$C$25:$F$208,3,0)</f>
        <v>148</v>
      </c>
      <c r="H1368" s="561">
        <f t="shared" si="137"/>
        <v>444</v>
      </c>
      <c r="I1368" s="1082"/>
      <c r="J1368" s="1129"/>
      <c r="K1368" s="539"/>
      <c r="O1368" s="468"/>
      <c r="Q1368" s="465">
        <f>+C1368*$C$1360</f>
        <v>9</v>
      </c>
      <c r="R1368" s="489"/>
    </row>
    <row r="1369" spans="2:18" x14ac:dyDescent="0.25">
      <c r="B1369" s="596"/>
      <c r="C1369" s="526">
        <v>3</v>
      </c>
      <c r="D1369" s="467" t="str">
        <f>+'Precios Equipos'!$C$65</f>
        <v>Fusible tipo NH1 250A</v>
      </c>
      <c r="F1369" s="495"/>
      <c r="G1369" s="561">
        <f>VLOOKUP(D1369,'Precios Equipos'!$C$11:$F$208,3,0)</f>
        <v>145</v>
      </c>
      <c r="H1369" s="561">
        <f t="shared" si="137"/>
        <v>435</v>
      </c>
      <c r="I1369" s="1083"/>
      <c r="J1369" s="1117"/>
      <c r="K1369" s="539"/>
      <c r="O1369" s="468"/>
      <c r="Q1369" s="465">
        <f>+C1369*$C$1360</f>
        <v>9</v>
      </c>
      <c r="R1369" s="489"/>
    </row>
    <row r="1370" spans="2:18" x14ac:dyDescent="0.25">
      <c r="B1370" s="596"/>
      <c r="C1370" s="526"/>
      <c r="F1370" s="495"/>
      <c r="G1370" s="561"/>
      <c r="H1370" s="561"/>
      <c r="I1370" s="477"/>
      <c r="J1370" s="974"/>
      <c r="K1370" s="539"/>
      <c r="O1370" s="468"/>
      <c r="R1370" s="489"/>
    </row>
    <row r="1371" spans="2:18" x14ac:dyDescent="0.25">
      <c r="B1371" s="596"/>
      <c r="C1371" s="526"/>
      <c r="D1371" s="620" t="s">
        <v>87</v>
      </c>
      <c r="F1371" s="495"/>
      <c r="G1371" s="561"/>
      <c r="H1371" s="561"/>
      <c r="I1371" s="477"/>
      <c r="J1371" s="974"/>
      <c r="K1371" s="539"/>
      <c r="O1371" s="468"/>
      <c r="R1371" s="489"/>
    </row>
    <row r="1372" spans="2:18" x14ac:dyDescent="0.25">
      <c r="B1372" s="596"/>
      <c r="C1372" s="526">
        <v>1</v>
      </c>
      <c r="D1372" s="494" t="s">
        <v>49</v>
      </c>
      <c r="F1372" s="495"/>
      <c r="G1372" s="561"/>
      <c r="H1372" s="561">
        <f>+M1367</f>
        <v>67</v>
      </c>
      <c r="I1372" s="561">
        <f>+H1372</f>
        <v>67</v>
      </c>
      <c r="J1372" s="975">
        <f>+I1372/H1375</f>
        <v>3.9644970414201182E-2</v>
      </c>
      <c r="K1372" s="539"/>
      <c r="O1372" s="468"/>
      <c r="R1372" s="489"/>
    </row>
    <row r="1373" spans="2:18" x14ac:dyDescent="0.25">
      <c r="B1373" s="596"/>
      <c r="C1373" s="526">
        <v>1</v>
      </c>
      <c r="D1373" s="494" t="s">
        <v>51</v>
      </c>
      <c r="F1373" s="495"/>
      <c r="G1373" s="561"/>
      <c r="H1373" s="561"/>
      <c r="I1373" s="1081">
        <f>SUM(H1373:H1374)</f>
        <v>0</v>
      </c>
      <c r="J1373" s="1116">
        <f>+I1373/H1375</f>
        <v>0</v>
      </c>
      <c r="K1373" s="539"/>
      <c r="O1373" s="468"/>
      <c r="R1373" s="489"/>
    </row>
    <row r="1374" spans="2:18" x14ac:dyDescent="0.25">
      <c r="B1374" s="596"/>
      <c r="C1374" s="526">
        <v>1</v>
      </c>
      <c r="D1374" s="467" t="s">
        <v>20</v>
      </c>
      <c r="F1374" s="495"/>
      <c r="G1374" s="561"/>
      <c r="H1374" s="561"/>
      <c r="I1374" s="1083"/>
      <c r="J1374" s="1117"/>
      <c r="K1374" s="539"/>
      <c r="O1374" s="468"/>
      <c r="R1374" s="489"/>
    </row>
    <row r="1375" spans="2:18" x14ac:dyDescent="0.25">
      <c r="B1375" s="596"/>
      <c r="C1375" s="526">
        <v>1</v>
      </c>
      <c r="D1375" s="467" t="s">
        <v>52</v>
      </c>
      <c r="F1375" s="495"/>
      <c r="G1375" s="553" t="s">
        <v>97</v>
      </c>
      <c r="H1375" s="561">
        <f>SUM(H1362:H1374)</f>
        <v>1690</v>
      </c>
      <c r="I1375" s="477"/>
      <c r="J1375" s="974"/>
      <c r="K1375" s="539"/>
      <c r="O1375" s="468"/>
      <c r="R1375" s="489"/>
    </row>
    <row r="1376" spans="2:18" x14ac:dyDescent="0.25">
      <c r="B1376" s="596"/>
      <c r="C1376" s="526">
        <v>1</v>
      </c>
      <c r="D1376" s="467" t="s">
        <v>21</v>
      </c>
      <c r="F1376" s="495"/>
      <c r="G1376" s="553" t="s">
        <v>105</v>
      </c>
      <c r="H1376" s="561">
        <f>H1375*$M$153</f>
        <v>338</v>
      </c>
      <c r="I1376" s="477"/>
      <c r="J1376" s="974"/>
      <c r="K1376" s="539"/>
      <c r="O1376" s="468"/>
      <c r="R1376" s="489"/>
    </row>
    <row r="1377" spans="1:18" x14ac:dyDescent="0.25">
      <c r="B1377" s="562"/>
      <c r="C1377" s="527" t="s">
        <v>17</v>
      </c>
      <c r="D1377" s="522" t="s">
        <v>48</v>
      </c>
      <c r="E1377" s="523"/>
      <c r="F1377" s="524"/>
      <c r="G1377" s="553" t="s">
        <v>452</v>
      </c>
      <c r="H1377" s="561">
        <f>SUM(H1375:H1376)</f>
        <v>2028</v>
      </c>
      <c r="I1377" s="477"/>
      <c r="J1377" s="974"/>
      <c r="K1377" s="539"/>
      <c r="O1377" s="468"/>
      <c r="R1377" s="489"/>
    </row>
    <row r="1378" spans="1:18" x14ac:dyDescent="0.25">
      <c r="G1378" s="477"/>
      <c r="H1378" s="477"/>
      <c r="I1378" s="477"/>
      <c r="J1378" s="974"/>
      <c r="K1378" s="539"/>
      <c r="O1378" s="468"/>
      <c r="R1378" s="489"/>
    </row>
    <row r="1379" spans="1:18" s="467" customFormat="1" ht="16.5" thickBot="1" x14ac:dyDescent="0.25">
      <c r="A1379" s="463"/>
      <c r="B1379" s="555" t="s">
        <v>6</v>
      </c>
      <c r="C1379" s="515" t="s">
        <v>0</v>
      </c>
      <c r="D1379" s="556" t="s">
        <v>8</v>
      </c>
      <c r="E1379" s="525" t="s">
        <v>4</v>
      </c>
      <c r="F1379" s="556" t="s">
        <v>3</v>
      </c>
      <c r="G1379" s="477"/>
      <c r="H1379" s="477"/>
      <c r="I1379" s="477"/>
      <c r="J1379" s="974"/>
      <c r="K1379" s="539"/>
      <c r="Q1379" s="465"/>
    </row>
    <row r="1380" spans="1:18" ht="16.5" thickBot="1" x14ac:dyDescent="0.3">
      <c r="A1380" s="463">
        <v>153</v>
      </c>
      <c r="B1380" s="1077">
        <f>+B81</f>
        <v>4.139999999999997</v>
      </c>
      <c r="C1380" s="1077">
        <f>+C81</f>
        <v>1</v>
      </c>
      <c r="D1380" s="1077" t="str">
        <f>+D81</f>
        <v>TABLERO BUSBAR - TIPO 12</v>
      </c>
      <c r="E1380" s="517">
        <f>+H1397</f>
        <v>2028</v>
      </c>
      <c r="F1380" s="518">
        <f>+E1380*C1380</f>
        <v>2028</v>
      </c>
      <c r="G1380" s="553" t="s">
        <v>450</v>
      </c>
      <c r="H1380" s="553" t="s">
        <v>1</v>
      </c>
      <c r="I1380" s="477"/>
      <c r="J1380" s="974"/>
      <c r="K1380" s="539"/>
      <c r="L1380" s="540" t="s">
        <v>451</v>
      </c>
      <c r="M1380" s="541"/>
      <c r="O1380" s="468"/>
    </row>
    <row r="1381" spans="1:18" ht="16.5" thickBot="1" x14ac:dyDescent="0.3">
      <c r="B1381" s="1078"/>
      <c r="C1381" s="1078"/>
      <c r="D1381" s="1078"/>
      <c r="E1381" s="519" t="s">
        <v>50</v>
      </c>
      <c r="F1381" s="520" t="s">
        <v>50</v>
      </c>
      <c r="G1381" s="553" t="s">
        <v>50</v>
      </c>
      <c r="H1381" s="553" t="s">
        <v>50</v>
      </c>
      <c r="I1381" s="477"/>
      <c r="J1381" s="974"/>
      <c r="K1381" s="539"/>
      <c r="L1381" s="542" t="s">
        <v>88</v>
      </c>
      <c r="M1381" s="543" t="s">
        <v>85</v>
      </c>
      <c r="O1381" s="468"/>
    </row>
    <row r="1382" spans="1:18" x14ac:dyDescent="0.25">
      <c r="B1382" s="596"/>
      <c r="C1382" s="526"/>
      <c r="F1382" s="495"/>
      <c r="G1382" s="561"/>
      <c r="H1382" s="561"/>
      <c r="I1382" s="477"/>
      <c r="J1382" s="974"/>
      <c r="K1382" s="539"/>
      <c r="L1382" s="544" t="str">
        <f>+'Precios Equipos'!C121</f>
        <v>COBRE BUS BAR TIPO 12 y 12.1</v>
      </c>
      <c r="M1382" s="545">
        <f>IFERROR(VLOOKUP(L1382,'Precios Equipos'!$C$11:$F$208,3,0),0)</f>
        <v>4</v>
      </c>
      <c r="O1382" s="468"/>
      <c r="R1382" s="489"/>
    </row>
    <row r="1383" spans="1:18" x14ac:dyDescent="0.25">
      <c r="B1383" s="596"/>
      <c r="C1383" s="526">
        <v>1</v>
      </c>
      <c r="D1383" s="539" t="str">
        <f>+'Precios Equipos'!C192</f>
        <v>Gabinete Autosoportado 2000x800x450mm. (Alto x ancho x profundidad)</v>
      </c>
      <c r="F1383" s="495"/>
      <c r="G1383" s="561">
        <f>VLOOKUP(D1383,'Precios Equipos'!$C$11:$F$208,3,0)</f>
        <v>0</v>
      </c>
      <c r="H1383" s="561">
        <f t="shared" ref="H1383" si="138">G1383*C1383</f>
        <v>0</v>
      </c>
      <c r="I1383" s="561">
        <f>+H1383</f>
        <v>0</v>
      </c>
      <c r="J1383" s="975">
        <f>+I1383/H1395</f>
        <v>0</v>
      </c>
      <c r="K1383" s="539"/>
      <c r="L1383" s="544" t="str">
        <f>+'Precios Equipos'!C156</f>
        <v>M. Obra Electricidad BUS BAR TIPO 12 y 12.1</v>
      </c>
      <c r="M1383" s="545">
        <f>IFERROR(VLOOKUP(L1383,'Precios Equipos'!$C$11:$F$208,3,0),0)</f>
        <v>0</v>
      </c>
      <c r="O1383" s="468"/>
      <c r="Q1383" s="465">
        <f>+C1383*$C$1380</f>
        <v>1</v>
      </c>
      <c r="R1383" s="489"/>
    </row>
    <row r="1384" spans="1:18" ht="16.5" thickBot="1" x14ac:dyDescent="0.3">
      <c r="B1384" s="596"/>
      <c r="C1384" s="526"/>
      <c r="F1384" s="495"/>
      <c r="G1384" s="561"/>
      <c r="H1384" s="561"/>
      <c r="I1384" s="477"/>
      <c r="J1384" s="974"/>
      <c r="K1384" s="539"/>
      <c r="L1384" s="544" t="str">
        <f>+'Precios Equipos'!$C$205</f>
        <v>Diseño Ingenieria Tableros Autosoportados</v>
      </c>
      <c r="M1384" s="545">
        <f>IFERROR(VLOOKUP(L1384,'Precios Equipos'!$C$11:$F$208,3,0),0)</f>
        <v>63</v>
      </c>
      <c r="O1384" s="468"/>
      <c r="R1384" s="489"/>
    </row>
    <row r="1385" spans="1:18" ht="16.5" thickBot="1" x14ac:dyDescent="0.3">
      <c r="B1385" s="596"/>
      <c r="C1385" s="526"/>
      <c r="D1385" s="620" t="s">
        <v>568</v>
      </c>
      <c r="F1385" s="495"/>
      <c r="G1385" s="561"/>
      <c r="H1385" s="561"/>
      <c r="I1385" s="477"/>
      <c r="J1385" s="974"/>
      <c r="K1385" s="539"/>
      <c r="L1385" s="546" t="s">
        <v>89</v>
      </c>
      <c r="M1385" s="560">
        <f>SUM(M1382:M1384)</f>
        <v>67</v>
      </c>
      <c r="O1385" s="468"/>
      <c r="R1385" s="489"/>
    </row>
    <row r="1386" spans="1:18" x14ac:dyDescent="0.25">
      <c r="B1386" s="596"/>
      <c r="C1386" s="526">
        <v>6</v>
      </c>
      <c r="D1386" s="467" t="str">
        <f>+'Precios Equipos'!C42</f>
        <v>ITM 2x125A, Caja Moldeada 125A, 25kA en 220V, A1N/P, ABB, DC</v>
      </c>
      <c r="F1386" s="495"/>
      <c r="G1386" s="561">
        <f>VLOOKUP(D1386,'Precios Equipos'!$C$25:$F$208,3,0)</f>
        <v>78</v>
      </c>
      <c r="H1386" s="561">
        <f t="shared" ref="H1386:H1389" si="139">G1386*C1386</f>
        <v>468</v>
      </c>
      <c r="I1386" s="1081">
        <f>SUM(H1386:H1389)</f>
        <v>1623</v>
      </c>
      <c r="J1386" s="1121">
        <f>+I1386/H1395</f>
        <v>0.96035502958579877</v>
      </c>
      <c r="K1386" s="539"/>
      <c r="O1386" s="468"/>
      <c r="Q1386" s="465">
        <f>+C1386*$C$1380</f>
        <v>6</v>
      </c>
      <c r="R1386" s="489"/>
    </row>
    <row r="1387" spans="1:18" x14ac:dyDescent="0.25">
      <c r="B1387" s="596"/>
      <c r="C1387" s="526">
        <v>3</v>
      </c>
      <c r="D1387" s="467" t="str">
        <f>+'Precios Equipos'!C43</f>
        <v>ITM 2x160A, Caja Moldeada 160A, 50kA en 220V, A2N 250, ABB, DC</v>
      </c>
      <c r="F1387" s="495"/>
      <c r="G1387" s="561">
        <f>VLOOKUP(D1387,'Precios Equipos'!$C$25:$F$208,3,0)</f>
        <v>92</v>
      </c>
      <c r="H1387" s="561">
        <f t="shared" si="139"/>
        <v>276</v>
      </c>
      <c r="I1387" s="1082"/>
      <c r="J1387" s="1122"/>
      <c r="K1387" s="539"/>
      <c r="O1387" s="468"/>
      <c r="Q1387" s="465">
        <f>+C1387*$C$1380</f>
        <v>3</v>
      </c>
      <c r="R1387" s="489"/>
    </row>
    <row r="1388" spans="1:18" x14ac:dyDescent="0.25">
      <c r="B1388" s="596"/>
      <c r="C1388" s="526">
        <v>3</v>
      </c>
      <c r="D1388" s="467" t="str">
        <f>+'Precios Equipos'!C64</f>
        <v>Seccionador Portafusible XLP1-1P-2BC, 250A, 1SEP600116R0002, ABB</v>
      </c>
      <c r="F1388" s="495"/>
      <c r="G1388" s="561">
        <f>VLOOKUP(D1388,'Precios Equipos'!$C$25:$F$208,3,0)</f>
        <v>148</v>
      </c>
      <c r="H1388" s="561">
        <f t="shared" si="139"/>
        <v>444</v>
      </c>
      <c r="I1388" s="1082"/>
      <c r="J1388" s="1122"/>
      <c r="K1388" s="539"/>
      <c r="O1388" s="468"/>
      <c r="Q1388" s="465">
        <f>+C1388*$C$1380</f>
        <v>3</v>
      </c>
      <c r="R1388" s="489"/>
    </row>
    <row r="1389" spans="1:18" x14ac:dyDescent="0.25">
      <c r="B1389" s="596"/>
      <c r="C1389" s="526">
        <v>3</v>
      </c>
      <c r="D1389" s="467" t="str">
        <f>+'Precios Equipos'!$C$65</f>
        <v>Fusible tipo NH1 250A</v>
      </c>
      <c r="F1389" s="495"/>
      <c r="G1389" s="561">
        <f>VLOOKUP(D1389,'Precios Equipos'!$C$11:$F$208,3,0)</f>
        <v>145</v>
      </c>
      <c r="H1389" s="561">
        <f t="shared" si="139"/>
        <v>435</v>
      </c>
      <c r="I1389" s="1083"/>
      <c r="J1389" s="1123"/>
      <c r="K1389" s="539"/>
      <c r="O1389" s="468"/>
      <c r="Q1389" s="465">
        <f>+C1389*$C$1380</f>
        <v>3</v>
      </c>
      <c r="R1389" s="489"/>
    </row>
    <row r="1390" spans="1:18" x14ac:dyDescent="0.25">
      <c r="B1390" s="596"/>
      <c r="C1390" s="526"/>
      <c r="F1390" s="495"/>
      <c r="G1390" s="561"/>
      <c r="H1390" s="561"/>
      <c r="I1390" s="477"/>
      <c r="J1390" s="974"/>
      <c r="K1390" s="539"/>
      <c r="O1390" s="468"/>
      <c r="R1390" s="489"/>
    </row>
    <row r="1391" spans="1:18" x14ac:dyDescent="0.25">
      <c r="B1391" s="596"/>
      <c r="C1391" s="526"/>
      <c r="D1391" s="620" t="s">
        <v>87</v>
      </c>
      <c r="F1391" s="495"/>
      <c r="G1391" s="561"/>
      <c r="H1391" s="561"/>
      <c r="I1391" s="477"/>
      <c r="J1391" s="974"/>
      <c r="K1391" s="539"/>
      <c r="O1391" s="468"/>
      <c r="R1391" s="489"/>
    </row>
    <row r="1392" spans="1:18" x14ac:dyDescent="0.25">
      <c r="B1392" s="596"/>
      <c r="C1392" s="526">
        <v>1</v>
      </c>
      <c r="D1392" s="494" t="s">
        <v>49</v>
      </c>
      <c r="F1392" s="495"/>
      <c r="G1392" s="561"/>
      <c r="H1392" s="561">
        <f>+M1385</f>
        <v>67</v>
      </c>
      <c r="I1392" s="561">
        <f>+H1392</f>
        <v>67</v>
      </c>
      <c r="J1392" s="975">
        <f>+I1392/H1395</f>
        <v>3.9644970414201182E-2</v>
      </c>
      <c r="K1392" s="539"/>
      <c r="O1392" s="468"/>
      <c r="R1392" s="489"/>
    </row>
    <row r="1393" spans="1:18" x14ac:dyDescent="0.25">
      <c r="B1393" s="596"/>
      <c r="C1393" s="526">
        <v>1</v>
      </c>
      <c r="D1393" s="494" t="s">
        <v>51</v>
      </c>
      <c r="F1393" s="495"/>
      <c r="G1393" s="561"/>
      <c r="H1393" s="561"/>
      <c r="I1393" s="1081">
        <f>SUM(H1393:H1394)</f>
        <v>0</v>
      </c>
      <c r="J1393" s="1116">
        <f>+I1393/H1395</f>
        <v>0</v>
      </c>
      <c r="K1393" s="539"/>
      <c r="O1393" s="468"/>
      <c r="R1393" s="489"/>
    </row>
    <row r="1394" spans="1:18" x14ac:dyDescent="0.25">
      <c r="B1394" s="596"/>
      <c r="C1394" s="526">
        <v>1</v>
      </c>
      <c r="D1394" s="467" t="s">
        <v>20</v>
      </c>
      <c r="F1394" s="495"/>
      <c r="G1394" s="561"/>
      <c r="H1394" s="561"/>
      <c r="I1394" s="1083"/>
      <c r="J1394" s="1117"/>
      <c r="K1394" s="539"/>
      <c r="O1394" s="468"/>
      <c r="R1394" s="489"/>
    </row>
    <row r="1395" spans="1:18" x14ac:dyDescent="0.25">
      <c r="B1395" s="596"/>
      <c r="C1395" s="526">
        <v>1</v>
      </c>
      <c r="D1395" s="467" t="s">
        <v>52</v>
      </c>
      <c r="F1395" s="495"/>
      <c r="G1395" s="553" t="s">
        <v>97</v>
      </c>
      <c r="H1395" s="561">
        <f>SUM(H1382:H1394)</f>
        <v>1690</v>
      </c>
      <c r="I1395" s="477"/>
      <c r="J1395" s="974"/>
      <c r="K1395" s="539"/>
      <c r="O1395" s="468"/>
      <c r="R1395" s="489"/>
    </row>
    <row r="1396" spans="1:18" x14ac:dyDescent="0.25">
      <c r="B1396" s="596"/>
      <c r="C1396" s="526">
        <v>1</v>
      </c>
      <c r="D1396" s="467" t="s">
        <v>21</v>
      </c>
      <c r="F1396" s="495"/>
      <c r="G1396" s="553" t="s">
        <v>105</v>
      </c>
      <c r="H1396" s="561">
        <f>H1395*$M$153</f>
        <v>338</v>
      </c>
      <c r="I1396" s="477"/>
      <c r="J1396" s="974"/>
      <c r="K1396" s="539"/>
      <c r="O1396" s="468"/>
      <c r="R1396" s="489"/>
    </row>
    <row r="1397" spans="1:18" x14ac:dyDescent="0.25">
      <c r="B1397" s="562"/>
      <c r="C1397" s="527" t="s">
        <v>17</v>
      </c>
      <c r="D1397" s="522" t="s">
        <v>48</v>
      </c>
      <c r="E1397" s="523"/>
      <c r="F1397" s="524"/>
      <c r="G1397" s="553" t="s">
        <v>452</v>
      </c>
      <c r="H1397" s="561">
        <f>SUM(H1395:H1396)</f>
        <v>2028</v>
      </c>
      <c r="I1397" s="477"/>
      <c r="J1397" s="974"/>
      <c r="K1397" s="539"/>
      <c r="O1397" s="468"/>
      <c r="R1397" s="489"/>
    </row>
    <row r="1398" spans="1:18" x14ac:dyDescent="0.25">
      <c r="G1398" s="477"/>
      <c r="H1398" s="477"/>
      <c r="I1398" s="477"/>
      <c r="J1398" s="974"/>
      <c r="K1398" s="539"/>
      <c r="O1398" s="468"/>
      <c r="R1398" s="489"/>
    </row>
    <row r="1399" spans="1:18" s="467" customFormat="1" x14ac:dyDescent="0.2">
      <c r="A1399" s="463"/>
      <c r="B1399" s="555" t="s">
        <v>6</v>
      </c>
      <c r="C1399" s="515" t="s">
        <v>0</v>
      </c>
      <c r="D1399" s="556" t="s">
        <v>8</v>
      </c>
      <c r="E1399" s="525" t="s">
        <v>4</v>
      </c>
      <c r="F1399" s="556" t="s">
        <v>3</v>
      </c>
      <c r="G1399" s="477"/>
      <c r="H1399" s="477"/>
      <c r="I1399" s="477"/>
      <c r="J1399" s="974"/>
      <c r="K1399" s="539"/>
      <c r="Q1399" s="465"/>
    </row>
    <row r="1400" spans="1:18" ht="16.5" thickBot="1" x14ac:dyDescent="0.3">
      <c r="A1400" s="463">
        <v>153</v>
      </c>
      <c r="B1400" s="1077">
        <f>+B82</f>
        <v>4.1499999999999968</v>
      </c>
      <c r="C1400" s="1077">
        <f>+C82</f>
        <v>4</v>
      </c>
      <c r="D1400" s="1077" t="str">
        <f>+D82</f>
        <v>TABLERO BUSBAR - TIPO 12.1</v>
      </c>
      <c r="E1400" s="517">
        <f>+H1417</f>
        <v>2028</v>
      </c>
      <c r="F1400" s="518">
        <f>+E1400*C1400</f>
        <v>8112</v>
      </c>
      <c r="G1400" s="553" t="s">
        <v>450</v>
      </c>
      <c r="H1400" s="553" t="s">
        <v>1</v>
      </c>
      <c r="I1400" s="477"/>
      <c r="J1400" s="974"/>
      <c r="K1400" s="539"/>
      <c r="O1400" s="468"/>
    </row>
    <row r="1401" spans="1:18" ht="16.5" thickBot="1" x14ac:dyDescent="0.3">
      <c r="B1401" s="1078"/>
      <c r="C1401" s="1078"/>
      <c r="D1401" s="1078"/>
      <c r="E1401" s="519" t="s">
        <v>50</v>
      </c>
      <c r="F1401" s="520" t="s">
        <v>50</v>
      </c>
      <c r="G1401" s="553" t="s">
        <v>50</v>
      </c>
      <c r="H1401" s="553" t="s">
        <v>50</v>
      </c>
      <c r="I1401" s="477"/>
      <c r="J1401" s="974"/>
      <c r="K1401" s="539"/>
      <c r="L1401" s="540" t="s">
        <v>451</v>
      </c>
      <c r="M1401" s="541"/>
      <c r="O1401" s="468"/>
    </row>
    <row r="1402" spans="1:18" ht="16.5" thickBot="1" x14ac:dyDescent="0.3">
      <c r="B1402" s="596"/>
      <c r="C1402" s="526"/>
      <c r="F1402" s="495"/>
      <c r="G1402" s="561"/>
      <c r="H1402" s="561"/>
      <c r="I1402" s="477"/>
      <c r="J1402" s="974"/>
      <c r="K1402" s="539"/>
      <c r="L1402" s="542" t="s">
        <v>88</v>
      </c>
      <c r="M1402" s="543" t="s">
        <v>85</v>
      </c>
      <c r="O1402" s="468"/>
      <c r="R1402" s="489"/>
    </row>
    <row r="1403" spans="1:18" x14ac:dyDescent="0.25">
      <c r="B1403" s="596"/>
      <c r="C1403" s="526">
        <v>1</v>
      </c>
      <c r="D1403" s="539" t="str">
        <f>+'Precios Equipos'!C192</f>
        <v>Gabinete Autosoportado 2000x800x450mm. (Alto x ancho x profundidad)</v>
      </c>
      <c r="F1403" s="495"/>
      <c r="G1403" s="561">
        <f>VLOOKUP(D1403,'Precios Equipos'!$C$11:$F$208,3,0)</f>
        <v>0</v>
      </c>
      <c r="H1403" s="561">
        <f t="shared" ref="H1403" si="140">G1403*C1403</f>
        <v>0</v>
      </c>
      <c r="I1403" s="561">
        <f>+H1403</f>
        <v>0</v>
      </c>
      <c r="J1403" s="975">
        <f>+I1403/H1415</f>
        <v>0</v>
      </c>
      <c r="K1403" s="539"/>
      <c r="L1403" s="544" t="str">
        <f>+'Precios Equipos'!C121</f>
        <v>COBRE BUS BAR TIPO 12 y 12.1</v>
      </c>
      <c r="M1403" s="545">
        <f>IFERROR(VLOOKUP(L1403,'Precios Equipos'!$C$11:$F$208,3,0),0)</f>
        <v>4</v>
      </c>
      <c r="O1403" s="468"/>
      <c r="Q1403" s="465">
        <f>+C1403*$C$1400</f>
        <v>4</v>
      </c>
      <c r="R1403" s="489"/>
    </row>
    <row r="1404" spans="1:18" x14ac:dyDescent="0.25">
      <c r="B1404" s="596"/>
      <c r="C1404" s="526"/>
      <c r="F1404" s="495"/>
      <c r="G1404" s="561"/>
      <c r="H1404" s="561"/>
      <c r="I1404" s="477"/>
      <c r="J1404" s="974"/>
      <c r="K1404" s="539"/>
      <c r="L1404" s="544" t="str">
        <f>+'Precios Equipos'!C156</f>
        <v>M. Obra Electricidad BUS BAR TIPO 12 y 12.1</v>
      </c>
      <c r="M1404" s="545">
        <f>IFERROR(VLOOKUP(L1404,'Precios Equipos'!$C$11:$F$208,3,0),0)</f>
        <v>0</v>
      </c>
      <c r="O1404" s="468"/>
      <c r="R1404" s="489"/>
    </row>
    <row r="1405" spans="1:18" ht="16.5" thickBot="1" x14ac:dyDescent="0.3">
      <c r="B1405" s="596"/>
      <c r="C1405" s="526"/>
      <c r="D1405" s="620" t="s">
        <v>568</v>
      </c>
      <c r="F1405" s="495"/>
      <c r="G1405" s="561"/>
      <c r="H1405" s="561"/>
      <c r="I1405" s="477"/>
      <c r="J1405" s="974"/>
      <c r="K1405" s="539"/>
      <c r="L1405" s="544" t="str">
        <f>+'Precios Equipos'!$C$205</f>
        <v>Diseño Ingenieria Tableros Autosoportados</v>
      </c>
      <c r="M1405" s="545">
        <f>IFERROR(VLOOKUP(L1405,'Precios Equipos'!$C$11:$F$208,3,0),0)</f>
        <v>63</v>
      </c>
      <c r="O1405" s="468"/>
      <c r="R1405" s="489"/>
    </row>
    <row r="1406" spans="1:18" ht="16.5" thickBot="1" x14ac:dyDescent="0.3">
      <c r="B1406" s="596"/>
      <c r="C1406" s="526">
        <v>6</v>
      </c>
      <c r="D1406" s="467" t="str">
        <f>+'Precios Equipos'!C42</f>
        <v>ITM 2x125A, Caja Moldeada 125A, 25kA en 220V, A1N/P, ABB, DC</v>
      </c>
      <c r="F1406" s="495"/>
      <c r="G1406" s="561">
        <f>VLOOKUP(D1406,'Precios Equipos'!$C$25:$F$208,3,0)</f>
        <v>78</v>
      </c>
      <c r="H1406" s="561">
        <f t="shared" ref="H1406:H1409" si="141">G1406*C1406</f>
        <v>468</v>
      </c>
      <c r="I1406" s="1081">
        <f>SUM(H1406:H1409)</f>
        <v>1623</v>
      </c>
      <c r="J1406" s="1121">
        <f>+I1406/H1415</f>
        <v>0.96035502958579877</v>
      </c>
      <c r="K1406" s="539"/>
      <c r="L1406" s="546" t="s">
        <v>89</v>
      </c>
      <c r="M1406" s="560">
        <f>SUM(M1403:M1405)</f>
        <v>67</v>
      </c>
      <c r="O1406" s="468"/>
      <c r="Q1406" s="465">
        <f>+C1406*$C$1400</f>
        <v>24</v>
      </c>
      <c r="R1406" s="489"/>
    </row>
    <row r="1407" spans="1:18" x14ac:dyDescent="0.25">
      <c r="B1407" s="596"/>
      <c r="C1407" s="526">
        <v>3</v>
      </c>
      <c r="D1407" s="467" t="str">
        <f>+'Precios Equipos'!C43</f>
        <v>ITM 2x160A, Caja Moldeada 160A, 50kA en 220V, A2N 250, ABB, DC</v>
      </c>
      <c r="F1407" s="495"/>
      <c r="G1407" s="561">
        <f>VLOOKUP(D1407,'Precios Equipos'!$C$25:$F$208,3,0)</f>
        <v>92</v>
      </c>
      <c r="H1407" s="561">
        <f t="shared" si="141"/>
        <v>276</v>
      </c>
      <c r="I1407" s="1082"/>
      <c r="J1407" s="1122"/>
      <c r="K1407" s="539"/>
      <c r="O1407" s="468"/>
      <c r="Q1407" s="465">
        <f>+C1407*$C$1400</f>
        <v>12</v>
      </c>
      <c r="R1407" s="489"/>
    </row>
    <row r="1408" spans="1:18" x14ac:dyDescent="0.25">
      <c r="B1408" s="596"/>
      <c r="C1408" s="526">
        <v>3</v>
      </c>
      <c r="D1408" s="467" t="str">
        <f>+'Precios Equipos'!C64</f>
        <v>Seccionador Portafusible XLP1-1P-2BC, 250A, 1SEP600116R0002, ABB</v>
      </c>
      <c r="F1408" s="495"/>
      <c r="G1408" s="561">
        <f>VLOOKUP(D1408,'Precios Equipos'!$C$25:$F$208,3,0)</f>
        <v>148</v>
      </c>
      <c r="H1408" s="561">
        <f t="shared" si="141"/>
        <v>444</v>
      </c>
      <c r="I1408" s="1082"/>
      <c r="J1408" s="1122"/>
      <c r="K1408" s="539"/>
      <c r="O1408" s="468"/>
      <c r="Q1408" s="465">
        <f>+C1408*$C$1400</f>
        <v>12</v>
      </c>
      <c r="R1408" s="489"/>
    </row>
    <row r="1409" spans="1:18" x14ac:dyDescent="0.25">
      <c r="B1409" s="596"/>
      <c r="C1409" s="526">
        <v>3</v>
      </c>
      <c r="D1409" s="467" t="str">
        <f>+'Precios Equipos'!$C$65</f>
        <v>Fusible tipo NH1 250A</v>
      </c>
      <c r="F1409" s="495"/>
      <c r="G1409" s="561">
        <f>VLOOKUP(D1409,'Precios Equipos'!$C$11:$F$208,3,0)</f>
        <v>145</v>
      </c>
      <c r="H1409" s="561">
        <f t="shared" si="141"/>
        <v>435</v>
      </c>
      <c r="I1409" s="1083"/>
      <c r="J1409" s="1123"/>
      <c r="K1409" s="539"/>
      <c r="O1409" s="468"/>
      <c r="Q1409" s="465">
        <f>+C1409*$C$1400</f>
        <v>12</v>
      </c>
      <c r="R1409" s="489"/>
    </row>
    <row r="1410" spans="1:18" x14ac:dyDescent="0.25">
      <c r="B1410" s="596"/>
      <c r="C1410" s="526"/>
      <c r="F1410" s="495"/>
      <c r="G1410" s="561"/>
      <c r="H1410" s="561"/>
      <c r="I1410" s="477"/>
      <c r="J1410" s="974"/>
      <c r="K1410" s="539"/>
      <c r="O1410" s="468"/>
      <c r="R1410" s="489"/>
    </row>
    <row r="1411" spans="1:18" x14ac:dyDescent="0.25">
      <c r="B1411" s="596"/>
      <c r="C1411" s="526"/>
      <c r="D1411" s="620" t="s">
        <v>87</v>
      </c>
      <c r="F1411" s="495"/>
      <c r="G1411" s="561"/>
      <c r="H1411" s="561"/>
      <c r="I1411" s="477"/>
      <c r="J1411" s="974"/>
      <c r="K1411" s="539"/>
      <c r="O1411" s="468"/>
      <c r="R1411" s="489"/>
    </row>
    <row r="1412" spans="1:18" x14ac:dyDescent="0.25">
      <c r="B1412" s="596"/>
      <c r="C1412" s="526">
        <v>1</v>
      </c>
      <c r="D1412" s="494" t="s">
        <v>49</v>
      </c>
      <c r="F1412" s="495"/>
      <c r="G1412" s="561"/>
      <c r="H1412" s="561">
        <f>+M1406</f>
        <v>67</v>
      </c>
      <c r="I1412" s="561">
        <f>+H1412</f>
        <v>67</v>
      </c>
      <c r="J1412" s="975">
        <f>+I1412/H1415</f>
        <v>3.9644970414201182E-2</v>
      </c>
      <c r="K1412" s="539"/>
      <c r="O1412" s="468"/>
      <c r="R1412" s="489"/>
    </row>
    <row r="1413" spans="1:18" x14ac:dyDescent="0.25">
      <c r="B1413" s="596"/>
      <c r="C1413" s="526">
        <v>1</v>
      </c>
      <c r="D1413" s="494" t="s">
        <v>51</v>
      </c>
      <c r="F1413" s="495"/>
      <c r="G1413" s="561"/>
      <c r="H1413" s="561"/>
      <c r="I1413" s="1081">
        <f>SUM(H1413:H1414)</f>
        <v>0</v>
      </c>
      <c r="J1413" s="1116"/>
      <c r="K1413" s="539"/>
      <c r="O1413" s="468"/>
      <c r="R1413" s="489"/>
    </row>
    <row r="1414" spans="1:18" x14ac:dyDescent="0.25">
      <c r="B1414" s="596"/>
      <c r="C1414" s="526">
        <v>1</v>
      </c>
      <c r="D1414" s="467" t="s">
        <v>20</v>
      </c>
      <c r="F1414" s="495"/>
      <c r="G1414" s="561"/>
      <c r="H1414" s="561"/>
      <c r="I1414" s="1083"/>
      <c r="J1414" s="1117"/>
      <c r="K1414" s="539"/>
      <c r="O1414" s="468"/>
      <c r="R1414" s="489"/>
    </row>
    <row r="1415" spans="1:18" x14ac:dyDescent="0.25">
      <c r="B1415" s="596"/>
      <c r="C1415" s="526">
        <v>1</v>
      </c>
      <c r="D1415" s="467" t="s">
        <v>52</v>
      </c>
      <c r="F1415" s="495"/>
      <c r="G1415" s="553" t="s">
        <v>97</v>
      </c>
      <c r="H1415" s="561">
        <f>SUM(H1402:H1414)</f>
        <v>1690</v>
      </c>
      <c r="I1415" s="477"/>
      <c r="J1415" s="974"/>
      <c r="K1415" s="539"/>
      <c r="O1415" s="468"/>
      <c r="R1415" s="489"/>
    </row>
    <row r="1416" spans="1:18" x14ac:dyDescent="0.25">
      <c r="B1416" s="596"/>
      <c r="C1416" s="526">
        <v>1</v>
      </c>
      <c r="D1416" s="467" t="s">
        <v>21</v>
      </c>
      <c r="F1416" s="495"/>
      <c r="G1416" s="553" t="s">
        <v>105</v>
      </c>
      <c r="H1416" s="561">
        <f>H1415*$M$153</f>
        <v>338</v>
      </c>
      <c r="I1416" s="477"/>
      <c r="J1416" s="974"/>
      <c r="K1416" s="539"/>
      <c r="O1416" s="468"/>
      <c r="R1416" s="489"/>
    </row>
    <row r="1417" spans="1:18" x14ac:dyDescent="0.25">
      <c r="B1417" s="562"/>
      <c r="C1417" s="527" t="s">
        <v>17</v>
      </c>
      <c r="D1417" s="522" t="s">
        <v>48</v>
      </c>
      <c r="E1417" s="523"/>
      <c r="F1417" s="524"/>
      <c r="G1417" s="553" t="s">
        <v>452</v>
      </c>
      <c r="H1417" s="561">
        <f>SUM(H1415:H1416)</f>
        <v>2028</v>
      </c>
      <c r="I1417" s="477"/>
      <c r="J1417" s="974"/>
      <c r="K1417" s="539"/>
      <c r="O1417" s="468"/>
      <c r="R1417" s="489"/>
    </row>
    <row r="1418" spans="1:18" x14ac:dyDescent="0.25">
      <c r="G1418" s="477"/>
      <c r="H1418" s="477"/>
      <c r="I1418" s="477"/>
      <c r="J1418" s="974"/>
      <c r="K1418" s="539"/>
      <c r="O1418" s="468"/>
      <c r="R1418" s="489"/>
    </row>
    <row r="1419" spans="1:18" s="467" customFormat="1" x14ac:dyDescent="0.2">
      <c r="A1419" s="463"/>
      <c r="B1419" s="555" t="s">
        <v>6</v>
      </c>
      <c r="C1419" s="515" t="s">
        <v>0</v>
      </c>
      <c r="D1419" s="556" t="s">
        <v>8</v>
      </c>
      <c r="E1419" s="525" t="s">
        <v>4</v>
      </c>
      <c r="F1419" s="556" t="s">
        <v>3</v>
      </c>
      <c r="G1419" s="477"/>
      <c r="H1419" s="477"/>
      <c r="I1419" s="477"/>
      <c r="J1419" s="974"/>
      <c r="K1419" s="539"/>
      <c r="Q1419" s="465"/>
    </row>
    <row r="1420" spans="1:18" ht="16.5" thickBot="1" x14ac:dyDescent="0.3">
      <c r="A1420" s="463">
        <v>153</v>
      </c>
      <c r="B1420" s="1077">
        <f>+B83</f>
        <v>4.1599999999999966</v>
      </c>
      <c r="C1420" s="1077">
        <f>+C83</f>
        <v>5</v>
      </c>
      <c r="D1420" s="1077" t="str">
        <f>+D83</f>
        <v>TABLERO BUSBAR - TIPO 13</v>
      </c>
      <c r="E1420" s="517">
        <f>+H1437</f>
        <v>1812</v>
      </c>
      <c r="F1420" s="518">
        <f>+E1420*C1420</f>
        <v>9060</v>
      </c>
      <c r="G1420" s="553" t="s">
        <v>450</v>
      </c>
      <c r="H1420" s="553" t="s">
        <v>1</v>
      </c>
      <c r="I1420" s="477"/>
      <c r="J1420" s="974"/>
      <c r="K1420" s="539"/>
      <c r="O1420" s="468"/>
    </row>
    <row r="1421" spans="1:18" ht="16.5" thickBot="1" x14ac:dyDescent="0.3">
      <c r="B1421" s="1078"/>
      <c r="C1421" s="1078"/>
      <c r="D1421" s="1078"/>
      <c r="E1421" s="519" t="s">
        <v>50</v>
      </c>
      <c r="F1421" s="520" t="s">
        <v>50</v>
      </c>
      <c r="G1421" s="553" t="s">
        <v>50</v>
      </c>
      <c r="H1421" s="553" t="s">
        <v>50</v>
      </c>
      <c r="I1421" s="477"/>
      <c r="J1421" s="974"/>
      <c r="K1421" s="539"/>
      <c r="L1421" s="540" t="s">
        <v>451</v>
      </c>
      <c r="M1421" s="541"/>
      <c r="O1421" s="468"/>
    </row>
    <row r="1422" spans="1:18" ht="16.5" thickBot="1" x14ac:dyDescent="0.3">
      <c r="B1422" s="596"/>
      <c r="C1422" s="526"/>
      <c r="F1422" s="495"/>
      <c r="G1422" s="561"/>
      <c r="H1422" s="561"/>
      <c r="I1422" s="477"/>
      <c r="J1422" s="974"/>
      <c r="K1422" s="539"/>
      <c r="L1422" s="542" t="s">
        <v>88</v>
      </c>
      <c r="M1422" s="543" t="s">
        <v>85</v>
      </c>
      <c r="O1422" s="468"/>
      <c r="R1422" s="489"/>
    </row>
    <row r="1423" spans="1:18" x14ac:dyDescent="0.25">
      <c r="B1423" s="596"/>
      <c r="C1423" s="526">
        <v>1</v>
      </c>
      <c r="D1423" s="539" t="str">
        <f>+'Precios Equipos'!$C$192</f>
        <v>Gabinete Autosoportado 2000x800x450mm. (Alto x ancho x profundidad)</v>
      </c>
      <c r="F1423" s="495"/>
      <c r="G1423" s="561">
        <f>VLOOKUP(D1423,'Precios Equipos'!$C$11:$F$208,3,0)</f>
        <v>0</v>
      </c>
      <c r="H1423" s="561">
        <f t="shared" ref="H1423" si="142">G1423*C1423</f>
        <v>0</v>
      </c>
      <c r="I1423" s="561">
        <f>+H1423</f>
        <v>0</v>
      </c>
      <c r="J1423" s="975">
        <f>+I1423/H1435</f>
        <v>0</v>
      </c>
      <c r="K1423" s="539"/>
      <c r="L1423" s="544" t="str">
        <f>+'Precios Equipos'!C121</f>
        <v>COBRE BUS BAR TIPO 12 y 12.1</v>
      </c>
      <c r="M1423" s="545">
        <f>IFERROR(VLOOKUP(L1423,'Precios Equipos'!$C$11:$F$208,3,0),0)</f>
        <v>4</v>
      </c>
      <c r="O1423" s="468"/>
      <c r="Q1423" s="465">
        <f>+C1423*$C$1420</f>
        <v>5</v>
      </c>
      <c r="R1423" s="489"/>
    </row>
    <row r="1424" spans="1:18" x14ac:dyDescent="0.25">
      <c r="B1424" s="596"/>
      <c r="C1424" s="526"/>
      <c r="F1424" s="495"/>
      <c r="G1424" s="561"/>
      <c r="H1424" s="561"/>
      <c r="I1424" s="477"/>
      <c r="J1424" s="974"/>
      <c r="K1424" s="539"/>
      <c r="L1424" s="544" t="str">
        <f>+'Precios Equipos'!C158</f>
        <v>M. Obra Electricidad BUS BAR TIPO 13 y TIPO 14 (C01;G02), (C01;G04), (C02;G02), (C02;G04), (C03;G02), (C03;G04)</v>
      </c>
      <c r="M1424" s="545">
        <f>IFERROR(VLOOKUP(L1424,'Precios Equipos'!$C$11:$F$208,3,0),0)</f>
        <v>0</v>
      </c>
      <c r="O1424" s="468"/>
      <c r="R1424" s="489"/>
    </row>
    <row r="1425" spans="1:18" ht="16.5" thickBot="1" x14ac:dyDescent="0.3">
      <c r="B1425" s="596"/>
      <c r="C1425" s="526"/>
      <c r="D1425" s="709" t="s">
        <v>568</v>
      </c>
      <c r="F1425" s="495"/>
      <c r="G1425" s="561"/>
      <c r="H1425" s="561"/>
      <c r="I1425" s="477"/>
      <c r="J1425" s="974"/>
      <c r="K1425" s="539"/>
      <c r="L1425" s="544" t="str">
        <f>+'Precios Equipos'!$C$205</f>
        <v>Diseño Ingenieria Tableros Autosoportados</v>
      </c>
      <c r="M1425" s="545">
        <f>IFERROR(VLOOKUP(L1425,'Precios Equipos'!$C$11:$F$208,3,0),0)</f>
        <v>63</v>
      </c>
      <c r="O1425" s="468"/>
      <c r="R1425" s="489"/>
    </row>
    <row r="1426" spans="1:18" ht="16.5" thickBot="1" x14ac:dyDescent="0.3">
      <c r="B1426" s="596"/>
      <c r="C1426" s="526">
        <v>6</v>
      </c>
      <c r="D1426" s="467" t="str">
        <f>+'Precios Equipos'!C44</f>
        <v>ITM 2x175A, Caja Moldeada 175A, 36kA en 220V, A2N, ABB, DC</v>
      </c>
      <c r="F1426" s="495"/>
      <c r="G1426" s="561">
        <f>VLOOKUP(D1426,'Precios Equipos'!$C$25:$F$208,3,0)</f>
        <v>48</v>
      </c>
      <c r="H1426" s="561">
        <f t="shared" ref="H1426:H1429" si="143">G1426*C1426</f>
        <v>288</v>
      </c>
      <c r="I1426" s="1081">
        <f>SUM(H1426:H1429)</f>
        <v>1443</v>
      </c>
      <c r="J1426" s="1121">
        <f>+I1426/H1435</f>
        <v>0.95562913907284763</v>
      </c>
      <c r="K1426" s="539"/>
      <c r="L1426" s="546" t="s">
        <v>89</v>
      </c>
      <c r="M1426" s="560">
        <f>SUM(M1423:M1425)</f>
        <v>67</v>
      </c>
      <c r="O1426" s="468"/>
      <c r="Q1426" s="465">
        <f>+C1426*$C$1420</f>
        <v>30</v>
      </c>
      <c r="R1426" s="489"/>
    </row>
    <row r="1427" spans="1:18" x14ac:dyDescent="0.25">
      <c r="B1427" s="596"/>
      <c r="C1427" s="526">
        <v>3</v>
      </c>
      <c r="D1427" s="467" t="str">
        <f>+'Precios Equipos'!C43</f>
        <v>ITM 2x160A, Caja Moldeada 160A, 50kA en 220V, A2N 250, ABB, DC</v>
      </c>
      <c r="F1427" s="495"/>
      <c r="G1427" s="561">
        <f>VLOOKUP(D1427,'Precios Equipos'!$C$25:$F$208,3,0)</f>
        <v>92</v>
      </c>
      <c r="H1427" s="561">
        <f t="shared" si="143"/>
        <v>276</v>
      </c>
      <c r="I1427" s="1082"/>
      <c r="J1427" s="1122"/>
      <c r="K1427" s="539"/>
      <c r="O1427" s="468"/>
      <c r="Q1427" s="465">
        <f>+C1427*$C$1420</f>
        <v>15</v>
      </c>
      <c r="R1427" s="489"/>
    </row>
    <row r="1428" spans="1:18" x14ac:dyDescent="0.25">
      <c r="B1428" s="596"/>
      <c r="C1428" s="526">
        <v>3</v>
      </c>
      <c r="D1428" s="467" t="str">
        <f>+'Precios Equipos'!C64</f>
        <v>Seccionador Portafusible XLP1-1P-2BC, 250A, 1SEP600116R0002, ABB</v>
      </c>
      <c r="F1428" s="495"/>
      <c r="G1428" s="561">
        <f>VLOOKUP(D1428,'Precios Equipos'!$C$25:$F$208,3,0)</f>
        <v>148</v>
      </c>
      <c r="H1428" s="561">
        <f t="shared" si="143"/>
        <v>444</v>
      </c>
      <c r="I1428" s="1082"/>
      <c r="J1428" s="1122"/>
      <c r="K1428" s="539"/>
      <c r="O1428" s="468"/>
      <c r="Q1428" s="465">
        <f>+C1428*$C$1420</f>
        <v>15</v>
      </c>
      <c r="R1428" s="489"/>
    </row>
    <row r="1429" spans="1:18" x14ac:dyDescent="0.25">
      <c r="B1429" s="596"/>
      <c r="C1429" s="526">
        <v>3</v>
      </c>
      <c r="D1429" s="467" t="str">
        <f>+'Precios Equipos'!$C$65</f>
        <v>Fusible tipo NH1 250A</v>
      </c>
      <c r="F1429" s="495"/>
      <c r="G1429" s="561">
        <f>VLOOKUP(D1429,'Precios Equipos'!$C$11:$F$208,3,0)</f>
        <v>145</v>
      </c>
      <c r="H1429" s="561">
        <f t="shared" si="143"/>
        <v>435</v>
      </c>
      <c r="I1429" s="1083"/>
      <c r="J1429" s="1123"/>
      <c r="K1429" s="539"/>
      <c r="O1429" s="468"/>
      <c r="Q1429" s="465">
        <f>+C1429*$C$1420</f>
        <v>15</v>
      </c>
      <c r="R1429" s="489"/>
    </row>
    <row r="1430" spans="1:18" x14ac:dyDescent="0.25">
      <c r="B1430" s="596"/>
      <c r="C1430" s="526"/>
      <c r="F1430" s="495"/>
      <c r="G1430" s="561"/>
      <c r="H1430" s="561"/>
      <c r="I1430" s="477"/>
      <c r="J1430" s="974"/>
      <c r="K1430" s="539"/>
      <c r="O1430" s="468"/>
      <c r="R1430" s="489"/>
    </row>
    <row r="1431" spans="1:18" x14ac:dyDescent="0.25">
      <c r="B1431" s="596"/>
      <c r="C1431" s="526"/>
      <c r="D1431" s="620" t="s">
        <v>87</v>
      </c>
      <c r="F1431" s="495"/>
      <c r="G1431" s="561"/>
      <c r="H1431" s="561"/>
      <c r="I1431" s="477"/>
      <c r="J1431" s="974"/>
      <c r="K1431" s="539"/>
      <c r="O1431" s="468"/>
      <c r="R1431" s="489"/>
    </row>
    <row r="1432" spans="1:18" x14ac:dyDescent="0.25">
      <c r="B1432" s="596"/>
      <c r="C1432" s="526">
        <v>1</v>
      </c>
      <c r="D1432" s="494" t="s">
        <v>49</v>
      </c>
      <c r="F1432" s="495"/>
      <c r="G1432" s="561"/>
      <c r="H1432" s="561">
        <f>+M1426</f>
        <v>67</v>
      </c>
      <c r="I1432" s="561">
        <f>+H1432</f>
        <v>67</v>
      </c>
      <c r="J1432" s="975">
        <f>+I1432/H1435</f>
        <v>4.4370860927152318E-2</v>
      </c>
      <c r="K1432" s="539"/>
      <c r="O1432" s="468"/>
      <c r="R1432" s="489"/>
    </row>
    <row r="1433" spans="1:18" x14ac:dyDescent="0.25">
      <c r="B1433" s="596"/>
      <c r="C1433" s="526">
        <v>1</v>
      </c>
      <c r="D1433" s="494" t="s">
        <v>51</v>
      </c>
      <c r="F1433" s="495"/>
      <c r="G1433" s="561"/>
      <c r="H1433" s="561"/>
      <c r="I1433" s="1081">
        <f>SUM(H1433:H1434)</f>
        <v>0</v>
      </c>
      <c r="J1433" s="1116">
        <f>+I1433/H1435</f>
        <v>0</v>
      </c>
      <c r="K1433" s="539"/>
      <c r="O1433" s="468"/>
      <c r="R1433" s="489"/>
    </row>
    <row r="1434" spans="1:18" x14ac:dyDescent="0.25">
      <c r="B1434" s="596"/>
      <c r="C1434" s="526">
        <v>1</v>
      </c>
      <c r="D1434" s="467" t="s">
        <v>20</v>
      </c>
      <c r="F1434" s="495"/>
      <c r="G1434" s="561"/>
      <c r="H1434" s="561"/>
      <c r="I1434" s="1083"/>
      <c r="J1434" s="1117"/>
      <c r="K1434" s="539"/>
      <c r="O1434" s="468"/>
      <c r="R1434" s="489"/>
    </row>
    <row r="1435" spans="1:18" x14ac:dyDescent="0.25">
      <c r="B1435" s="596"/>
      <c r="C1435" s="526">
        <v>1</v>
      </c>
      <c r="D1435" s="467" t="s">
        <v>52</v>
      </c>
      <c r="F1435" s="495"/>
      <c r="G1435" s="553" t="s">
        <v>97</v>
      </c>
      <c r="H1435" s="561">
        <f>SUM(H1422:H1434)</f>
        <v>1510</v>
      </c>
      <c r="I1435" s="477"/>
      <c r="J1435" s="974"/>
      <c r="K1435" s="539"/>
      <c r="O1435" s="468"/>
      <c r="R1435" s="489"/>
    </row>
    <row r="1436" spans="1:18" x14ac:dyDescent="0.25">
      <c r="B1436" s="596"/>
      <c r="C1436" s="526">
        <v>1</v>
      </c>
      <c r="D1436" s="467" t="s">
        <v>21</v>
      </c>
      <c r="F1436" s="495"/>
      <c r="G1436" s="553" t="s">
        <v>105</v>
      </c>
      <c r="H1436" s="561">
        <f>H1435*$M$153</f>
        <v>302</v>
      </c>
      <c r="I1436" s="477"/>
      <c r="J1436" s="974"/>
      <c r="K1436" s="539"/>
      <c r="O1436" s="468"/>
      <c r="R1436" s="489"/>
    </row>
    <row r="1437" spans="1:18" x14ac:dyDescent="0.25">
      <c r="B1437" s="562"/>
      <c r="C1437" s="527" t="s">
        <v>17</v>
      </c>
      <c r="D1437" s="522" t="s">
        <v>48</v>
      </c>
      <c r="E1437" s="523"/>
      <c r="F1437" s="524"/>
      <c r="G1437" s="553" t="s">
        <v>452</v>
      </c>
      <c r="H1437" s="561">
        <f>SUM(H1435:H1436)</f>
        <v>1812</v>
      </c>
      <c r="I1437" s="477"/>
      <c r="J1437" s="974"/>
      <c r="K1437" s="539"/>
      <c r="O1437" s="468"/>
      <c r="R1437" s="489"/>
    </row>
    <row r="1438" spans="1:18" x14ac:dyDescent="0.25">
      <c r="G1438" s="477"/>
      <c r="H1438" s="477"/>
      <c r="I1438" s="477"/>
      <c r="J1438" s="974"/>
      <c r="K1438" s="539"/>
      <c r="O1438" s="468"/>
      <c r="R1438" s="489"/>
    </row>
    <row r="1439" spans="1:18" s="467" customFormat="1" x14ac:dyDescent="0.2">
      <c r="A1439" s="463"/>
      <c r="B1439" s="555" t="s">
        <v>6</v>
      </c>
      <c r="C1439" s="515" t="s">
        <v>0</v>
      </c>
      <c r="D1439" s="556" t="s">
        <v>8</v>
      </c>
      <c r="E1439" s="525" t="s">
        <v>4</v>
      </c>
      <c r="F1439" s="556" t="s">
        <v>3</v>
      </c>
      <c r="G1439" s="477"/>
      <c r="H1439" s="477"/>
      <c r="I1439" s="477"/>
      <c r="J1439" s="974"/>
      <c r="K1439" s="539"/>
      <c r="Q1439" s="465"/>
    </row>
    <row r="1440" spans="1:18" ht="16.5" thickBot="1" x14ac:dyDescent="0.3">
      <c r="A1440" s="463">
        <v>153</v>
      </c>
      <c r="B1440" s="1077">
        <f>+B84</f>
        <v>4.1699999999999964</v>
      </c>
      <c r="C1440" s="1077">
        <f>+C84</f>
        <v>1</v>
      </c>
      <c r="D1440" s="1077" t="str">
        <f>+D84</f>
        <v>TABLERO BUSBAR - TIPO 14</v>
      </c>
      <c r="E1440" s="517">
        <f>+H1457</f>
        <v>2286</v>
      </c>
      <c r="F1440" s="518">
        <f>+E1440*C1440</f>
        <v>2286</v>
      </c>
      <c r="G1440" s="553" t="s">
        <v>450</v>
      </c>
      <c r="H1440" s="553" t="s">
        <v>1</v>
      </c>
      <c r="I1440" s="477"/>
      <c r="J1440" s="974"/>
      <c r="K1440" s="539"/>
      <c r="O1440" s="468"/>
    </row>
    <row r="1441" spans="2:18" ht="16.5" thickBot="1" x14ac:dyDescent="0.3">
      <c r="B1441" s="1078"/>
      <c r="C1441" s="1078"/>
      <c r="D1441" s="1078"/>
      <c r="E1441" s="519" t="s">
        <v>50</v>
      </c>
      <c r="F1441" s="520" t="s">
        <v>50</v>
      </c>
      <c r="G1441" s="553" t="s">
        <v>50</v>
      </c>
      <c r="H1441" s="553" t="s">
        <v>50</v>
      </c>
      <c r="I1441" s="477"/>
      <c r="J1441" s="974"/>
      <c r="K1441" s="539"/>
      <c r="L1441" s="540" t="s">
        <v>451</v>
      </c>
      <c r="M1441" s="541"/>
      <c r="O1441" s="468"/>
    </row>
    <row r="1442" spans="2:18" ht="16.5" thickBot="1" x14ac:dyDescent="0.3">
      <c r="B1442" s="596"/>
      <c r="C1442" s="526"/>
      <c r="F1442" s="495"/>
      <c r="G1442" s="561"/>
      <c r="H1442" s="561"/>
      <c r="I1442" s="477"/>
      <c r="J1442" s="974"/>
      <c r="K1442" s="539"/>
      <c r="L1442" s="542" t="s">
        <v>88</v>
      </c>
      <c r="M1442" s="543" t="s">
        <v>85</v>
      </c>
      <c r="O1442" s="468"/>
      <c r="R1442" s="489"/>
    </row>
    <row r="1443" spans="2:18" x14ac:dyDescent="0.25">
      <c r="B1443" s="596"/>
      <c r="C1443" s="526">
        <v>1</v>
      </c>
      <c r="D1443" s="539" t="str">
        <f>+'Precios Equipos'!$C$192</f>
        <v>Gabinete Autosoportado 2000x800x450mm. (Alto x ancho x profundidad)</v>
      </c>
      <c r="F1443" s="495"/>
      <c r="G1443" s="561">
        <f>VLOOKUP(D1443,'Precios Equipos'!$C$11:$F$208,3,0)</f>
        <v>0</v>
      </c>
      <c r="H1443" s="561">
        <f t="shared" ref="H1443" si="144">G1443*C1443</f>
        <v>0</v>
      </c>
      <c r="I1443" s="561">
        <f>+H1443</f>
        <v>0</v>
      </c>
      <c r="J1443" s="975">
        <f>+I1443/H1455</f>
        <v>0</v>
      </c>
      <c r="K1443" s="539"/>
      <c r="L1443" s="544" t="str">
        <f>+'Precios Equipos'!C122</f>
        <v>COBRE BUS BAR TIPO 14 (C01;G01), (C02;G01), (C01;G03), (C02;G03), (C03;G01), (C03;G03)</v>
      </c>
      <c r="M1443" s="545">
        <f>IFERROR(VLOOKUP(L1443,'Precios Equipos'!$C$11:$F$208,3,0),0)</f>
        <v>14</v>
      </c>
      <c r="O1443" s="468"/>
      <c r="Q1443" s="465">
        <f>+C1443*$C$1440</f>
        <v>1</v>
      </c>
      <c r="R1443" s="489"/>
    </row>
    <row r="1444" spans="2:18" x14ac:dyDescent="0.25">
      <c r="B1444" s="596"/>
      <c r="C1444" s="526"/>
      <c r="F1444" s="495"/>
      <c r="G1444" s="561"/>
      <c r="H1444" s="561"/>
      <c r="I1444" s="477"/>
      <c r="J1444" s="974"/>
      <c r="K1444" s="539"/>
      <c r="L1444" s="544" t="str">
        <f>+'Precios Equipos'!C157</f>
        <v>M. Obra Electricidad BUS BAR TIPO 14 (C01;G01), (C02;G01), (C01;G03), (C02;G03), (C03;G01), (C03;G03)</v>
      </c>
      <c r="M1444" s="545">
        <f>IFERROR(VLOOKUP(L1444,'Precios Equipos'!$C$11:$F$208,3,0),0)</f>
        <v>0</v>
      </c>
      <c r="O1444" s="468"/>
      <c r="R1444" s="489"/>
    </row>
    <row r="1445" spans="2:18" ht="16.5" thickBot="1" x14ac:dyDescent="0.3">
      <c r="B1445" s="596"/>
      <c r="C1445" s="526"/>
      <c r="D1445" s="620" t="s">
        <v>568</v>
      </c>
      <c r="F1445" s="495"/>
      <c r="G1445" s="561"/>
      <c r="H1445" s="561"/>
      <c r="I1445" s="477"/>
      <c r="J1445" s="974"/>
      <c r="K1445" s="539"/>
      <c r="L1445" s="544" t="str">
        <f>+'Precios Equipos'!$C$205</f>
        <v>Diseño Ingenieria Tableros Autosoportados</v>
      </c>
      <c r="M1445" s="545">
        <f>IFERROR(VLOOKUP(L1445,'Precios Equipos'!$C$11:$F$208,3,0),0)</f>
        <v>63</v>
      </c>
      <c r="O1445" s="468"/>
      <c r="R1445" s="489"/>
    </row>
    <row r="1446" spans="2:18" ht="16.5" thickBot="1" x14ac:dyDescent="0.3">
      <c r="B1446" s="596"/>
      <c r="C1446" s="526">
        <v>6</v>
      </c>
      <c r="D1446" s="467" t="str">
        <f>+'Precios Equipos'!C44</f>
        <v>ITM 2x175A, Caja Moldeada 175A, 36kA en 220V, A2N, ABB, DC</v>
      </c>
      <c r="F1446" s="495"/>
      <c r="G1446" s="561">
        <f>VLOOKUP(D1446,'Precios Equipos'!$C$25:$F$208,3,0)</f>
        <v>48</v>
      </c>
      <c r="H1446" s="561">
        <f t="shared" ref="H1446:H1449" si="145">G1446*C1446</f>
        <v>288</v>
      </c>
      <c r="I1446" s="1081">
        <f>SUM(H1446:H1449)</f>
        <v>1828</v>
      </c>
      <c r="J1446" s="1121">
        <f>+I1446/H1455</f>
        <v>0.95958005249343836</v>
      </c>
      <c r="K1446" s="539"/>
      <c r="L1446" s="546" t="s">
        <v>89</v>
      </c>
      <c r="M1446" s="560">
        <f>SUM(M1443:M1445)</f>
        <v>77</v>
      </c>
      <c r="O1446" s="468"/>
      <c r="Q1446" s="465">
        <f>+C1446*$C$1440</f>
        <v>6</v>
      </c>
      <c r="R1446" s="489"/>
    </row>
    <row r="1447" spans="2:18" x14ac:dyDescent="0.25">
      <c r="B1447" s="596"/>
      <c r="C1447" s="526">
        <v>4</v>
      </c>
      <c r="D1447" s="467" t="str">
        <f>+'Precios Equipos'!C43</f>
        <v>ITM 2x160A, Caja Moldeada 160A, 50kA en 220V, A2N 250, ABB, DC</v>
      </c>
      <c r="F1447" s="495"/>
      <c r="G1447" s="561">
        <f>VLOOKUP(D1447,'Precios Equipos'!$C$25:$F$208,3,0)</f>
        <v>92</v>
      </c>
      <c r="H1447" s="561">
        <f t="shared" si="145"/>
        <v>368</v>
      </c>
      <c r="I1447" s="1082"/>
      <c r="J1447" s="1122"/>
      <c r="K1447" s="539"/>
      <c r="O1447" s="468"/>
      <c r="Q1447" s="465">
        <f>+C1447*$C$1440</f>
        <v>4</v>
      </c>
      <c r="R1447" s="489"/>
    </row>
    <row r="1448" spans="2:18" x14ac:dyDescent="0.25">
      <c r="B1448" s="596"/>
      <c r="C1448" s="526">
        <v>4</v>
      </c>
      <c r="D1448" s="467" t="str">
        <f>+'Precios Equipos'!C64</f>
        <v>Seccionador Portafusible XLP1-1P-2BC, 250A, 1SEP600116R0002, ABB</v>
      </c>
      <c r="F1448" s="495"/>
      <c r="G1448" s="561">
        <f>VLOOKUP(D1448,'Precios Equipos'!$C$25:$F$208,3,0)</f>
        <v>148</v>
      </c>
      <c r="H1448" s="561">
        <f t="shared" si="145"/>
        <v>592</v>
      </c>
      <c r="I1448" s="1082"/>
      <c r="J1448" s="1122"/>
      <c r="K1448" s="539"/>
      <c r="O1448" s="468"/>
      <c r="Q1448" s="465">
        <f t="shared" ref="Q1448:Q1449" si="146">+C1448*$C$1440</f>
        <v>4</v>
      </c>
      <c r="R1448" s="489"/>
    </row>
    <row r="1449" spans="2:18" x14ac:dyDescent="0.25">
      <c r="B1449" s="596"/>
      <c r="C1449" s="526">
        <v>4</v>
      </c>
      <c r="D1449" s="467" t="str">
        <f>+'Precios Equipos'!$C$65</f>
        <v>Fusible tipo NH1 250A</v>
      </c>
      <c r="F1449" s="495"/>
      <c r="G1449" s="561">
        <f>VLOOKUP(D1449,'Precios Equipos'!$C$11:$F$208,3,0)</f>
        <v>145</v>
      </c>
      <c r="H1449" s="561">
        <f t="shared" si="145"/>
        <v>580</v>
      </c>
      <c r="I1449" s="1083"/>
      <c r="J1449" s="1123"/>
      <c r="K1449" s="539"/>
      <c r="O1449" s="468"/>
      <c r="Q1449" s="465">
        <f t="shared" si="146"/>
        <v>4</v>
      </c>
      <c r="R1449" s="489"/>
    </row>
    <row r="1450" spans="2:18" x14ac:dyDescent="0.25">
      <c r="B1450" s="596"/>
      <c r="C1450" s="526"/>
      <c r="F1450" s="495"/>
      <c r="G1450" s="561"/>
      <c r="H1450" s="561"/>
      <c r="I1450" s="477"/>
      <c r="J1450" s="974"/>
      <c r="K1450" s="539"/>
      <c r="O1450" s="468"/>
      <c r="R1450" s="489"/>
    </row>
    <row r="1451" spans="2:18" x14ac:dyDescent="0.25">
      <c r="B1451" s="596"/>
      <c r="C1451" s="526"/>
      <c r="D1451" s="620" t="s">
        <v>87</v>
      </c>
      <c r="F1451" s="495"/>
      <c r="G1451" s="561"/>
      <c r="H1451" s="561"/>
      <c r="I1451" s="477"/>
      <c r="J1451" s="974"/>
      <c r="K1451" s="539"/>
      <c r="O1451" s="468"/>
      <c r="R1451" s="489"/>
    </row>
    <row r="1452" spans="2:18" x14ac:dyDescent="0.25">
      <c r="B1452" s="596"/>
      <c r="C1452" s="526">
        <v>1</v>
      </c>
      <c r="D1452" s="494" t="s">
        <v>49</v>
      </c>
      <c r="F1452" s="495"/>
      <c r="G1452" s="561"/>
      <c r="H1452" s="561">
        <f>+M1446</f>
        <v>77</v>
      </c>
      <c r="I1452" s="561">
        <f>+H1452</f>
        <v>77</v>
      </c>
      <c r="J1452" s="975">
        <f>+I1452/H1455</f>
        <v>4.0419947506561679E-2</v>
      </c>
      <c r="K1452" s="539"/>
      <c r="O1452" s="468"/>
      <c r="R1452" s="489"/>
    </row>
    <row r="1453" spans="2:18" x14ac:dyDescent="0.25">
      <c r="B1453" s="596"/>
      <c r="C1453" s="526">
        <v>1</v>
      </c>
      <c r="D1453" s="494" t="s">
        <v>51</v>
      </c>
      <c r="F1453" s="495"/>
      <c r="G1453" s="561"/>
      <c r="H1453" s="561"/>
      <c r="I1453" s="1081">
        <f>SUM(H1453:H1454)</f>
        <v>0</v>
      </c>
      <c r="J1453" s="1116">
        <f>+I1453/H1455</f>
        <v>0</v>
      </c>
      <c r="K1453" s="539"/>
      <c r="O1453" s="468"/>
      <c r="R1453" s="489"/>
    </row>
    <row r="1454" spans="2:18" x14ac:dyDescent="0.25">
      <c r="B1454" s="596"/>
      <c r="C1454" s="526">
        <v>1</v>
      </c>
      <c r="D1454" s="467" t="s">
        <v>20</v>
      </c>
      <c r="F1454" s="495"/>
      <c r="G1454" s="561"/>
      <c r="H1454" s="561"/>
      <c r="I1454" s="1083"/>
      <c r="J1454" s="1117"/>
      <c r="K1454" s="539"/>
      <c r="O1454" s="468"/>
      <c r="R1454" s="489"/>
    </row>
    <row r="1455" spans="2:18" x14ac:dyDescent="0.25">
      <c r="B1455" s="596"/>
      <c r="C1455" s="526">
        <v>1</v>
      </c>
      <c r="D1455" s="467" t="s">
        <v>52</v>
      </c>
      <c r="F1455" s="495"/>
      <c r="G1455" s="553" t="s">
        <v>97</v>
      </c>
      <c r="H1455" s="561">
        <f>SUM(H1442:H1454)</f>
        <v>1905</v>
      </c>
      <c r="I1455" s="477"/>
      <c r="J1455" s="974"/>
      <c r="K1455" s="539"/>
      <c r="O1455" s="468"/>
      <c r="R1455" s="489"/>
    </row>
    <row r="1456" spans="2:18" x14ac:dyDescent="0.25">
      <c r="B1456" s="596"/>
      <c r="C1456" s="526">
        <v>1</v>
      </c>
      <c r="D1456" s="467" t="s">
        <v>21</v>
      </c>
      <c r="F1456" s="495"/>
      <c r="G1456" s="553" t="s">
        <v>105</v>
      </c>
      <c r="H1456" s="561">
        <f>H1455*$M$153</f>
        <v>381</v>
      </c>
      <c r="I1456" s="477"/>
      <c r="J1456" s="974"/>
      <c r="K1456" s="539"/>
      <c r="O1456" s="468"/>
      <c r="R1456" s="489"/>
    </row>
    <row r="1457" spans="1:18" x14ac:dyDescent="0.25">
      <c r="B1457" s="562"/>
      <c r="C1457" s="527" t="s">
        <v>17</v>
      </c>
      <c r="D1457" s="522" t="s">
        <v>48</v>
      </c>
      <c r="E1457" s="523"/>
      <c r="F1457" s="524"/>
      <c r="G1457" s="553" t="s">
        <v>452</v>
      </c>
      <c r="H1457" s="561">
        <f>SUM(H1455:H1456)</f>
        <v>2286</v>
      </c>
      <c r="I1457" s="477"/>
      <c r="J1457" s="974"/>
      <c r="K1457" s="539"/>
      <c r="O1457" s="468"/>
      <c r="R1457" s="489"/>
    </row>
    <row r="1458" spans="1:18" x14ac:dyDescent="0.25">
      <c r="G1458" s="477"/>
      <c r="H1458" s="477"/>
      <c r="I1458" s="477"/>
      <c r="J1458" s="974"/>
      <c r="K1458" s="539"/>
      <c r="O1458" s="468"/>
      <c r="R1458" s="489"/>
    </row>
    <row r="1459" spans="1:18" s="467" customFormat="1" x14ac:dyDescent="0.2">
      <c r="A1459" s="463"/>
      <c r="B1459" s="555" t="s">
        <v>6</v>
      </c>
      <c r="C1459" s="515" t="s">
        <v>0</v>
      </c>
      <c r="D1459" s="556" t="s">
        <v>8</v>
      </c>
      <c r="E1459" s="525" t="s">
        <v>4</v>
      </c>
      <c r="F1459" s="556" t="s">
        <v>3</v>
      </c>
      <c r="G1459" s="477"/>
      <c r="H1459" s="477"/>
      <c r="I1459" s="477"/>
      <c r="J1459" s="974"/>
      <c r="K1459" s="539"/>
      <c r="Q1459" s="465"/>
    </row>
    <row r="1460" spans="1:18" ht="16.5" thickBot="1" x14ac:dyDescent="0.3">
      <c r="A1460" s="463">
        <v>153</v>
      </c>
      <c r="B1460" s="1077">
        <f>+B85</f>
        <v>4.1799999999999962</v>
      </c>
      <c r="C1460" s="1077">
        <f>+C85</f>
        <v>2</v>
      </c>
      <c r="D1460" s="1077" t="str">
        <f>+D85</f>
        <v>TABLERO BUSBAR - TIPO 14.1</v>
      </c>
      <c r="E1460" s="518">
        <f>+H1477</f>
        <v>2286</v>
      </c>
      <c r="F1460" s="518">
        <f>+E1460*C1460</f>
        <v>4572</v>
      </c>
      <c r="G1460" s="553" t="s">
        <v>450</v>
      </c>
      <c r="H1460" s="553" t="s">
        <v>1</v>
      </c>
      <c r="I1460" s="477"/>
      <c r="J1460" s="974"/>
      <c r="K1460" s="539"/>
      <c r="O1460" s="468"/>
    </row>
    <row r="1461" spans="1:18" ht="16.5" thickBot="1" x14ac:dyDescent="0.3">
      <c r="B1461" s="1078"/>
      <c r="C1461" s="1078"/>
      <c r="D1461" s="1078"/>
      <c r="E1461" s="520" t="s">
        <v>50</v>
      </c>
      <c r="F1461" s="520" t="s">
        <v>50</v>
      </c>
      <c r="G1461" s="553" t="s">
        <v>50</v>
      </c>
      <c r="H1461" s="553" t="s">
        <v>50</v>
      </c>
      <c r="I1461" s="477"/>
      <c r="J1461" s="974"/>
      <c r="K1461" s="539"/>
      <c r="L1461" s="540" t="s">
        <v>451</v>
      </c>
      <c r="M1461" s="541"/>
      <c r="O1461" s="468"/>
    </row>
    <row r="1462" spans="1:18" ht="16.5" thickBot="1" x14ac:dyDescent="0.3">
      <c r="B1462" s="596"/>
      <c r="C1462" s="526"/>
      <c r="F1462" s="495"/>
      <c r="G1462" s="561"/>
      <c r="H1462" s="561"/>
      <c r="I1462" s="477"/>
      <c r="J1462" s="974"/>
      <c r="K1462" s="539"/>
      <c r="L1462" s="542" t="s">
        <v>88</v>
      </c>
      <c r="M1462" s="543" t="s">
        <v>85</v>
      </c>
      <c r="O1462" s="468"/>
      <c r="R1462" s="489"/>
    </row>
    <row r="1463" spans="1:18" x14ac:dyDescent="0.25">
      <c r="B1463" s="596"/>
      <c r="C1463" s="526">
        <v>1</v>
      </c>
      <c r="D1463" s="539" t="str">
        <f>+'Precios Equipos'!$C$192</f>
        <v>Gabinete Autosoportado 2000x800x450mm. (Alto x ancho x profundidad)</v>
      </c>
      <c r="F1463" s="495"/>
      <c r="G1463" s="561">
        <f>VLOOKUP(D1463,'Precios Equipos'!$C$11:$F$208,3,0)</f>
        <v>0</v>
      </c>
      <c r="H1463" s="561">
        <f t="shared" ref="H1463" si="147">G1463*C1463</f>
        <v>0</v>
      </c>
      <c r="I1463" s="561">
        <f>+H1463</f>
        <v>0</v>
      </c>
      <c r="J1463" s="975">
        <f>+I1463/H1475</f>
        <v>0</v>
      </c>
      <c r="K1463" s="539"/>
      <c r="L1463" s="544" t="str">
        <f>+'Precios Equipos'!C122</f>
        <v>COBRE BUS BAR TIPO 14 (C01;G01), (C02;G01), (C01;G03), (C02;G03), (C03;G01), (C03;G03)</v>
      </c>
      <c r="M1463" s="545">
        <f>IFERROR(VLOOKUP(L1463,'Precios Equipos'!$C$11:$F$208,3,0),0)</f>
        <v>14</v>
      </c>
      <c r="O1463" s="468"/>
      <c r="Q1463" s="465">
        <f>+C1463*$C$1460</f>
        <v>2</v>
      </c>
      <c r="R1463" s="489"/>
    </row>
    <row r="1464" spans="1:18" x14ac:dyDescent="0.25">
      <c r="B1464" s="596"/>
      <c r="C1464" s="526"/>
      <c r="F1464" s="495"/>
      <c r="G1464" s="561"/>
      <c r="H1464" s="561"/>
      <c r="I1464" s="477"/>
      <c r="J1464" s="974"/>
      <c r="K1464" s="539"/>
      <c r="L1464" s="544" t="str">
        <f>+'Precios Equipos'!C157</f>
        <v>M. Obra Electricidad BUS BAR TIPO 14 (C01;G01), (C02;G01), (C01;G03), (C02;G03), (C03;G01), (C03;G03)</v>
      </c>
      <c r="M1464" s="545">
        <f>IFERROR(VLOOKUP(L1464,'Precios Equipos'!$C$11:$F$208,3,0),0)</f>
        <v>0</v>
      </c>
      <c r="O1464" s="468"/>
      <c r="R1464" s="489"/>
    </row>
    <row r="1465" spans="1:18" ht="16.5" thickBot="1" x14ac:dyDescent="0.3">
      <c r="B1465" s="596"/>
      <c r="C1465" s="526"/>
      <c r="D1465" s="620" t="s">
        <v>568</v>
      </c>
      <c r="F1465" s="495"/>
      <c r="G1465" s="561"/>
      <c r="H1465" s="561"/>
      <c r="I1465" s="477"/>
      <c r="J1465" s="974"/>
      <c r="K1465" s="539"/>
      <c r="L1465" s="544" t="str">
        <f>+'Precios Equipos'!$C$205</f>
        <v>Diseño Ingenieria Tableros Autosoportados</v>
      </c>
      <c r="M1465" s="545">
        <f>IFERROR(VLOOKUP(L1465,'Precios Equipos'!$C$11:$F$208,3,0),0)</f>
        <v>63</v>
      </c>
      <c r="O1465" s="468"/>
      <c r="R1465" s="489"/>
    </row>
    <row r="1466" spans="1:18" ht="16.5" thickBot="1" x14ac:dyDescent="0.3">
      <c r="B1466" s="596"/>
      <c r="C1466" s="526">
        <v>6</v>
      </c>
      <c r="D1466" s="467" t="str">
        <f>+'Precios Equipos'!C44</f>
        <v>ITM 2x175A, Caja Moldeada 175A, 36kA en 220V, A2N, ABB, DC</v>
      </c>
      <c r="F1466" s="495"/>
      <c r="G1466" s="561">
        <f>VLOOKUP(D1466,'Precios Equipos'!$C$25:$F$208,3,0)</f>
        <v>48</v>
      </c>
      <c r="H1466" s="561">
        <f t="shared" ref="H1466:H1469" si="148">G1466*C1466</f>
        <v>288</v>
      </c>
      <c r="I1466" s="1081">
        <f>SUM(H1466:H1469)</f>
        <v>1828</v>
      </c>
      <c r="J1466" s="1121">
        <f>+I1466/H1475</f>
        <v>0.95958005249343836</v>
      </c>
      <c r="K1466" s="539"/>
      <c r="L1466" s="546" t="s">
        <v>89</v>
      </c>
      <c r="M1466" s="560">
        <f>SUM(M1463:M1465)</f>
        <v>77</v>
      </c>
      <c r="O1466" s="468"/>
      <c r="Q1466" s="465">
        <f>+C1466*$C$1460</f>
        <v>12</v>
      </c>
      <c r="R1466" s="489"/>
    </row>
    <row r="1467" spans="1:18" x14ac:dyDescent="0.25">
      <c r="B1467" s="596"/>
      <c r="C1467" s="526">
        <v>4</v>
      </c>
      <c r="D1467" s="467" t="str">
        <f>+'Precios Equipos'!C43</f>
        <v>ITM 2x160A, Caja Moldeada 160A, 50kA en 220V, A2N 250, ABB, DC</v>
      </c>
      <c r="F1467" s="495"/>
      <c r="G1467" s="561">
        <f>VLOOKUP(D1467,'Precios Equipos'!$C$25:$F$208,3,0)</f>
        <v>92</v>
      </c>
      <c r="H1467" s="561">
        <f t="shared" si="148"/>
        <v>368</v>
      </c>
      <c r="I1467" s="1082"/>
      <c r="J1467" s="1122"/>
      <c r="K1467" s="539"/>
      <c r="O1467" s="468"/>
      <c r="Q1467" s="465">
        <f t="shared" ref="Q1467:Q1469" si="149">+C1467*$C$1460</f>
        <v>8</v>
      </c>
      <c r="R1467" s="489"/>
    </row>
    <row r="1468" spans="1:18" x14ac:dyDescent="0.25">
      <c r="B1468" s="596"/>
      <c r="C1468" s="526">
        <v>4</v>
      </c>
      <c r="D1468" s="467" t="str">
        <f>+'Precios Equipos'!C64</f>
        <v>Seccionador Portafusible XLP1-1P-2BC, 250A, 1SEP600116R0002, ABB</v>
      </c>
      <c r="F1468" s="495"/>
      <c r="G1468" s="561">
        <f>VLOOKUP(D1468,'Precios Equipos'!$C$25:$F$208,3,0)</f>
        <v>148</v>
      </c>
      <c r="H1468" s="561">
        <f t="shared" si="148"/>
        <v>592</v>
      </c>
      <c r="I1468" s="1082"/>
      <c r="J1468" s="1122"/>
      <c r="K1468" s="539"/>
      <c r="O1468" s="468"/>
      <c r="Q1468" s="465">
        <f t="shared" si="149"/>
        <v>8</v>
      </c>
      <c r="R1468" s="489"/>
    </row>
    <row r="1469" spans="1:18" x14ac:dyDescent="0.25">
      <c r="B1469" s="596"/>
      <c r="C1469" s="526">
        <v>4</v>
      </c>
      <c r="D1469" s="467" t="str">
        <f>+'Precios Equipos'!$C$65</f>
        <v>Fusible tipo NH1 250A</v>
      </c>
      <c r="F1469" s="495"/>
      <c r="G1469" s="561">
        <f>VLOOKUP(D1469,'Precios Equipos'!$C$11:$F$208,3,0)</f>
        <v>145</v>
      </c>
      <c r="H1469" s="561">
        <f t="shared" si="148"/>
        <v>580</v>
      </c>
      <c r="I1469" s="1083"/>
      <c r="J1469" s="1123"/>
      <c r="K1469" s="539"/>
      <c r="O1469" s="468"/>
      <c r="Q1469" s="465">
        <f t="shared" si="149"/>
        <v>8</v>
      </c>
      <c r="R1469" s="489"/>
    </row>
    <row r="1470" spans="1:18" x14ac:dyDescent="0.25">
      <c r="B1470" s="596"/>
      <c r="C1470" s="526"/>
      <c r="F1470" s="495"/>
      <c r="G1470" s="561"/>
      <c r="H1470" s="561"/>
      <c r="I1470" s="477"/>
      <c r="J1470" s="974"/>
      <c r="K1470" s="539"/>
      <c r="O1470" s="468"/>
      <c r="R1470" s="489"/>
    </row>
    <row r="1471" spans="1:18" x14ac:dyDescent="0.25">
      <c r="B1471" s="596"/>
      <c r="C1471" s="526"/>
      <c r="D1471" s="620" t="s">
        <v>87</v>
      </c>
      <c r="F1471" s="495"/>
      <c r="G1471" s="561"/>
      <c r="H1471" s="561"/>
      <c r="I1471" s="477"/>
      <c r="J1471" s="974"/>
      <c r="K1471" s="539"/>
      <c r="O1471" s="468"/>
      <c r="R1471" s="489"/>
    </row>
    <row r="1472" spans="1:18" x14ac:dyDescent="0.25">
      <c r="B1472" s="596"/>
      <c r="C1472" s="526">
        <v>1</v>
      </c>
      <c r="D1472" s="494" t="s">
        <v>49</v>
      </c>
      <c r="F1472" s="495"/>
      <c r="G1472" s="561"/>
      <c r="H1472" s="561">
        <f>+M1466</f>
        <v>77</v>
      </c>
      <c r="I1472" s="561">
        <f>+H1472</f>
        <v>77</v>
      </c>
      <c r="J1472" s="975">
        <f>+I1472/H1475</f>
        <v>4.0419947506561679E-2</v>
      </c>
      <c r="K1472" s="539"/>
      <c r="O1472" s="468"/>
      <c r="R1472" s="489"/>
    </row>
    <row r="1473" spans="1:18" x14ac:dyDescent="0.25">
      <c r="B1473" s="596"/>
      <c r="C1473" s="526">
        <v>1</v>
      </c>
      <c r="D1473" s="494" t="s">
        <v>51</v>
      </c>
      <c r="F1473" s="495"/>
      <c r="G1473" s="561"/>
      <c r="H1473" s="561"/>
      <c r="I1473" s="1081">
        <f>SUM(H1473:H1474)</f>
        <v>0</v>
      </c>
      <c r="J1473" s="1116">
        <f>+I1473/H1475</f>
        <v>0</v>
      </c>
      <c r="K1473" s="539"/>
      <c r="O1473" s="468"/>
      <c r="R1473" s="489"/>
    </row>
    <row r="1474" spans="1:18" x14ac:dyDescent="0.25">
      <c r="B1474" s="596"/>
      <c r="C1474" s="526">
        <v>1</v>
      </c>
      <c r="D1474" s="467" t="s">
        <v>20</v>
      </c>
      <c r="F1474" s="495"/>
      <c r="G1474" s="561"/>
      <c r="H1474" s="561"/>
      <c r="I1474" s="1083"/>
      <c r="J1474" s="1117"/>
      <c r="K1474" s="539"/>
      <c r="O1474" s="468"/>
      <c r="R1474" s="489"/>
    </row>
    <row r="1475" spans="1:18" x14ac:dyDescent="0.25">
      <c r="B1475" s="596"/>
      <c r="C1475" s="526">
        <v>1</v>
      </c>
      <c r="D1475" s="467" t="s">
        <v>52</v>
      </c>
      <c r="F1475" s="495"/>
      <c r="G1475" s="553" t="s">
        <v>97</v>
      </c>
      <c r="H1475" s="561">
        <f>SUM(H1462:H1474)</f>
        <v>1905</v>
      </c>
      <c r="I1475" s="477"/>
      <c r="J1475" s="974"/>
      <c r="K1475" s="539"/>
      <c r="O1475" s="468"/>
      <c r="R1475" s="489"/>
    </row>
    <row r="1476" spans="1:18" x14ac:dyDescent="0.25">
      <c r="B1476" s="596"/>
      <c r="C1476" s="526">
        <v>1</v>
      </c>
      <c r="D1476" s="467" t="s">
        <v>21</v>
      </c>
      <c r="F1476" s="495"/>
      <c r="G1476" s="553" t="s">
        <v>105</v>
      </c>
      <c r="H1476" s="561">
        <f>H1475*$M$153</f>
        <v>381</v>
      </c>
      <c r="I1476" s="477"/>
      <c r="J1476" s="974"/>
      <c r="K1476" s="539"/>
      <c r="O1476" s="468"/>
      <c r="R1476" s="489"/>
    </row>
    <row r="1477" spans="1:18" x14ac:dyDescent="0.25">
      <c r="B1477" s="562"/>
      <c r="C1477" s="527" t="s">
        <v>17</v>
      </c>
      <c r="D1477" s="522" t="s">
        <v>48</v>
      </c>
      <c r="E1477" s="523"/>
      <c r="F1477" s="524"/>
      <c r="G1477" s="553" t="s">
        <v>452</v>
      </c>
      <c r="H1477" s="561">
        <f>SUM(H1475:H1476)</f>
        <v>2286</v>
      </c>
      <c r="I1477" s="477"/>
      <c r="J1477" s="974"/>
      <c r="K1477" s="539"/>
      <c r="O1477" s="468"/>
      <c r="R1477" s="489"/>
    </row>
    <row r="1478" spans="1:18" x14ac:dyDescent="0.25">
      <c r="G1478" s="477"/>
      <c r="H1478" s="477"/>
      <c r="I1478" s="477"/>
      <c r="J1478" s="974"/>
      <c r="K1478" s="539"/>
      <c r="O1478" s="468"/>
      <c r="R1478" s="489"/>
    </row>
    <row r="1479" spans="1:18" s="467" customFormat="1" x14ac:dyDescent="0.2">
      <c r="A1479" s="463"/>
      <c r="B1479" s="555" t="s">
        <v>6</v>
      </c>
      <c r="C1479" s="515" t="s">
        <v>0</v>
      </c>
      <c r="D1479" s="556" t="s">
        <v>8</v>
      </c>
      <c r="E1479" s="525" t="s">
        <v>4</v>
      </c>
      <c r="F1479" s="556" t="s">
        <v>3</v>
      </c>
      <c r="G1479" s="477"/>
      <c r="H1479" s="477"/>
      <c r="I1479" s="477"/>
      <c r="J1479" s="974"/>
      <c r="K1479" s="539"/>
      <c r="Q1479" s="465"/>
    </row>
    <row r="1480" spans="1:18" ht="16.5" thickBot="1" x14ac:dyDescent="0.3">
      <c r="A1480" s="463">
        <v>153</v>
      </c>
      <c r="B1480" s="1077">
        <f>+B86</f>
        <v>4.1899999999999959</v>
      </c>
      <c r="C1480" s="1077">
        <f>+C86</f>
        <v>1</v>
      </c>
      <c r="D1480" s="1077" t="str">
        <f>+D86</f>
        <v>TABLERO BUSBAR - TIPO 15</v>
      </c>
      <c r="E1480" s="517">
        <f>+H1497</f>
        <v>2098.8000000000002</v>
      </c>
      <c r="F1480" s="518">
        <f>+E1480*C1480</f>
        <v>2098.8000000000002</v>
      </c>
      <c r="G1480" s="553" t="s">
        <v>450</v>
      </c>
      <c r="H1480" s="553" t="s">
        <v>1</v>
      </c>
      <c r="I1480" s="477"/>
      <c r="J1480" s="974"/>
      <c r="K1480" s="539"/>
      <c r="O1480" s="468"/>
    </row>
    <row r="1481" spans="1:18" ht="16.5" thickBot="1" x14ac:dyDescent="0.3">
      <c r="B1481" s="1078"/>
      <c r="C1481" s="1078"/>
      <c r="D1481" s="1078"/>
      <c r="E1481" s="519" t="s">
        <v>50</v>
      </c>
      <c r="F1481" s="520" t="s">
        <v>50</v>
      </c>
      <c r="G1481" s="553" t="s">
        <v>50</v>
      </c>
      <c r="H1481" s="553" t="s">
        <v>50</v>
      </c>
      <c r="I1481" s="477"/>
      <c r="J1481" s="974"/>
      <c r="K1481" s="539"/>
      <c r="L1481" s="540" t="s">
        <v>451</v>
      </c>
      <c r="M1481" s="541"/>
      <c r="O1481" s="468"/>
    </row>
    <row r="1482" spans="1:18" ht="16.5" thickBot="1" x14ac:dyDescent="0.3">
      <c r="B1482" s="596"/>
      <c r="C1482" s="526"/>
      <c r="F1482" s="495"/>
      <c r="G1482" s="561"/>
      <c r="H1482" s="561"/>
      <c r="I1482" s="477"/>
      <c r="J1482" s="974"/>
      <c r="K1482" s="539"/>
      <c r="L1482" s="542" t="s">
        <v>88</v>
      </c>
      <c r="M1482" s="543" t="s">
        <v>85</v>
      </c>
      <c r="O1482" s="468"/>
      <c r="R1482" s="489"/>
    </row>
    <row r="1483" spans="1:18" x14ac:dyDescent="0.25">
      <c r="B1483" s="596"/>
      <c r="C1483" s="526">
        <v>1</v>
      </c>
      <c r="D1483" s="539" t="str">
        <f>+'Precios Equipos'!$C$192</f>
        <v>Gabinete Autosoportado 2000x800x450mm. (Alto x ancho x profundidad)</v>
      </c>
      <c r="F1483" s="495"/>
      <c r="G1483" s="561">
        <f>VLOOKUP(D1483,'Precios Equipos'!$C$11:$F$208,3,0)</f>
        <v>0</v>
      </c>
      <c r="H1483" s="561">
        <f t="shared" ref="H1483" si="150">G1483*C1483</f>
        <v>0</v>
      </c>
      <c r="I1483" s="561">
        <f>+H1483</f>
        <v>0</v>
      </c>
      <c r="J1483" s="975">
        <f>+I1483/H1495</f>
        <v>0</v>
      </c>
      <c r="K1483" s="539"/>
      <c r="L1483" s="544" t="str">
        <f>+'Precios Equipos'!C123</f>
        <v>COBRE BUS BAR TIPO 13 y TIPO 14 (C01;G02), (C01;G04), (C02;G02), (C02;G04), (C03;G02), (C03;G04)</v>
      </c>
      <c r="M1483" s="545">
        <f>IFERROR(VLOOKUP(L1483,'Precios Equipos'!$C$11:$F$208,3,0),0)</f>
        <v>1</v>
      </c>
      <c r="O1483" s="468"/>
      <c r="Q1483" s="465">
        <f>+C1483*$C$1480</f>
        <v>1</v>
      </c>
      <c r="R1483" s="489"/>
    </row>
    <row r="1484" spans="1:18" x14ac:dyDescent="0.25">
      <c r="B1484" s="596"/>
      <c r="C1484" s="526"/>
      <c r="F1484" s="495"/>
      <c r="G1484" s="561"/>
      <c r="H1484" s="561"/>
      <c r="I1484" s="477"/>
      <c r="J1484" s="974"/>
      <c r="K1484" s="539"/>
      <c r="L1484" s="1046" t="str">
        <f>+'Precios Equipos'!C158</f>
        <v>M. Obra Electricidad BUS BAR TIPO 13 y TIPO 14 (C01;G02), (C01;G04), (C02;G02), (C02;G04), (C03;G02), (C03;G04)</v>
      </c>
      <c r="M1484" s="545">
        <f>IFERROR(VLOOKUP(L1484,'Precios Equipos'!$C$11:$F$208,3,0),0)</f>
        <v>0</v>
      </c>
      <c r="O1484" s="468"/>
      <c r="R1484" s="489"/>
    </row>
    <row r="1485" spans="1:18" ht="16.5" thickBot="1" x14ac:dyDescent="0.3">
      <c r="B1485" s="596"/>
      <c r="C1485" s="526"/>
      <c r="D1485" s="620" t="s">
        <v>568</v>
      </c>
      <c r="F1485" s="495"/>
      <c r="G1485" s="561"/>
      <c r="H1485" s="561"/>
      <c r="I1485" s="477"/>
      <c r="J1485" s="974"/>
      <c r="K1485" s="539"/>
      <c r="L1485" s="544" t="str">
        <f>+'Precios Equipos'!$C$205</f>
        <v>Diseño Ingenieria Tableros Autosoportados</v>
      </c>
      <c r="M1485" s="545">
        <f>IFERROR(VLOOKUP(L1485,'Precios Equipos'!$C$11:$F$208,3,0),0)</f>
        <v>63</v>
      </c>
      <c r="O1485" s="468"/>
      <c r="R1485" s="489"/>
    </row>
    <row r="1486" spans="1:18" ht="16.5" thickBot="1" x14ac:dyDescent="0.3">
      <c r="B1486" s="596"/>
      <c r="C1486" s="526">
        <v>6</v>
      </c>
      <c r="D1486" s="467" t="str">
        <f>+'Precios Equipos'!C45</f>
        <v>ITM 2x225A, Caja Moldeada 225A, 36kA en 220V, A2N, ABB, DC</v>
      </c>
      <c r="F1486" s="495"/>
      <c r="G1486" s="561">
        <f>VLOOKUP(D1486,'Precios Equipos'!$C$25:$F$208,3,0)</f>
        <v>6</v>
      </c>
      <c r="H1486" s="561">
        <f t="shared" ref="H1486:H1489" si="151">G1486*C1486</f>
        <v>36</v>
      </c>
      <c r="I1486" s="1081">
        <f>SUM(H1486:H1489)</f>
        <v>1685</v>
      </c>
      <c r="J1486" s="1121">
        <f>+I1486/H1495</f>
        <v>0.9634076615208691</v>
      </c>
      <c r="K1486" s="539"/>
      <c r="L1486" s="546" t="s">
        <v>89</v>
      </c>
      <c r="M1486" s="560">
        <f>SUM(M1483:M1485)</f>
        <v>64</v>
      </c>
      <c r="O1486" s="468"/>
      <c r="Q1486" s="465">
        <f>+C1486*$C$1480</f>
        <v>6</v>
      </c>
      <c r="R1486" s="489"/>
    </row>
    <row r="1487" spans="1:18" x14ac:dyDescent="0.25">
      <c r="B1487" s="596"/>
      <c r="C1487" s="526">
        <v>2</v>
      </c>
      <c r="D1487" s="467" t="str">
        <f>+'Precios Equipos'!C43</f>
        <v>ITM 2x160A, Caja Moldeada 160A, 50kA en 220V, A2N 250, ABB, DC</v>
      </c>
      <c r="F1487" s="495"/>
      <c r="G1487" s="561">
        <f>VLOOKUP(D1487,'Precios Equipos'!$C$25:$F$208,3,0)</f>
        <v>92</v>
      </c>
      <c r="H1487" s="561">
        <f t="shared" si="151"/>
        <v>184</v>
      </c>
      <c r="I1487" s="1082"/>
      <c r="J1487" s="1122"/>
      <c r="K1487" s="539"/>
      <c r="O1487" s="468"/>
      <c r="Q1487" s="465">
        <f t="shared" ref="Q1487:Q1489" si="152">+C1487*$C$1480</f>
        <v>2</v>
      </c>
      <c r="R1487" s="489"/>
    </row>
    <row r="1488" spans="1:18" x14ac:dyDescent="0.25">
      <c r="B1488" s="596"/>
      <c r="C1488" s="526">
        <v>5</v>
      </c>
      <c r="D1488" s="467" t="str">
        <f>+'Precios Equipos'!C64</f>
        <v>Seccionador Portafusible XLP1-1P-2BC, 250A, 1SEP600116R0002, ABB</v>
      </c>
      <c r="F1488" s="495"/>
      <c r="G1488" s="561">
        <f>VLOOKUP(D1488,'Precios Equipos'!$C$25:$F$208,3,0)</f>
        <v>148</v>
      </c>
      <c r="H1488" s="561">
        <f t="shared" si="151"/>
        <v>740</v>
      </c>
      <c r="I1488" s="1082"/>
      <c r="J1488" s="1122"/>
      <c r="K1488" s="539"/>
      <c r="O1488" s="468"/>
      <c r="Q1488" s="465">
        <f t="shared" si="152"/>
        <v>5</v>
      </c>
      <c r="R1488" s="489"/>
    </row>
    <row r="1489" spans="1:18" x14ac:dyDescent="0.25">
      <c r="B1489" s="596"/>
      <c r="C1489" s="526">
        <v>5</v>
      </c>
      <c r="D1489" s="467" t="str">
        <f>+'Precios Equipos'!$C$65</f>
        <v>Fusible tipo NH1 250A</v>
      </c>
      <c r="F1489" s="495"/>
      <c r="G1489" s="561">
        <f>VLOOKUP(D1489,'Precios Equipos'!$C$11:$F$208,3,0)</f>
        <v>145</v>
      </c>
      <c r="H1489" s="561">
        <f t="shared" si="151"/>
        <v>725</v>
      </c>
      <c r="I1489" s="1083"/>
      <c r="J1489" s="1123"/>
      <c r="K1489" s="539"/>
      <c r="O1489" s="468"/>
      <c r="Q1489" s="465">
        <f t="shared" si="152"/>
        <v>5</v>
      </c>
      <c r="R1489" s="489"/>
    </row>
    <row r="1490" spans="1:18" x14ac:dyDescent="0.25">
      <c r="B1490" s="596"/>
      <c r="C1490" s="526"/>
      <c r="F1490" s="495"/>
      <c r="G1490" s="561"/>
      <c r="H1490" s="561"/>
      <c r="I1490" s="477"/>
      <c r="J1490" s="974"/>
      <c r="K1490" s="539"/>
      <c r="O1490" s="468"/>
      <c r="R1490" s="489"/>
    </row>
    <row r="1491" spans="1:18" x14ac:dyDescent="0.25">
      <c r="B1491" s="596"/>
      <c r="C1491" s="526"/>
      <c r="D1491" s="620" t="s">
        <v>87</v>
      </c>
      <c r="F1491" s="495"/>
      <c r="G1491" s="561"/>
      <c r="H1491" s="561"/>
      <c r="I1491" s="477"/>
      <c r="J1491" s="974"/>
      <c r="K1491" s="539"/>
      <c r="O1491" s="468"/>
      <c r="R1491" s="489"/>
    </row>
    <row r="1492" spans="1:18" x14ac:dyDescent="0.25">
      <c r="B1492" s="596"/>
      <c r="C1492" s="526">
        <v>1</v>
      </c>
      <c r="D1492" s="494" t="s">
        <v>49</v>
      </c>
      <c r="F1492" s="495"/>
      <c r="G1492" s="561"/>
      <c r="H1492" s="561">
        <f>+M1486</f>
        <v>64</v>
      </c>
      <c r="I1492" s="561">
        <f>+H1492</f>
        <v>64</v>
      </c>
      <c r="J1492" s="975">
        <f>+I1492/H1495</f>
        <v>3.6592338479130931E-2</v>
      </c>
      <c r="K1492" s="539"/>
      <c r="O1492" s="468"/>
      <c r="R1492" s="489"/>
    </row>
    <row r="1493" spans="1:18" x14ac:dyDescent="0.25">
      <c r="B1493" s="596"/>
      <c r="C1493" s="526">
        <v>1</v>
      </c>
      <c r="D1493" s="494" t="s">
        <v>51</v>
      </c>
      <c r="F1493" s="495"/>
      <c r="G1493" s="561"/>
      <c r="H1493" s="561"/>
      <c r="I1493" s="1081">
        <f>SUM(H1493:H1494)</f>
        <v>0</v>
      </c>
      <c r="J1493" s="1116">
        <f>+I1493/H1495</f>
        <v>0</v>
      </c>
      <c r="K1493" s="539"/>
      <c r="O1493" s="468"/>
      <c r="R1493" s="489"/>
    </row>
    <row r="1494" spans="1:18" x14ac:dyDescent="0.25">
      <c r="B1494" s="596"/>
      <c r="C1494" s="526">
        <v>1</v>
      </c>
      <c r="D1494" s="467" t="s">
        <v>20</v>
      </c>
      <c r="F1494" s="495"/>
      <c r="G1494" s="561"/>
      <c r="H1494" s="561"/>
      <c r="I1494" s="1083"/>
      <c r="J1494" s="1117"/>
      <c r="K1494" s="539"/>
      <c r="O1494" s="468"/>
      <c r="R1494" s="489"/>
    </row>
    <row r="1495" spans="1:18" x14ac:dyDescent="0.25">
      <c r="B1495" s="596"/>
      <c r="C1495" s="526">
        <v>1</v>
      </c>
      <c r="D1495" s="467" t="s">
        <v>52</v>
      </c>
      <c r="F1495" s="495"/>
      <c r="G1495" s="553" t="s">
        <v>97</v>
      </c>
      <c r="H1495" s="561">
        <f>SUM(H1482:H1494)</f>
        <v>1749</v>
      </c>
      <c r="I1495" s="477"/>
      <c r="J1495" s="974"/>
      <c r="K1495" s="539"/>
      <c r="O1495" s="468"/>
      <c r="R1495" s="489"/>
    </row>
    <row r="1496" spans="1:18" x14ac:dyDescent="0.25">
      <c r="B1496" s="596"/>
      <c r="C1496" s="526">
        <v>1</v>
      </c>
      <c r="D1496" s="467" t="s">
        <v>21</v>
      </c>
      <c r="F1496" s="495"/>
      <c r="G1496" s="553" t="s">
        <v>105</v>
      </c>
      <c r="H1496" s="561">
        <f>H1495*$M$153</f>
        <v>349.8</v>
      </c>
      <c r="I1496" s="477"/>
      <c r="J1496" s="974"/>
      <c r="K1496" s="539"/>
      <c r="O1496" s="468"/>
      <c r="R1496" s="489"/>
    </row>
    <row r="1497" spans="1:18" x14ac:dyDescent="0.25">
      <c r="B1497" s="562"/>
      <c r="C1497" s="527" t="s">
        <v>17</v>
      </c>
      <c r="D1497" s="522" t="s">
        <v>48</v>
      </c>
      <c r="E1497" s="523"/>
      <c r="F1497" s="524"/>
      <c r="G1497" s="553" t="s">
        <v>452</v>
      </c>
      <c r="H1497" s="561">
        <f>SUM(H1495:H1496)</f>
        <v>2098.8000000000002</v>
      </c>
      <c r="I1497" s="477"/>
      <c r="J1497" s="974"/>
      <c r="K1497" s="539"/>
      <c r="O1497" s="468"/>
      <c r="R1497" s="489"/>
    </row>
    <row r="1498" spans="1:18" x14ac:dyDescent="0.25">
      <c r="G1498" s="477"/>
      <c r="H1498" s="477"/>
      <c r="I1498" s="477"/>
      <c r="J1498" s="974"/>
      <c r="K1498" s="539"/>
      <c r="O1498" s="468"/>
      <c r="R1498" s="489"/>
    </row>
    <row r="1499" spans="1:18" s="467" customFormat="1" ht="16.5" thickBot="1" x14ac:dyDescent="0.25">
      <c r="A1499" s="463"/>
      <c r="B1499" s="555" t="s">
        <v>6</v>
      </c>
      <c r="C1499" s="515" t="s">
        <v>0</v>
      </c>
      <c r="D1499" s="556" t="s">
        <v>8</v>
      </c>
      <c r="E1499" s="525" t="s">
        <v>4</v>
      </c>
      <c r="F1499" s="556" t="s">
        <v>3</v>
      </c>
      <c r="G1499" s="477"/>
      <c r="H1499" s="477"/>
      <c r="I1499" s="477"/>
      <c r="J1499" s="974"/>
      <c r="K1499" s="539"/>
      <c r="Q1499" s="465"/>
    </row>
    <row r="1500" spans="1:18" ht="16.5" thickBot="1" x14ac:dyDescent="0.3">
      <c r="A1500" s="463">
        <v>153</v>
      </c>
      <c r="B1500" s="1077">
        <f>+B87</f>
        <v>4.1999999999999957</v>
      </c>
      <c r="C1500" s="1077">
        <f>+C87</f>
        <v>1</v>
      </c>
      <c r="D1500" s="1077" t="str">
        <f>+D87</f>
        <v>TABLERO BUSBAR - TIPO 14 (C1.1)</v>
      </c>
      <c r="E1500" s="517">
        <f>+H1516</f>
        <v>2037.6</v>
      </c>
      <c r="F1500" s="518">
        <f>+E1500*C1500</f>
        <v>2037.6</v>
      </c>
      <c r="G1500" s="553" t="s">
        <v>450</v>
      </c>
      <c r="H1500" s="553" t="s">
        <v>1</v>
      </c>
      <c r="I1500" s="477"/>
      <c r="J1500" s="974"/>
      <c r="K1500" s="539"/>
      <c r="L1500" s="540" t="s">
        <v>451</v>
      </c>
      <c r="M1500" s="541"/>
      <c r="O1500" s="468"/>
    </row>
    <row r="1501" spans="1:18" ht="16.5" thickBot="1" x14ac:dyDescent="0.3">
      <c r="B1501" s="1078"/>
      <c r="C1501" s="1078"/>
      <c r="D1501" s="1078"/>
      <c r="E1501" s="519" t="s">
        <v>50</v>
      </c>
      <c r="F1501" s="520" t="s">
        <v>50</v>
      </c>
      <c r="G1501" s="553" t="s">
        <v>50</v>
      </c>
      <c r="H1501" s="553" t="s">
        <v>50</v>
      </c>
      <c r="I1501" s="477"/>
      <c r="J1501" s="974"/>
      <c r="K1501" s="539"/>
      <c r="L1501" s="542" t="s">
        <v>88</v>
      </c>
      <c r="M1501" s="543" t="s">
        <v>85</v>
      </c>
      <c r="O1501" s="468"/>
    </row>
    <row r="1502" spans="1:18" x14ac:dyDescent="0.25">
      <c r="B1502" s="596"/>
      <c r="C1502" s="526"/>
      <c r="F1502" s="495"/>
      <c r="G1502" s="561"/>
      <c r="H1502" s="561"/>
      <c r="I1502" s="477"/>
      <c r="J1502" s="974"/>
      <c r="K1502" s="539"/>
      <c r="L1502" s="544" t="str">
        <f>+'Precios Equipos'!C122</f>
        <v>COBRE BUS BAR TIPO 14 (C01;G01), (C02;G01), (C01;G03), (C02;G03), (C03;G01), (C03;G03)</v>
      </c>
      <c r="M1502" s="545">
        <f>IFERROR(VLOOKUP(L1502,'Precios Equipos'!$C$11:$F$208,3,0),0)</f>
        <v>14</v>
      </c>
      <c r="O1502" s="468"/>
      <c r="R1502" s="489"/>
    </row>
    <row r="1503" spans="1:18" x14ac:dyDescent="0.25">
      <c r="B1503" s="596"/>
      <c r="C1503" s="526">
        <v>1</v>
      </c>
      <c r="D1503" s="539" t="str">
        <f>+'Precios Equipos'!C193</f>
        <v>Gabinete Autosoportado 2100x800x600mm. (Alto x ancho x profundidad)</v>
      </c>
      <c r="F1503" s="495"/>
      <c r="G1503" s="561">
        <f>VLOOKUP(D1503,'Precios Equipos'!$C$11:$F$208,3,0)</f>
        <v>17</v>
      </c>
      <c r="H1503" s="561">
        <f t="shared" ref="H1503" si="153">G1503*C1503</f>
        <v>17</v>
      </c>
      <c r="I1503" s="561">
        <f>+H1503</f>
        <v>17</v>
      </c>
      <c r="J1503" s="975">
        <f>+I1503/H1514</f>
        <v>1.0011778563015312E-2</v>
      </c>
      <c r="K1503" s="539"/>
      <c r="L1503" s="544" t="str">
        <f>+'Precios Equipos'!C157</f>
        <v>M. Obra Electricidad BUS BAR TIPO 14 (C01;G01), (C02;G01), (C01;G03), (C02;G03), (C03;G01), (C03;G03)</v>
      </c>
      <c r="M1503" s="545">
        <f>IFERROR(VLOOKUP(L1503,'Precios Equipos'!$C$11:$F$208,3,0),0)</f>
        <v>0</v>
      </c>
      <c r="O1503" s="468"/>
      <c r="Q1503" s="465">
        <f>+C1503*$C$1500</f>
        <v>1</v>
      </c>
      <c r="R1503" s="489"/>
    </row>
    <row r="1504" spans="1:18" ht="16.5" thickBot="1" x14ac:dyDescent="0.3">
      <c r="B1504" s="596"/>
      <c r="C1504" s="526"/>
      <c r="F1504" s="495"/>
      <c r="G1504" s="561"/>
      <c r="H1504" s="561"/>
      <c r="I1504" s="477"/>
      <c r="J1504" s="974"/>
      <c r="K1504" s="539"/>
      <c r="L1504" s="544" t="str">
        <f>+'Precios Equipos'!$C$205</f>
        <v>Diseño Ingenieria Tableros Autosoportados</v>
      </c>
      <c r="M1504" s="545">
        <f>IFERROR(VLOOKUP(L1504,'Precios Equipos'!$C$11:$F$208,3,0),0)</f>
        <v>63</v>
      </c>
      <c r="O1504" s="468"/>
      <c r="R1504" s="489"/>
    </row>
    <row r="1505" spans="1:18" ht="16.5" thickBot="1" x14ac:dyDescent="0.3">
      <c r="B1505" s="596"/>
      <c r="C1505" s="526"/>
      <c r="D1505" s="620" t="s">
        <v>568</v>
      </c>
      <c r="F1505" s="495"/>
      <c r="G1505" s="561"/>
      <c r="H1505" s="561"/>
      <c r="I1505" s="477"/>
      <c r="J1505" s="974"/>
      <c r="K1505" s="539"/>
      <c r="L1505" s="546" t="s">
        <v>89</v>
      </c>
      <c r="M1505" s="560">
        <f>SUM(M1502:M1504)</f>
        <v>77</v>
      </c>
      <c r="O1505" s="468"/>
      <c r="R1505" s="489"/>
    </row>
    <row r="1506" spans="1:18" x14ac:dyDescent="0.25">
      <c r="B1506" s="596"/>
      <c r="C1506" s="526">
        <v>6</v>
      </c>
      <c r="D1506" s="467" t="str">
        <f>+'Precios Equipos'!C46</f>
        <v>ITM 3x320A, Caja Moldeada (128-320)A, 70kA en 220V, XT5N, ABB, DC</v>
      </c>
      <c r="F1506" s="495"/>
      <c r="G1506" s="561">
        <f>VLOOKUP(D1506,'Precios Equipos'!$C$25:$F$208,3,0)</f>
        <v>72</v>
      </c>
      <c r="H1506" s="561">
        <f t="shared" ref="H1506:H1508" si="154">G1506*C1506</f>
        <v>432</v>
      </c>
      <c r="I1506" s="1081">
        <f>SUM(H1506:H1508)</f>
        <v>1604</v>
      </c>
      <c r="J1506" s="1121">
        <f>+I1506/H1514</f>
        <v>0.94464075382803303</v>
      </c>
      <c r="K1506" s="539"/>
      <c r="O1506" s="468"/>
      <c r="Q1506" s="465">
        <f>+C1506*$C$1500</f>
        <v>6</v>
      </c>
      <c r="R1506" s="489"/>
    </row>
    <row r="1507" spans="1:18" x14ac:dyDescent="0.25">
      <c r="B1507" s="596"/>
      <c r="C1507" s="526">
        <v>4</v>
      </c>
      <c r="D1507" s="467" t="str">
        <f>+'Precios Equipos'!C64</f>
        <v>Seccionador Portafusible XLP1-1P-2BC, 250A, 1SEP600116R0002, ABB</v>
      </c>
      <c r="F1507" s="495"/>
      <c r="G1507" s="561">
        <f>VLOOKUP(D1507,'Precios Equipos'!$C$25:$F$208,3,0)</f>
        <v>148</v>
      </c>
      <c r="H1507" s="561">
        <f t="shared" si="154"/>
        <v>592</v>
      </c>
      <c r="I1507" s="1082"/>
      <c r="J1507" s="1122"/>
      <c r="K1507" s="539"/>
      <c r="O1507" s="468"/>
      <c r="Q1507" s="465">
        <f>+C1507*$C$1500</f>
        <v>4</v>
      </c>
      <c r="R1507" s="489"/>
    </row>
    <row r="1508" spans="1:18" x14ac:dyDescent="0.25">
      <c r="B1508" s="596"/>
      <c r="C1508" s="526">
        <v>4</v>
      </c>
      <c r="D1508" s="467" t="str">
        <f>+'Precios Equipos'!$C$65</f>
        <v>Fusible tipo NH1 250A</v>
      </c>
      <c r="F1508" s="495"/>
      <c r="G1508" s="561">
        <f>VLOOKUP(D1508,'Precios Equipos'!$C$11:$F$208,3,0)</f>
        <v>145</v>
      </c>
      <c r="H1508" s="561">
        <f t="shared" si="154"/>
        <v>580</v>
      </c>
      <c r="I1508" s="1083"/>
      <c r="J1508" s="1123"/>
      <c r="K1508" s="539"/>
      <c r="O1508" s="468"/>
      <c r="Q1508" s="465">
        <f>+C1508*$C$1500</f>
        <v>4</v>
      </c>
      <c r="R1508" s="489"/>
    </row>
    <row r="1509" spans="1:18" x14ac:dyDescent="0.25">
      <c r="B1509" s="596"/>
      <c r="C1509" s="526"/>
      <c r="F1509" s="495"/>
      <c r="G1509" s="561"/>
      <c r="H1509" s="561"/>
      <c r="I1509" s="477"/>
      <c r="J1509" s="974"/>
      <c r="K1509" s="539"/>
      <c r="O1509" s="468"/>
      <c r="R1509" s="489"/>
    </row>
    <row r="1510" spans="1:18" x14ac:dyDescent="0.25">
      <c r="B1510" s="596"/>
      <c r="C1510" s="526"/>
      <c r="D1510" s="620" t="s">
        <v>87</v>
      </c>
      <c r="F1510" s="495"/>
      <c r="G1510" s="561"/>
      <c r="H1510" s="561"/>
      <c r="I1510" s="477"/>
      <c r="J1510" s="974"/>
      <c r="K1510" s="539"/>
      <c r="O1510" s="468"/>
      <c r="R1510" s="489"/>
    </row>
    <row r="1511" spans="1:18" x14ac:dyDescent="0.25">
      <c r="B1511" s="596"/>
      <c r="C1511" s="526">
        <v>1</v>
      </c>
      <c r="D1511" s="494" t="s">
        <v>49</v>
      </c>
      <c r="F1511" s="495"/>
      <c r="G1511" s="561"/>
      <c r="H1511" s="561">
        <f>+M1505</f>
        <v>77</v>
      </c>
      <c r="I1511" s="561">
        <f>+H1511</f>
        <v>77</v>
      </c>
      <c r="J1511" s="975">
        <f>+I1511/H1514</f>
        <v>4.5347467608951711E-2</v>
      </c>
      <c r="K1511" s="539"/>
      <c r="O1511" s="468"/>
      <c r="R1511" s="489"/>
    </row>
    <row r="1512" spans="1:18" x14ac:dyDescent="0.25">
      <c r="B1512" s="596"/>
      <c r="C1512" s="526">
        <v>1</v>
      </c>
      <c r="D1512" s="494" t="s">
        <v>51</v>
      </c>
      <c r="F1512" s="495"/>
      <c r="G1512" s="561"/>
      <c r="H1512" s="561"/>
      <c r="I1512" s="1081">
        <f>SUM(H1512:H1513)</f>
        <v>0</v>
      </c>
      <c r="J1512" s="1116">
        <f>+I1512/H1514</f>
        <v>0</v>
      </c>
      <c r="K1512" s="539"/>
      <c r="O1512" s="468"/>
      <c r="R1512" s="489"/>
    </row>
    <row r="1513" spans="1:18" x14ac:dyDescent="0.25">
      <c r="B1513" s="596"/>
      <c r="C1513" s="526">
        <v>1</v>
      </c>
      <c r="D1513" s="467" t="s">
        <v>20</v>
      </c>
      <c r="F1513" s="495"/>
      <c r="G1513" s="561"/>
      <c r="H1513" s="561"/>
      <c r="I1513" s="1083"/>
      <c r="J1513" s="1117"/>
      <c r="K1513" s="539"/>
      <c r="O1513" s="468"/>
      <c r="R1513" s="489"/>
    </row>
    <row r="1514" spans="1:18" x14ac:dyDescent="0.25">
      <c r="B1514" s="596"/>
      <c r="C1514" s="526">
        <v>1</v>
      </c>
      <c r="D1514" s="467" t="s">
        <v>52</v>
      </c>
      <c r="F1514" s="495"/>
      <c r="G1514" s="553" t="s">
        <v>97</v>
      </c>
      <c r="H1514" s="561">
        <f>SUM(H1502:H1513)</f>
        <v>1698</v>
      </c>
      <c r="I1514" s="477"/>
      <c r="J1514" s="974"/>
      <c r="K1514" s="539"/>
      <c r="O1514" s="468"/>
      <c r="R1514" s="489"/>
    </row>
    <row r="1515" spans="1:18" x14ac:dyDescent="0.25">
      <c r="B1515" s="596"/>
      <c r="C1515" s="526">
        <v>1</v>
      </c>
      <c r="D1515" s="467" t="s">
        <v>21</v>
      </c>
      <c r="F1515" s="495"/>
      <c r="G1515" s="553" t="s">
        <v>105</v>
      </c>
      <c r="H1515" s="561">
        <f>H1514*$M$153</f>
        <v>339.6</v>
      </c>
      <c r="I1515" s="477"/>
      <c r="J1515" s="974"/>
      <c r="K1515" s="539"/>
      <c r="O1515" s="468"/>
      <c r="R1515" s="489"/>
    </row>
    <row r="1516" spans="1:18" x14ac:dyDescent="0.25">
      <c r="B1516" s="562"/>
      <c r="C1516" s="527" t="s">
        <v>17</v>
      </c>
      <c r="D1516" s="522" t="s">
        <v>48</v>
      </c>
      <c r="E1516" s="523"/>
      <c r="F1516" s="524"/>
      <c r="G1516" s="553" t="s">
        <v>452</v>
      </c>
      <c r="H1516" s="561">
        <f>SUM(H1514:H1515)</f>
        <v>2037.6</v>
      </c>
      <c r="I1516" s="477"/>
      <c r="J1516" s="974"/>
      <c r="K1516" s="539"/>
      <c r="O1516" s="468"/>
      <c r="R1516" s="489"/>
    </row>
    <row r="1517" spans="1:18" x14ac:dyDescent="0.25">
      <c r="G1517" s="477"/>
      <c r="H1517" s="477"/>
      <c r="I1517" s="477"/>
      <c r="J1517" s="974"/>
      <c r="K1517" s="539"/>
      <c r="O1517" s="468"/>
      <c r="R1517" s="489"/>
    </row>
    <row r="1518" spans="1:18" s="467" customFormat="1" x14ac:dyDescent="0.2">
      <c r="A1518" s="463"/>
      <c r="B1518" s="555" t="s">
        <v>6</v>
      </c>
      <c r="C1518" s="515" t="s">
        <v>0</v>
      </c>
      <c r="D1518" s="556" t="s">
        <v>8</v>
      </c>
      <c r="E1518" s="525" t="s">
        <v>4</v>
      </c>
      <c r="F1518" s="556" t="s">
        <v>3</v>
      </c>
      <c r="G1518" s="477"/>
      <c r="H1518" s="477"/>
      <c r="I1518" s="477"/>
      <c r="J1518" s="974"/>
      <c r="K1518" s="539"/>
      <c r="Q1518" s="465"/>
    </row>
    <row r="1519" spans="1:18" x14ac:dyDescent="0.25">
      <c r="A1519" s="463">
        <v>153</v>
      </c>
      <c r="B1519" s="1077">
        <f>+B88</f>
        <v>4.2099999999999955</v>
      </c>
      <c r="C1519" s="1077">
        <f>+C88</f>
        <v>1</v>
      </c>
      <c r="D1519" s="1077" t="str">
        <f>+D88</f>
        <v>TABLERO BUSBAR - TIPO 14 (C1.2)</v>
      </c>
      <c r="E1519" s="517">
        <f>+H1536</f>
        <v>2610</v>
      </c>
      <c r="F1519" s="518">
        <f>+E1519*C1519</f>
        <v>2610</v>
      </c>
      <c r="G1519" s="553" t="s">
        <v>450</v>
      </c>
      <c r="H1519" s="553" t="s">
        <v>1</v>
      </c>
      <c r="I1519" s="477"/>
      <c r="J1519" s="974"/>
      <c r="K1519" s="539"/>
      <c r="O1519" s="468"/>
    </row>
    <row r="1520" spans="1:18" ht="16.5" thickBot="1" x14ac:dyDescent="0.3">
      <c r="B1520" s="1078"/>
      <c r="C1520" s="1078"/>
      <c r="D1520" s="1078"/>
      <c r="E1520" s="519" t="s">
        <v>50</v>
      </c>
      <c r="F1520" s="520" t="s">
        <v>50</v>
      </c>
      <c r="G1520" s="553" t="s">
        <v>50</v>
      </c>
      <c r="H1520" s="553" t="s">
        <v>50</v>
      </c>
      <c r="I1520" s="477"/>
      <c r="J1520" s="974"/>
      <c r="K1520" s="539"/>
      <c r="O1520" s="468"/>
    </row>
    <row r="1521" spans="2:18" ht="16.5" thickBot="1" x14ac:dyDescent="0.3">
      <c r="B1521" s="596"/>
      <c r="C1521" s="526"/>
      <c r="F1521" s="495"/>
      <c r="G1521" s="561"/>
      <c r="H1521" s="561"/>
      <c r="I1521" s="477"/>
      <c r="J1521" s="974"/>
      <c r="K1521" s="539"/>
      <c r="L1521" s="540" t="s">
        <v>451</v>
      </c>
      <c r="M1521" s="541"/>
      <c r="O1521" s="468"/>
      <c r="R1521" s="489"/>
    </row>
    <row r="1522" spans="2:18" ht="16.5" thickBot="1" x14ac:dyDescent="0.3">
      <c r="B1522" s="596"/>
      <c r="C1522" s="526">
        <v>1</v>
      </c>
      <c r="D1522" s="539" t="str">
        <f>+'Precios Equipos'!C193</f>
        <v>Gabinete Autosoportado 2100x800x600mm. (Alto x ancho x profundidad)</v>
      </c>
      <c r="F1522" s="495"/>
      <c r="G1522" s="561">
        <f>VLOOKUP(D1522,'Precios Equipos'!$C$11:$F$208,3,0)</f>
        <v>17</v>
      </c>
      <c r="H1522" s="561">
        <f t="shared" ref="H1522" si="155">G1522*C1522</f>
        <v>17</v>
      </c>
      <c r="I1522" s="561">
        <f>+H1522</f>
        <v>17</v>
      </c>
      <c r="J1522" s="975">
        <f>+I1522/H1534</f>
        <v>7.8160919540229881E-3</v>
      </c>
      <c r="K1522" s="539"/>
      <c r="L1522" s="542" t="s">
        <v>88</v>
      </c>
      <c r="M1522" s="543" t="s">
        <v>85</v>
      </c>
      <c r="O1522" s="468"/>
      <c r="Q1522" s="465">
        <f>+C1522*$C$1519</f>
        <v>1</v>
      </c>
      <c r="R1522" s="489"/>
    </row>
    <row r="1523" spans="2:18" x14ac:dyDescent="0.25">
      <c r="B1523" s="596"/>
      <c r="C1523" s="526"/>
      <c r="F1523" s="495"/>
      <c r="G1523" s="561"/>
      <c r="H1523" s="561"/>
      <c r="I1523" s="477"/>
      <c r="J1523" s="974"/>
      <c r="K1523" s="539"/>
      <c r="L1523" s="544" t="str">
        <f>+'Precios Equipos'!C122</f>
        <v>COBRE BUS BAR TIPO 14 (C01;G01), (C02;G01), (C01;G03), (C02;G03), (C03;G01), (C03;G03)</v>
      </c>
      <c r="M1523" s="545">
        <f>IFERROR(VLOOKUP(L1523,'Precios Equipos'!$C$11:$F$208,3,0),0)</f>
        <v>14</v>
      </c>
      <c r="O1523" s="468"/>
      <c r="R1523" s="489"/>
    </row>
    <row r="1524" spans="2:18" x14ac:dyDescent="0.25">
      <c r="B1524" s="596"/>
      <c r="C1524" s="526"/>
      <c r="D1524" s="620" t="s">
        <v>568</v>
      </c>
      <c r="F1524" s="495"/>
      <c r="G1524" s="561"/>
      <c r="H1524" s="561"/>
      <c r="I1524" s="477"/>
      <c r="J1524" s="974"/>
      <c r="K1524" s="539"/>
      <c r="L1524" s="544" t="str">
        <f>+'Precios Equipos'!C157</f>
        <v>M. Obra Electricidad BUS BAR TIPO 14 (C01;G01), (C02;G01), (C01;G03), (C02;G03), (C03;G01), (C03;G03)</v>
      </c>
      <c r="M1524" s="545">
        <f>IFERROR(VLOOKUP(L1524,'Precios Equipos'!$C$11:$F$208,3,0),0)</f>
        <v>0</v>
      </c>
      <c r="O1524" s="468"/>
      <c r="R1524" s="489"/>
    </row>
    <row r="1525" spans="2:18" ht="16.5" thickBot="1" x14ac:dyDescent="0.3">
      <c r="B1525" s="596"/>
      <c r="C1525" s="526">
        <v>6</v>
      </c>
      <c r="D1525" s="467" t="str">
        <f>+'Precios Equipos'!C46</f>
        <v>ITM 3x320A, Caja Moldeada (128-320)A, 70kA en 220V, XT5N, ABB, DC</v>
      </c>
      <c r="F1525" s="495"/>
      <c r="G1525" s="561">
        <f>VLOOKUP(D1525,'Precios Equipos'!$C$25:$F$208,3,0)</f>
        <v>72</v>
      </c>
      <c r="H1525" s="561">
        <f t="shared" ref="H1525:H1528" si="156">G1525*C1525</f>
        <v>432</v>
      </c>
      <c r="I1525" s="1081">
        <f>SUM(H1525:H1528)</f>
        <v>2081</v>
      </c>
      <c r="J1525" s="1121">
        <f>+I1525/H1534</f>
        <v>0.95678160919540234</v>
      </c>
      <c r="K1525" s="539"/>
      <c r="L1525" s="544" t="str">
        <f>+'Precios Equipos'!$C$205</f>
        <v>Diseño Ingenieria Tableros Autosoportados</v>
      </c>
      <c r="M1525" s="545">
        <f>IFERROR(VLOOKUP(L1525,'Precios Equipos'!$C$11:$F$208,3,0),0)</f>
        <v>63</v>
      </c>
      <c r="O1525" s="468"/>
      <c r="Q1525" s="465">
        <f>+C1525*$C$1519</f>
        <v>6</v>
      </c>
      <c r="R1525" s="489"/>
    </row>
    <row r="1526" spans="2:18" ht="16.5" thickBot="1" x14ac:dyDescent="0.3">
      <c r="B1526" s="596"/>
      <c r="C1526" s="526">
        <v>2</v>
      </c>
      <c r="D1526" s="467" t="str">
        <f>+'Precios Equipos'!C43</f>
        <v>ITM 2x160A, Caja Moldeada 160A, 50kA en 220V, A2N 250, ABB, DC</v>
      </c>
      <c r="F1526" s="495"/>
      <c r="G1526" s="561">
        <f>VLOOKUP(D1526,'Precios Equipos'!$C$25:$F$208,3,0)</f>
        <v>92</v>
      </c>
      <c r="H1526" s="561">
        <f t="shared" si="156"/>
        <v>184</v>
      </c>
      <c r="I1526" s="1082"/>
      <c r="J1526" s="1122"/>
      <c r="K1526" s="539"/>
      <c r="L1526" s="546" t="s">
        <v>89</v>
      </c>
      <c r="M1526" s="560">
        <f>SUM(M1523:M1525)</f>
        <v>77</v>
      </c>
      <c r="O1526" s="468"/>
      <c r="Q1526" s="465">
        <f>+C1526*$C$1519</f>
        <v>2</v>
      </c>
      <c r="R1526" s="489"/>
    </row>
    <row r="1527" spans="2:18" x14ac:dyDescent="0.25">
      <c r="B1527" s="596"/>
      <c r="C1527" s="526">
        <v>5</v>
      </c>
      <c r="D1527" s="467" t="str">
        <f>+'Precios Equipos'!C64</f>
        <v>Seccionador Portafusible XLP1-1P-2BC, 250A, 1SEP600116R0002, ABB</v>
      </c>
      <c r="F1527" s="495"/>
      <c r="G1527" s="561">
        <f>VLOOKUP(D1527,'Precios Equipos'!$C$25:$F$208,3,0)</f>
        <v>148</v>
      </c>
      <c r="H1527" s="561">
        <f t="shared" si="156"/>
        <v>740</v>
      </c>
      <c r="I1527" s="1082"/>
      <c r="J1527" s="1122"/>
      <c r="K1527" s="539"/>
      <c r="O1527" s="468"/>
      <c r="Q1527" s="465">
        <f>+C1527*$C$1519</f>
        <v>5</v>
      </c>
      <c r="R1527" s="489"/>
    </row>
    <row r="1528" spans="2:18" x14ac:dyDescent="0.25">
      <c r="B1528" s="596"/>
      <c r="C1528" s="526">
        <v>5</v>
      </c>
      <c r="D1528" s="467" t="str">
        <f>+'Precios Equipos'!$C$65</f>
        <v>Fusible tipo NH1 250A</v>
      </c>
      <c r="F1528" s="495"/>
      <c r="G1528" s="561">
        <f>VLOOKUP(D1528,'Precios Equipos'!$C$11:$F$208,3,0)</f>
        <v>145</v>
      </c>
      <c r="H1528" s="561">
        <f t="shared" si="156"/>
        <v>725</v>
      </c>
      <c r="I1528" s="1083"/>
      <c r="J1528" s="1123"/>
      <c r="K1528" s="539"/>
      <c r="O1528" s="468"/>
      <c r="Q1528" s="465">
        <f>+C1528*$C$1519</f>
        <v>5</v>
      </c>
      <c r="R1528" s="489"/>
    </row>
    <row r="1529" spans="2:18" x14ac:dyDescent="0.25">
      <c r="B1529" s="596"/>
      <c r="C1529" s="526"/>
      <c r="F1529" s="495"/>
      <c r="G1529" s="561"/>
      <c r="H1529" s="561"/>
      <c r="I1529" s="477"/>
      <c r="J1529" s="974"/>
      <c r="K1529" s="539"/>
      <c r="O1529" s="468"/>
      <c r="R1529" s="489"/>
    </row>
    <row r="1530" spans="2:18" x14ac:dyDescent="0.25">
      <c r="B1530" s="596"/>
      <c r="C1530" s="526"/>
      <c r="D1530" s="620" t="s">
        <v>87</v>
      </c>
      <c r="F1530" s="495"/>
      <c r="G1530" s="561"/>
      <c r="H1530" s="561"/>
      <c r="I1530" s="477"/>
      <c r="J1530" s="974"/>
      <c r="K1530" s="539"/>
      <c r="O1530" s="468"/>
      <c r="R1530" s="489"/>
    </row>
    <row r="1531" spans="2:18" x14ac:dyDescent="0.25">
      <c r="B1531" s="596"/>
      <c r="C1531" s="526">
        <v>1</v>
      </c>
      <c r="D1531" s="494" t="s">
        <v>49</v>
      </c>
      <c r="F1531" s="495"/>
      <c r="G1531" s="561"/>
      <c r="H1531" s="561">
        <f>+M1526</f>
        <v>77</v>
      </c>
      <c r="I1531" s="561">
        <f>+H1531</f>
        <v>77</v>
      </c>
      <c r="J1531" s="975">
        <f>+I1531/H1534</f>
        <v>3.5402298850574714E-2</v>
      </c>
      <c r="K1531" s="539"/>
      <c r="O1531" s="468"/>
      <c r="R1531" s="489"/>
    </row>
    <row r="1532" spans="2:18" x14ac:dyDescent="0.25">
      <c r="B1532" s="596"/>
      <c r="C1532" s="526">
        <v>1</v>
      </c>
      <c r="D1532" s="494" t="s">
        <v>51</v>
      </c>
      <c r="F1532" s="495"/>
      <c r="G1532" s="561"/>
      <c r="H1532" s="561"/>
      <c r="I1532" s="1081">
        <f>SUM(H1532:H1533)</f>
        <v>0</v>
      </c>
      <c r="J1532" s="1116">
        <f>+I1532/H1534</f>
        <v>0</v>
      </c>
      <c r="K1532" s="539"/>
      <c r="O1532" s="468"/>
      <c r="R1532" s="489"/>
    </row>
    <row r="1533" spans="2:18" x14ac:dyDescent="0.25">
      <c r="B1533" s="596"/>
      <c r="C1533" s="526">
        <v>1</v>
      </c>
      <c r="D1533" s="467" t="s">
        <v>20</v>
      </c>
      <c r="F1533" s="495"/>
      <c r="G1533" s="561"/>
      <c r="H1533" s="561"/>
      <c r="I1533" s="1083"/>
      <c r="J1533" s="1117"/>
      <c r="K1533" s="539"/>
      <c r="O1533" s="468"/>
      <c r="R1533" s="489"/>
    </row>
    <row r="1534" spans="2:18" x14ac:dyDescent="0.25">
      <c r="B1534" s="596"/>
      <c r="C1534" s="526">
        <v>1</v>
      </c>
      <c r="D1534" s="467" t="s">
        <v>52</v>
      </c>
      <c r="F1534" s="495"/>
      <c r="G1534" s="553" t="s">
        <v>97</v>
      </c>
      <c r="H1534" s="561">
        <f>SUM(H1521:H1533)</f>
        <v>2175</v>
      </c>
      <c r="I1534" s="477"/>
      <c r="J1534" s="974"/>
      <c r="K1534" s="539"/>
      <c r="O1534" s="468"/>
      <c r="R1534" s="489"/>
    </row>
    <row r="1535" spans="2:18" x14ac:dyDescent="0.25">
      <c r="B1535" s="596"/>
      <c r="C1535" s="526">
        <v>1</v>
      </c>
      <c r="D1535" s="467" t="s">
        <v>21</v>
      </c>
      <c r="F1535" s="495"/>
      <c r="G1535" s="553" t="s">
        <v>105</v>
      </c>
      <c r="H1535" s="561">
        <f>H1534*$M$153</f>
        <v>435</v>
      </c>
      <c r="I1535" s="477"/>
      <c r="J1535" s="974"/>
      <c r="K1535" s="539"/>
      <c r="O1535" s="468"/>
      <c r="R1535" s="489"/>
    </row>
    <row r="1536" spans="2:18" x14ac:dyDescent="0.25">
      <c r="B1536" s="562"/>
      <c r="C1536" s="527" t="s">
        <v>17</v>
      </c>
      <c r="D1536" s="522" t="s">
        <v>48</v>
      </c>
      <c r="E1536" s="523"/>
      <c r="F1536" s="524"/>
      <c r="G1536" s="553" t="s">
        <v>452</v>
      </c>
      <c r="H1536" s="561">
        <f>SUM(H1534:H1535)</f>
        <v>2610</v>
      </c>
      <c r="I1536" s="477"/>
      <c r="J1536" s="974"/>
      <c r="K1536" s="539"/>
      <c r="O1536" s="468"/>
      <c r="R1536" s="489"/>
    </row>
    <row r="1537" spans="1:18" ht="16.5" thickBot="1" x14ac:dyDescent="0.3">
      <c r="G1537" s="477"/>
      <c r="H1537" s="477"/>
      <c r="I1537" s="477"/>
      <c r="J1537" s="974"/>
      <c r="K1537" s="539"/>
      <c r="O1537" s="468"/>
      <c r="R1537" s="489"/>
    </row>
    <row r="1538" spans="1:18" s="467" customFormat="1" ht="16.5" thickBot="1" x14ac:dyDescent="0.25">
      <c r="A1538" s="463"/>
      <c r="B1538" s="555" t="s">
        <v>6</v>
      </c>
      <c r="C1538" s="515" t="s">
        <v>0</v>
      </c>
      <c r="D1538" s="556" t="s">
        <v>8</v>
      </c>
      <c r="E1538" s="525" t="s">
        <v>4</v>
      </c>
      <c r="F1538" s="556" t="s">
        <v>3</v>
      </c>
      <c r="G1538" s="477"/>
      <c r="H1538" s="477"/>
      <c r="I1538" s="477"/>
      <c r="J1538" s="974"/>
      <c r="K1538" s="539"/>
      <c r="L1538" s="540" t="s">
        <v>451</v>
      </c>
      <c r="M1538" s="541"/>
      <c r="Q1538" s="465"/>
    </row>
    <row r="1539" spans="1:18" ht="16.5" thickBot="1" x14ac:dyDescent="0.3">
      <c r="A1539" s="463">
        <v>153</v>
      </c>
      <c r="B1539" s="1077">
        <f>+B89</f>
        <v>4.2199999999999953</v>
      </c>
      <c r="C1539" s="1077">
        <f>+C89</f>
        <v>1</v>
      </c>
      <c r="D1539" s="1077" t="str">
        <f>+D89</f>
        <v>TABLERO BUSBAR - TIPO 14 (C1.3)</v>
      </c>
      <c r="E1539" s="517">
        <f>+H1555</f>
        <v>2037.6</v>
      </c>
      <c r="F1539" s="518">
        <f>+E1539*C1539</f>
        <v>2037.6</v>
      </c>
      <c r="G1539" s="553" t="s">
        <v>450</v>
      </c>
      <c r="H1539" s="553" t="s">
        <v>1</v>
      </c>
      <c r="I1539" s="477"/>
      <c r="J1539" s="974"/>
      <c r="K1539" s="539"/>
      <c r="L1539" s="542" t="s">
        <v>88</v>
      </c>
      <c r="M1539" s="543" t="s">
        <v>85</v>
      </c>
      <c r="O1539" s="468"/>
    </row>
    <row r="1540" spans="1:18" x14ac:dyDescent="0.25">
      <c r="B1540" s="1078"/>
      <c r="C1540" s="1078"/>
      <c r="D1540" s="1078"/>
      <c r="E1540" s="519" t="s">
        <v>50</v>
      </c>
      <c r="F1540" s="520" t="s">
        <v>50</v>
      </c>
      <c r="G1540" s="553" t="s">
        <v>50</v>
      </c>
      <c r="H1540" s="553" t="s">
        <v>50</v>
      </c>
      <c r="I1540" s="477"/>
      <c r="J1540" s="974"/>
      <c r="K1540" s="539"/>
      <c r="L1540" s="544" t="str">
        <f>+'Precios Equipos'!C122</f>
        <v>COBRE BUS BAR TIPO 14 (C01;G01), (C02;G01), (C01;G03), (C02;G03), (C03;G01), (C03;G03)</v>
      </c>
      <c r="M1540" s="545">
        <f>IFERROR(VLOOKUP(L1540,'Precios Equipos'!$C$11:$F$208,3,0),0)</f>
        <v>14</v>
      </c>
      <c r="O1540" s="468"/>
    </row>
    <row r="1541" spans="1:18" x14ac:dyDescent="0.25">
      <c r="B1541" s="596"/>
      <c r="C1541" s="526"/>
      <c r="F1541" s="495"/>
      <c r="G1541" s="561"/>
      <c r="H1541" s="561"/>
      <c r="I1541" s="477"/>
      <c r="J1541" s="974"/>
      <c r="K1541" s="539"/>
      <c r="L1541" s="544" t="str">
        <f>+'Precios Equipos'!C157</f>
        <v>M. Obra Electricidad BUS BAR TIPO 14 (C01;G01), (C02;G01), (C01;G03), (C02;G03), (C03;G01), (C03;G03)</v>
      </c>
      <c r="M1541" s="545">
        <f>IFERROR(VLOOKUP(L1541,'Precios Equipos'!$C$11:$F$208,3,0),0)</f>
        <v>0</v>
      </c>
      <c r="O1541" s="468"/>
      <c r="R1541" s="489"/>
    </row>
    <row r="1542" spans="1:18" ht="16.5" thickBot="1" x14ac:dyDescent="0.3">
      <c r="B1542" s="596"/>
      <c r="C1542" s="526">
        <v>1</v>
      </c>
      <c r="D1542" s="539" t="str">
        <f>+'Precios Equipos'!C193</f>
        <v>Gabinete Autosoportado 2100x800x600mm. (Alto x ancho x profundidad)</v>
      </c>
      <c r="F1542" s="495"/>
      <c r="G1542" s="561">
        <f>VLOOKUP(D1542,'Precios Equipos'!$C$11:$F$208,3,0)</f>
        <v>17</v>
      </c>
      <c r="H1542" s="561">
        <f t="shared" ref="H1542" si="157">G1542*C1542</f>
        <v>17</v>
      </c>
      <c r="I1542" s="561">
        <f>+H1542</f>
        <v>17</v>
      </c>
      <c r="J1542" s="975">
        <f>+I1542/H1553</f>
        <v>1.0011778563015312E-2</v>
      </c>
      <c r="K1542" s="539"/>
      <c r="L1542" s="544" t="str">
        <f>+'Precios Equipos'!$C$205</f>
        <v>Diseño Ingenieria Tableros Autosoportados</v>
      </c>
      <c r="M1542" s="545">
        <f>IFERROR(VLOOKUP(L1542,'Precios Equipos'!$C$11:$F$208,3,0),0)</f>
        <v>63</v>
      </c>
      <c r="O1542" s="468"/>
      <c r="Q1542" s="465">
        <f>+C1542*$C$1539</f>
        <v>1</v>
      </c>
      <c r="R1542" s="489"/>
    </row>
    <row r="1543" spans="1:18" ht="16.5" thickBot="1" x14ac:dyDescent="0.3">
      <c r="B1543" s="596"/>
      <c r="C1543" s="526"/>
      <c r="F1543" s="495"/>
      <c r="G1543" s="561"/>
      <c r="H1543" s="561"/>
      <c r="I1543" s="477"/>
      <c r="J1543" s="974"/>
      <c r="K1543" s="539"/>
      <c r="L1543" s="546" t="s">
        <v>89</v>
      </c>
      <c r="M1543" s="560">
        <f>SUM(M1540:M1542)</f>
        <v>77</v>
      </c>
      <c r="O1543" s="468"/>
      <c r="R1543" s="489"/>
    </row>
    <row r="1544" spans="1:18" x14ac:dyDescent="0.25">
      <c r="B1544" s="596"/>
      <c r="C1544" s="526"/>
      <c r="D1544" s="620" t="s">
        <v>568</v>
      </c>
      <c r="F1544" s="495"/>
      <c r="G1544" s="561"/>
      <c r="H1544" s="561"/>
      <c r="I1544" s="477"/>
      <c r="J1544" s="974"/>
      <c r="K1544" s="539"/>
      <c r="O1544" s="468"/>
      <c r="R1544" s="489"/>
    </row>
    <row r="1545" spans="1:18" x14ac:dyDescent="0.25">
      <c r="B1545" s="596"/>
      <c r="C1545" s="526">
        <v>6</v>
      </c>
      <c r="D1545" s="467" t="str">
        <f>+'Precios Equipos'!C46</f>
        <v>ITM 3x320A, Caja Moldeada (128-320)A, 70kA en 220V, XT5N, ABB, DC</v>
      </c>
      <c r="F1545" s="495"/>
      <c r="G1545" s="561">
        <f>VLOOKUP(D1545,'Precios Equipos'!$C$25:$F$208,3,0)</f>
        <v>72</v>
      </c>
      <c r="H1545" s="561">
        <f t="shared" ref="H1545:H1547" si="158">G1545*C1545</f>
        <v>432</v>
      </c>
      <c r="I1545" s="1081">
        <f>SUM(H1545:H1547)</f>
        <v>1604</v>
      </c>
      <c r="J1545" s="1121">
        <f>+I1545/H1553</f>
        <v>0.94464075382803303</v>
      </c>
      <c r="K1545" s="539"/>
      <c r="O1545" s="468"/>
      <c r="Q1545" s="465">
        <f>+C1545*$C$1539</f>
        <v>6</v>
      </c>
      <c r="R1545" s="489"/>
    </row>
    <row r="1546" spans="1:18" x14ac:dyDescent="0.25">
      <c r="B1546" s="596"/>
      <c r="C1546" s="526">
        <v>4</v>
      </c>
      <c r="D1546" s="467" t="str">
        <f>+'Precios Equipos'!C64</f>
        <v>Seccionador Portafusible XLP1-1P-2BC, 250A, 1SEP600116R0002, ABB</v>
      </c>
      <c r="F1546" s="495"/>
      <c r="G1546" s="561">
        <f>VLOOKUP(D1546,'Precios Equipos'!$C$25:$F$208,3,0)</f>
        <v>148</v>
      </c>
      <c r="H1546" s="561">
        <f t="shared" si="158"/>
        <v>592</v>
      </c>
      <c r="I1546" s="1082"/>
      <c r="J1546" s="1122"/>
      <c r="K1546" s="539"/>
      <c r="O1546" s="468"/>
      <c r="Q1546" s="465">
        <f t="shared" ref="Q1546:Q1547" si="159">+C1546*$C$1539</f>
        <v>4</v>
      </c>
      <c r="R1546" s="489"/>
    </row>
    <row r="1547" spans="1:18" x14ac:dyDescent="0.25">
      <c r="B1547" s="596"/>
      <c r="C1547" s="526">
        <v>4</v>
      </c>
      <c r="D1547" s="467" t="str">
        <f>+'Precios Equipos'!$C$65</f>
        <v>Fusible tipo NH1 250A</v>
      </c>
      <c r="F1547" s="495"/>
      <c r="G1547" s="561">
        <f>VLOOKUP(D1547,'Precios Equipos'!$C$11:$F$208,3,0)</f>
        <v>145</v>
      </c>
      <c r="H1547" s="561">
        <f t="shared" si="158"/>
        <v>580</v>
      </c>
      <c r="I1547" s="1083"/>
      <c r="J1547" s="1123"/>
      <c r="K1547" s="539"/>
      <c r="O1547" s="468"/>
      <c r="Q1547" s="465">
        <f t="shared" si="159"/>
        <v>4</v>
      </c>
      <c r="R1547" s="489"/>
    </row>
    <row r="1548" spans="1:18" x14ac:dyDescent="0.25">
      <c r="B1548" s="596"/>
      <c r="C1548" s="526"/>
      <c r="F1548" s="495"/>
      <c r="G1548" s="561"/>
      <c r="H1548" s="561"/>
      <c r="I1548" s="477"/>
      <c r="J1548" s="974"/>
      <c r="K1548" s="539"/>
      <c r="O1548" s="468"/>
      <c r="R1548" s="489"/>
    </row>
    <row r="1549" spans="1:18" x14ac:dyDescent="0.25">
      <c r="B1549" s="596"/>
      <c r="C1549" s="526"/>
      <c r="D1549" s="620" t="s">
        <v>87</v>
      </c>
      <c r="F1549" s="495"/>
      <c r="G1549" s="561"/>
      <c r="H1549" s="561"/>
      <c r="I1549" s="477"/>
      <c r="J1549" s="974"/>
      <c r="K1549" s="539"/>
      <c r="O1549" s="468"/>
      <c r="R1549" s="489"/>
    </row>
    <row r="1550" spans="1:18" x14ac:dyDescent="0.25">
      <c r="B1550" s="596"/>
      <c r="C1550" s="526">
        <v>1</v>
      </c>
      <c r="D1550" s="494" t="s">
        <v>49</v>
      </c>
      <c r="F1550" s="495"/>
      <c r="G1550" s="561"/>
      <c r="H1550" s="561">
        <f>+M1543</f>
        <v>77</v>
      </c>
      <c r="I1550" s="561">
        <f>+H1550</f>
        <v>77</v>
      </c>
      <c r="J1550" s="975">
        <f>+I1550/H1553</f>
        <v>4.5347467608951711E-2</v>
      </c>
      <c r="K1550" s="539"/>
      <c r="O1550" s="468"/>
      <c r="R1550" s="489"/>
    </row>
    <row r="1551" spans="1:18" x14ac:dyDescent="0.25">
      <c r="B1551" s="596"/>
      <c r="C1551" s="526">
        <v>1</v>
      </c>
      <c r="D1551" s="494" t="s">
        <v>51</v>
      </c>
      <c r="F1551" s="495"/>
      <c r="G1551" s="561"/>
      <c r="H1551" s="561"/>
      <c r="I1551" s="1081">
        <f>SUM(H1551:H1552)</f>
        <v>0</v>
      </c>
      <c r="J1551" s="1116">
        <f>+I1551/H1553</f>
        <v>0</v>
      </c>
      <c r="K1551" s="539"/>
      <c r="O1551" s="468"/>
      <c r="R1551" s="489"/>
    </row>
    <row r="1552" spans="1:18" x14ac:dyDescent="0.25">
      <c r="B1552" s="596"/>
      <c r="C1552" s="526">
        <v>1</v>
      </c>
      <c r="D1552" s="467" t="s">
        <v>20</v>
      </c>
      <c r="F1552" s="495"/>
      <c r="G1552" s="561"/>
      <c r="H1552" s="561"/>
      <c r="I1552" s="1083"/>
      <c r="J1552" s="1117"/>
      <c r="K1552" s="539"/>
      <c r="O1552" s="468"/>
      <c r="R1552" s="489"/>
    </row>
    <row r="1553" spans="1:18" x14ac:dyDescent="0.25">
      <c r="B1553" s="596"/>
      <c r="C1553" s="526">
        <v>1</v>
      </c>
      <c r="D1553" s="467" t="s">
        <v>52</v>
      </c>
      <c r="F1553" s="495"/>
      <c r="G1553" s="553" t="s">
        <v>97</v>
      </c>
      <c r="H1553" s="561">
        <f>SUM(H1541:H1552)</f>
        <v>1698</v>
      </c>
      <c r="I1553" s="477"/>
      <c r="J1553" s="974"/>
      <c r="K1553" s="539"/>
      <c r="O1553" s="468"/>
      <c r="R1553" s="489"/>
    </row>
    <row r="1554" spans="1:18" x14ac:dyDescent="0.25">
      <c r="B1554" s="596"/>
      <c r="C1554" s="526">
        <v>1</v>
      </c>
      <c r="D1554" s="467" t="s">
        <v>21</v>
      </c>
      <c r="F1554" s="495"/>
      <c r="G1554" s="553" t="s">
        <v>105</v>
      </c>
      <c r="H1554" s="561">
        <f>H1553*$M$153</f>
        <v>339.6</v>
      </c>
      <c r="I1554" s="477"/>
      <c r="J1554" s="974"/>
      <c r="K1554" s="539"/>
      <c r="O1554" s="468"/>
      <c r="R1554" s="489"/>
    </row>
    <row r="1555" spans="1:18" x14ac:dyDescent="0.25">
      <c r="B1555" s="562"/>
      <c r="C1555" s="527" t="s">
        <v>17</v>
      </c>
      <c r="D1555" s="522" t="s">
        <v>48</v>
      </c>
      <c r="E1555" s="523"/>
      <c r="F1555" s="524"/>
      <c r="G1555" s="553" t="s">
        <v>452</v>
      </c>
      <c r="H1555" s="561">
        <f>SUM(H1553:H1554)</f>
        <v>2037.6</v>
      </c>
      <c r="I1555" s="477"/>
      <c r="J1555" s="974"/>
      <c r="K1555" s="539"/>
      <c r="O1555" s="468"/>
      <c r="R1555" s="489"/>
    </row>
    <row r="1556" spans="1:18" x14ac:dyDescent="0.25">
      <c r="G1556" s="477"/>
      <c r="H1556" s="477"/>
      <c r="I1556" s="477"/>
      <c r="J1556" s="974"/>
      <c r="K1556" s="539"/>
      <c r="O1556" s="468"/>
      <c r="R1556" s="489"/>
    </row>
    <row r="1557" spans="1:18" s="467" customFormat="1" x14ac:dyDescent="0.2">
      <c r="A1557" s="463"/>
      <c r="B1557" s="555" t="s">
        <v>6</v>
      </c>
      <c r="C1557" s="515" t="s">
        <v>0</v>
      </c>
      <c r="D1557" s="556" t="s">
        <v>8</v>
      </c>
      <c r="E1557" s="525" t="s">
        <v>4</v>
      </c>
      <c r="F1557" s="556" t="s">
        <v>3</v>
      </c>
      <c r="G1557" s="477"/>
      <c r="H1557" s="477"/>
      <c r="I1557" s="477"/>
      <c r="J1557" s="974"/>
      <c r="K1557" s="539"/>
      <c r="Q1557" s="465"/>
    </row>
    <row r="1558" spans="1:18" x14ac:dyDescent="0.25">
      <c r="A1558" s="463">
        <v>153</v>
      </c>
      <c r="B1558" s="1077">
        <f>+B90</f>
        <v>4.2299999999999951</v>
      </c>
      <c r="C1558" s="1077">
        <f>+C90</f>
        <v>1</v>
      </c>
      <c r="D1558" s="1077" t="str">
        <f>+D90</f>
        <v>TABLERO BUSBAR - TIPO 14 (C1.4)</v>
      </c>
      <c r="E1558" s="517">
        <f>+H1575</f>
        <v>2610</v>
      </c>
      <c r="F1558" s="518">
        <f>+E1558*C1558</f>
        <v>2610</v>
      </c>
      <c r="G1558" s="553" t="s">
        <v>450</v>
      </c>
      <c r="H1558" s="553" t="s">
        <v>1</v>
      </c>
      <c r="I1558" s="477"/>
      <c r="J1558" s="974"/>
      <c r="K1558" s="539"/>
      <c r="O1558" s="468"/>
    </row>
    <row r="1559" spans="1:18" ht="16.5" thickBot="1" x14ac:dyDescent="0.3">
      <c r="B1559" s="1078"/>
      <c r="C1559" s="1078"/>
      <c r="D1559" s="1078"/>
      <c r="E1559" s="519" t="s">
        <v>50</v>
      </c>
      <c r="F1559" s="520" t="s">
        <v>50</v>
      </c>
      <c r="G1559" s="553" t="s">
        <v>50</v>
      </c>
      <c r="H1559" s="553" t="s">
        <v>50</v>
      </c>
      <c r="I1559" s="477"/>
      <c r="J1559" s="974"/>
      <c r="K1559" s="539"/>
      <c r="O1559" s="468"/>
    </row>
    <row r="1560" spans="1:18" ht="16.5" thickBot="1" x14ac:dyDescent="0.3">
      <c r="B1560" s="596"/>
      <c r="C1560" s="526"/>
      <c r="F1560" s="495"/>
      <c r="G1560" s="561"/>
      <c r="H1560" s="561"/>
      <c r="I1560" s="477"/>
      <c r="J1560" s="974"/>
      <c r="K1560" s="539"/>
      <c r="L1560" s="540" t="s">
        <v>451</v>
      </c>
      <c r="M1560" s="541"/>
      <c r="O1560" s="468"/>
      <c r="R1560" s="489"/>
    </row>
    <row r="1561" spans="1:18" ht="16.5" thickBot="1" x14ac:dyDescent="0.3">
      <c r="B1561" s="596"/>
      <c r="C1561" s="526">
        <v>1</v>
      </c>
      <c r="D1561" s="539" t="str">
        <f>+'Precios Equipos'!C193</f>
        <v>Gabinete Autosoportado 2100x800x600mm. (Alto x ancho x profundidad)</v>
      </c>
      <c r="F1561" s="495"/>
      <c r="G1561" s="561">
        <f>VLOOKUP(D1561,'Precios Equipos'!$C$11:$F$208,3,0)</f>
        <v>17</v>
      </c>
      <c r="H1561" s="561">
        <f t="shared" ref="H1561" si="160">G1561*C1561</f>
        <v>17</v>
      </c>
      <c r="I1561" s="561">
        <f>+H1561</f>
        <v>17</v>
      </c>
      <c r="J1561" s="975">
        <f>+I1561/H1573</f>
        <v>7.8160919540229881E-3</v>
      </c>
      <c r="K1561" s="539"/>
      <c r="L1561" s="542" t="s">
        <v>88</v>
      </c>
      <c r="M1561" s="543" t="s">
        <v>85</v>
      </c>
      <c r="O1561" s="468"/>
      <c r="Q1561" s="465">
        <f>+C1561*$C$1558</f>
        <v>1</v>
      </c>
      <c r="R1561" s="489"/>
    </row>
    <row r="1562" spans="1:18" x14ac:dyDescent="0.25">
      <c r="B1562" s="596"/>
      <c r="C1562" s="526"/>
      <c r="F1562" s="495"/>
      <c r="G1562" s="561"/>
      <c r="H1562" s="561"/>
      <c r="I1562" s="477"/>
      <c r="J1562" s="974"/>
      <c r="K1562" s="539"/>
      <c r="L1562" s="544" t="str">
        <f>+'Precios Equipos'!C122</f>
        <v>COBRE BUS BAR TIPO 14 (C01;G01), (C02;G01), (C01;G03), (C02;G03), (C03;G01), (C03;G03)</v>
      </c>
      <c r="M1562" s="545">
        <f>IFERROR(VLOOKUP(L1562,'Precios Equipos'!$C$11:$F$208,3,0),0)</f>
        <v>14</v>
      </c>
      <c r="O1562" s="468"/>
      <c r="R1562" s="489"/>
    </row>
    <row r="1563" spans="1:18" x14ac:dyDescent="0.25">
      <c r="B1563" s="596"/>
      <c r="C1563" s="526"/>
      <c r="D1563" s="620" t="s">
        <v>568</v>
      </c>
      <c r="F1563" s="495"/>
      <c r="G1563" s="561"/>
      <c r="H1563" s="561"/>
      <c r="I1563" s="477"/>
      <c r="J1563" s="974"/>
      <c r="K1563" s="539"/>
      <c r="L1563" s="544" t="str">
        <f>+'Precios Equipos'!C157</f>
        <v>M. Obra Electricidad BUS BAR TIPO 14 (C01;G01), (C02;G01), (C01;G03), (C02;G03), (C03;G01), (C03;G03)</v>
      </c>
      <c r="M1563" s="545">
        <f>IFERROR(VLOOKUP(L1563,'Precios Equipos'!$C$11:$F$208,3,0),0)</f>
        <v>0</v>
      </c>
      <c r="O1563" s="468"/>
      <c r="R1563" s="489"/>
    </row>
    <row r="1564" spans="1:18" ht="16.5" thickBot="1" x14ac:dyDescent="0.3">
      <c r="B1564" s="596"/>
      <c r="C1564" s="526">
        <v>6</v>
      </c>
      <c r="D1564" s="467" t="str">
        <f>+'Precios Equipos'!C46</f>
        <v>ITM 3x320A, Caja Moldeada (128-320)A, 70kA en 220V, XT5N, ABB, DC</v>
      </c>
      <c r="F1564" s="495"/>
      <c r="G1564" s="561">
        <f>VLOOKUP(D1564,'Precios Equipos'!$C$25:$F$208,3,0)</f>
        <v>72</v>
      </c>
      <c r="H1564" s="561">
        <f t="shared" ref="H1564:H1567" si="161">G1564*C1564</f>
        <v>432</v>
      </c>
      <c r="I1564" s="1081">
        <f>SUM(H1564:H1567)</f>
        <v>2081</v>
      </c>
      <c r="J1564" s="1121">
        <f>+I1564/H1573</f>
        <v>0.95678160919540234</v>
      </c>
      <c r="K1564" s="539"/>
      <c r="L1564" s="544" t="str">
        <f>+'Precios Equipos'!$C$205</f>
        <v>Diseño Ingenieria Tableros Autosoportados</v>
      </c>
      <c r="M1564" s="545">
        <f>IFERROR(VLOOKUP(L1564,'Precios Equipos'!$C$11:$F$208,3,0),0)</f>
        <v>63</v>
      </c>
      <c r="O1564" s="468"/>
      <c r="Q1564" s="465">
        <f>+C1564*$C$1558</f>
        <v>6</v>
      </c>
      <c r="R1564" s="489"/>
    </row>
    <row r="1565" spans="1:18" ht="16.5" thickBot="1" x14ac:dyDescent="0.3">
      <c r="B1565" s="596"/>
      <c r="C1565" s="526">
        <v>2</v>
      </c>
      <c r="D1565" s="467" t="str">
        <f>+'Precios Equipos'!C43</f>
        <v>ITM 2x160A, Caja Moldeada 160A, 50kA en 220V, A2N 250, ABB, DC</v>
      </c>
      <c r="F1565" s="495"/>
      <c r="G1565" s="561">
        <f>VLOOKUP(D1565,'Precios Equipos'!$C$25:$F$208,3,0)</f>
        <v>92</v>
      </c>
      <c r="H1565" s="561">
        <f t="shared" si="161"/>
        <v>184</v>
      </c>
      <c r="I1565" s="1082"/>
      <c r="J1565" s="1122"/>
      <c r="K1565" s="539"/>
      <c r="L1565" s="546" t="s">
        <v>89</v>
      </c>
      <c r="M1565" s="560">
        <f>SUM(M1562:M1564)</f>
        <v>77</v>
      </c>
      <c r="O1565" s="468"/>
      <c r="Q1565" s="465">
        <f>+C1565*$C$1558</f>
        <v>2</v>
      </c>
      <c r="R1565" s="489"/>
    </row>
    <row r="1566" spans="1:18" x14ac:dyDescent="0.25">
      <c r="B1566" s="596"/>
      <c r="C1566" s="526">
        <v>5</v>
      </c>
      <c r="D1566" s="467" t="str">
        <f>+'Precios Equipos'!C64</f>
        <v>Seccionador Portafusible XLP1-1P-2BC, 250A, 1SEP600116R0002, ABB</v>
      </c>
      <c r="F1566" s="495"/>
      <c r="G1566" s="561">
        <f>VLOOKUP(D1566,'Precios Equipos'!$C$25:$F$208,3,0)</f>
        <v>148</v>
      </c>
      <c r="H1566" s="561">
        <f t="shared" si="161"/>
        <v>740</v>
      </c>
      <c r="I1566" s="1082"/>
      <c r="J1566" s="1122"/>
      <c r="K1566" s="539"/>
      <c r="O1566" s="468"/>
      <c r="Q1566" s="465">
        <f>+C1566*$C$1558</f>
        <v>5</v>
      </c>
      <c r="R1566" s="489"/>
    </row>
    <row r="1567" spans="1:18" x14ac:dyDescent="0.25">
      <c r="B1567" s="596"/>
      <c r="C1567" s="526">
        <v>5</v>
      </c>
      <c r="D1567" s="467" t="str">
        <f>+'Precios Equipos'!$C$65</f>
        <v>Fusible tipo NH1 250A</v>
      </c>
      <c r="F1567" s="495"/>
      <c r="G1567" s="561">
        <f>VLOOKUP(D1567,'Precios Equipos'!$C$11:$F$208,3,0)</f>
        <v>145</v>
      </c>
      <c r="H1567" s="561">
        <f t="shared" si="161"/>
        <v>725</v>
      </c>
      <c r="I1567" s="1083"/>
      <c r="J1567" s="1123"/>
      <c r="K1567" s="539"/>
      <c r="O1567" s="468"/>
      <c r="Q1567" s="465">
        <f>+C1567*$C$1558</f>
        <v>5</v>
      </c>
      <c r="R1567" s="489"/>
    </row>
    <row r="1568" spans="1:18" x14ac:dyDescent="0.25">
      <c r="B1568" s="596"/>
      <c r="C1568" s="526"/>
      <c r="F1568" s="495"/>
      <c r="G1568" s="561"/>
      <c r="H1568" s="561"/>
      <c r="I1568" s="477"/>
      <c r="J1568" s="974"/>
      <c r="K1568" s="539"/>
      <c r="O1568" s="468"/>
      <c r="R1568" s="489"/>
    </row>
    <row r="1569" spans="1:18" x14ac:dyDescent="0.25">
      <c r="B1569" s="596"/>
      <c r="C1569" s="526"/>
      <c r="D1569" s="620" t="s">
        <v>87</v>
      </c>
      <c r="F1569" s="495"/>
      <c r="G1569" s="561"/>
      <c r="H1569" s="561"/>
      <c r="I1569" s="477"/>
      <c r="J1569" s="974"/>
      <c r="K1569" s="539"/>
      <c r="O1569" s="468"/>
      <c r="R1569" s="489"/>
    </row>
    <row r="1570" spans="1:18" x14ac:dyDescent="0.25">
      <c r="B1570" s="596"/>
      <c r="C1570" s="526">
        <v>1</v>
      </c>
      <c r="D1570" s="494" t="s">
        <v>49</v>
      </c>
      <c r="F1570" s="495"/>
      <c r="G1570" s="561"/>
      <c r="H1570" s="561">
        <f>+M1565</f>
        <v>77</v>
      </c>
      <c r="I1570" s="561">
        <f>+H1570</f>
        <v>77</v>
      </c>
      <c r="J1570" s="975">
        <f>+I1570/H1573</f>
        <v>3.5402298850574714E-2</v>
      </c>
      <c r="K1570" s="539"/>
      <c r="O1570" s="468"/>
      <c r="R1570" s="489"/>
    </row>
    <row r="1571" spans="1:18" x14ac:dyDescent="0.25">
      <c r="B1571" s="596"/>
      <c r="C1571" s="526">
        <v>1</v>
      </c>
      <c r="D1571" s="494" t="s">
        <v>51</v>
      </c>
      <c r="F1571" s="495"/>
      <c r="G1571" s="561"/>
      <c r="H1571" s="561"/>
      <c r="I1571" s="1081">
        <f>SUM(H1571:H1572)</f>
        <v>0</v>
      </c>
      <c r="J1571" s="1116">
        <f>+I1571/H1573</f>
        <v>0</v>
      </c>
      <c r="K1571" s="539"/>
      <c r="O1571" s="468"/>
      <c r="R1571" s="489"/>
    </row>
    <row r="1572" spans="1:18" x14ac:dyDescent="0.25">
      <c r="B1572" s="596"/>
      <c r="C1572" s="526">
        <v>1</v>
      </c>
      <c r="D1572" s="467" t="s">
        <v>20</v>
      </c>
      <c r="F1572" s="495"/>
      <c r="G1572" s="561"/>
      <c r="H1572" s="561"/>
      <c r="I1572" s="1083"/>
      <c r="J1572" s="1117"/>
      <c r="K1572" s="539"/>
      <c r="O1572" s="468"/>
      <c r="R1572" s="489"/>
    </row>
    <row r="1573" spans="1:18" x14ac:dyDescent="0.25">
      <c r="B1573" s="596"/>
      <c r="C1573" s="526">
        <v>1</v>
      </c>
      <c r="D1573" s="467" t="s">
        <v>52</v>
      </c>
      <c r="F1573" s="495"/>
      <c r="G1573" s="553" t="s">
        <v>97</v>
      </c>
      <c r="H1573" s="561">
        <f>SUM(H1560:H1572)</f>
        <v>2175</v>
      </c>
      <c r="I1573" s="477"/>
      <c r="J1573" s="974"/>
      <c r="K1573" s="539"/>
      <c r="O1573" s="468"/>
      <c r="R1573" s="489"/>
    </row>
    <row r="1574" spans="1:18" x14ac:dyDescent="0.25">
      <c r="B1574" s="596"/>
      <c r="C1574" s="526">
        <v>1</v>
      </c>
      <c r="D1574" s="467" t="s">
        <v>21</v>
      </c>
      <c r="F1574" s="495"/>
      <c r="G1574" s="553" t="s">
        <v>105</v>
      </c>
      <c r="H1574" s="561">
        <f>H1573*$M$153</f>
        <v>435</v>
      </c>
      <c r="I1574" s="477"/>
      <c r="J1574" s="974"/>
      <c r="K1574" s="539"/>
      <c r="O1574" s="468"/>
      <c r="R1574" s="489"/>
    </row>
    <row r="1575" spans="1:18" x14ac:dyDescent="0.25">
      <c r="B1575" s="562"/>
      <c r="C1575" s="527" t="s">
        <v>17</v>
      </c>
      <c r="D1575" s="522" t="s">
        <v>48</v>
      </c>
      <c r="E1575" s="523"/>
      <c r="F1575" s="524"/>
      <c r="G1575" s="553" t="s">
        <v>452</v>
      </c>
      <c r="H1575" s="561">
        <f>SUM(H1573:H1574)</f>
        <v>2610</v>
      </c>
      <c r="I1575" s="477"/>
      <c r="J1575" s="974"/>
      <c r="K1575" s="539"/>
      <c r="O1575" s="468"/>
      <c r="R1575" s="489"/>
    </row>
    <row r="1576" spans="1:18" x14ac:dyDescent="0.25">
      <c r="G1576" s="477"/>
      <c r="H1576" s="477"/>
      <c r="I1576" s="477"/>
      <c r="J1576" s="974"/>
      <c r="K1576" s="539"/>
      <c r="O1576" s="468"/>
      <c r="R1576" s="489"/>
    </row>
    <row r="1577" spans="1:18" s="467" customFormat="1" x14ac:dyDescent="0.2">
      <c r="A1577" s="463"/>
      <c r="B1577" s="555" t="s">
        <v>6</v>
      </c>
      <c r="C1577" s="515" t="s">
        <v>0</v>
      </c>
      <c r="D1577" s="556" t="s">
        <v>8</v>
      </c>
      <c r="E1577" s="525" t="s">
        <v>4</v>
      </c>
      <c r="F1577" s="556" t="s">
        <v>3</v>
      </c>
      <c r="G1577" s="477"/>
      <c r="H1577" s="477"/>
      <c r="I1577" s="477"/>
      <c r="J1577" s="974"/>
      <c r="K1577" s="539"/>
      <c r="Q1577" s="465"/>
    </row>
    <row r="1578" spans="1:18" x14ac:dyDescent="0.25">
      <c r="A1578" s="463">
        <v>153</v>
      </c>
      <c r="B1578" s="1118">
        <f>+B91</f>
        <v>4.2399999999999949</v>
      </c>
      <c r="C1578" s="1099">
        <f>+C91</f>
        <v>1</v>
      </c>
      <c r="D1578" s="1118" t="str">
        <f>+D91</f>
        <v>TABLERO BUSBAR - TIPO 14 (C2.1)</v>
      </c>
      <c r="E1578" s="517">
        <f>+H1594</f>
        <v>2037.6</v>
      </c>
      <c r="F1578" s="518">
        <f>+E1578*C1578</f>
        <v>2037.6</v>
      </c>
      <c r="G1578" s="553" t="s">
        <v>450</v>
      </c>
      <c r="H1578" s="553" t="s">
        <v>1</v>
      </c>
      <c r="I1578" s="477"/>
      <c r="J1578" s="974"/>
      <c r="K1578" s="539"/>
      <c r="O1578" s="468"/>
    </row>
    <row r="1579" spans="1:18" x14ac:dyDescent="0.25">
      <c r="B1579" s="1078"/>
      <c r="C1579" s="1100"/>
      <c r="D1579" s="1078"/>
      <c r="E1579" s="519" t="s">
        <v>50</v>
      </c>
      <c r="F1579" s="520" t="s">
        <v>50</v>
      </c>
      <c r="G1579" s="553" t="s">
        <v>50</v>
      </c>
      <c r="H1579" s="553" t="s">
        <v>50</v>
      </c>
      <c r="I1579" s="477"/>
      <c r="J1579" s="974"/>
      <c r="K1579" s="539"/>
      <c r="O1579" s="468"/>
    </row>
    <row r="1580" spans="1:18" ht="16.5" thickBot="1" x14ac:dyDescent="0.3">
      <c r="B1580" s="596"/>
      <c r="C1580" s="526"/>
      <c r="F1580" s="495"/>
      <c r="G1580" s="561"/>
      <c r="H1580" s="561"/>
      <c r="I1580" s="477"/>
      <c r="J1580" s="974"/>
      <c r="K1580" s="539"/>
      <c r="O1580" s="468"/>
      <c r="R1580" s="489"/>
    </row>
    <row r="1581" spans="1:18" ht="16.5" thickBot="1" x14ac:dyDescent="0.3">
      <c r="B1581" s="596"/>
      <c r="C1581" s="526">
        <v>1</v>
      </c>
      <c r="D1581" s="539" t="str">
        <f>+'Precios Equipos'!C193</f>
        <v>Gabinete Autosoportado 2100x800x600mm. (Alto x ancho x profundidad)</v>
      </c>
      <c r="F1581" s="495"/>
      <c r="G1581" s="561">
        <f>VLOOKUP(D1581,'Precios Equipos'!$C$11:$F$208,3,0)</f>
        <v>17</v>
      </c>
      <c r="H1581" s="561">
        <f t="shared" ref="H1581" si="162">G1581*C1581</f>
        <v>17</v>
      </c>
      <c r="I1581" s="561">
        <f>+H1581</f>
        <v>17</v>
      </c>
      <c r="J1581" s="975">
        <f>+I1581/H1592</f>
        <v>1.0011778563015312E-2</v>
      </c>
      <c r="K1581" s="539"/>
      <c r="L1581" s="540" t="s">
        <v>451</v>
      </c>
      <c r="M1581" s="541"/>
      <c r="O1581" s="468"/>
      <c r="Q1581" s="465">
        <f>+C1581*$C$1578</f>
        <v>1</v>
      </c>
      <c r="R1581" s="489"/>
    </row>
    <row r="1582" spans="1:18" ht="16.5" thickBot="1" x14ac:dyDescent="0.3">
      <c r="B1582" s="596"/>
      <c r="C1582" s="526"/>
      <c r="F1582" s="495"/>
      <c r="G1582" s="561"/>
      <c r="H1582" s="561"/>
      <c r="I1582" s="477"/>
      <c r="J1582" s="974"/>
      <c r="K1582" s="539"/>
      <c r="L1582" s="542" t="s">
        <v>88</v>
      </c>
      <c r="M1582" s="543" t="s">
        <v>85</v>
      </c>
      <c r="O1582" s="468"/>
      <c r="R1582" s="489"/>
    </row>
    <row r="1583" spans="1:18" x14ac:dyDescent="0.25">
      <c r="B1583" s="596"/>
      <c r="C1583" s="526"/>
      <c r="D1583" s="620" t="s">
        <v>568</v>
      </c>
      <c r="F1583" s="495"/>
      <c r="G1583" s="561"/>
      <c r="H1583" s="561"/>
      <c r="I1583" s="477"/>
      <c r="J1583" s="974"/>
      <c r="K1583" s="539"/>
      <c r="L1583" s="544" t="str">
        <f>+'Precios Equipos'!C122</f>
        <v>COBRE BUS BAR TIPO 14 (C01;G01), (C02;G01), (C01;G03), (C02;G03), (C03;G01), (C03;G03)</v>
      </c>
      <c r="M1583" s="545">
        <f>IFERROR(VLOOKUP(L1583,'Precios Equipos'!$C$11:$F$208,3,0),0)</f>
        <v>14</v>
      </c>
      <c r="O1583" s="468"/>
      <c r="R1583" s="489"/>
    </row>
    <row r="1584" spans="1:18" x14ac:dyDescent="0.25">
      <c r="B1584" s="596"/>
      <c r="C1584" s="526">
        <v>6</v>
      </c>
      <c r="D1584" s="467" t="str">
        <f>+'Precios Equipos'!C46</f>
        <v>ITM 3x320A, Caja Moldeada (128-320)A, 70kA en 220V, XT5N, ABB, DC</v>
      </c>
      <c r="F1584" s="495"/>
      <c r="G1584" s="561">
        <f>VLOOKUP(D1584,'Precios Equipos'!$C$25:$F$208,3,0)</f>
        <v>72</v>
      </c>
      <c r="H1584" s="561">
        <f t="shared" ref="H1584:H1586" si="163">G1584*C1584</f>
        <v>432</v>
      </c>
      <c r="I1584" s="1081">
        <f>SUM(H1584:H1586)</f>
        <v>1604</v>
      </c>
      <c r="J1584" s="1121">
        <f>+I1584/H1592</f>
        <v>0.94464075382803303</v>
      </c>
      <c r="K1584" s="539"/>
      <c r="L1584" s="544" t="str">
        <f>+'Precios Equipos'!C157</f>
        <v>M. Obra Electricidad BUS BAR TIPO 14 (C01;G01), (C02;G01), (C01;G03), (C02;G03), (C03;G01), (C03;G03)</v>
      </c>
      <c r="M1584" s="545">
        <f>IFERROR(VLOOKUP(L1584,'Precios Equipos'!$C$11:$F$208,3,0),0)</f>
        <v>0</v>
      </c>
      <c r="O1584" s="468"/>
      <c r="Q1584" s="465">
        <f>+C1584*$C$1578</f>
        <v>6</v>
      </c>
      <c r="R1584" s="489"/>
    </row>
    <row r="1585" spans="1:18" ht="16.5" thickBot="1" x14ac:dyDescent="0.3">
      <c r="B1585" s="596"/>
      <c r="C1585" s="526">
        <v>4</v>
      </c>
      <c r="D1585" s="467" t="str">
        <f>+'Precios Equipos'!C64</f>
        <v>Seccionador Portafusible XLP1-1P-2BC, 250A, 1SEP600116R0002, ABB</v>
      </c>
      <c r="F1585" s="495"/>
      <c r="G1585" s="561">
        <f>VLOOKUP(D1585,'Precios Equipos'!$C$25:$F$208,3,0)</f>
        <v>148</v>
      </c>
      <c r="H1585" s="561">
        <f t="shared" si="163"/>
        <v>592</v>
      </c>
      <c r="I1585" s="1082"/>
      <c r="J1585" s="1122"/>
      <c r="K1585" s="539"/>
      <c r="L1585" s="544" t="str">
        <f>+'Precios Equipos'!$C$205</f>
        <v>Diseño Ingenieria Tableros Autosoportados</v>
      </c>
      <c r="M1585" s="545">
        <f>IFERROR(VLOOKUP(L1585,'Precios Equipos'!$C$11:$F$208,3,0),0)</f>
        <v>63</v>
      </c>
      <c r="O1585" s="468"/>
      <c r="Q1585" s="465">
        <f>+C1585*$C$1578</f>
        <v>4</v>
      </c>
      <c r="R1585" s="489"/>
    </row>
    <row r="1586" spans="1:18" ht="16.5" thickBot="1" x14ac:dyDescent="0.3">
      <c r="B1586" s="596"/>
      <c r="C1586" s="526">
        <v>4</v>
      </c>
      <c r="D1586" s="467" t="str">
        <f>+'Precios Equipos'!$C$65</f>
        <v>Fusible tipo NH1 250A</v>
      </c>
      <c r="F1586" s="495"/>
      <c r="G1586" s="561">
        <f>VLOOKUP(D1586,'Precios Equipos'!$C$11:$F$208,3,0)</f>
        <v>145</v>
      </c>
      <c r="H1586" s="561">
        <f t="shared" si="163"/>
        <v>580</v>
      </c>
      <c r="I1586" s="1083"/>
      <c r="J1586" s="1123"/>
      <c r="K1586" s="539"/>
      <c r="L1586" s="546" t="s">
        <v>89</v>
      </c>
      <c r="M1586" s="560">
        <f>SUM(M1583:M1585)</f>
        <v>77</v>
      </c>
      <c r="O1586" s="468"/>
      <c r="Q1586" s="465">
        <f>+C1586*$C$1578</f>
        <v>4</v>
      </c>
      <c r="R1586" s="489"/>
    </row>
    <row r="1587" spans="1:18" x14ac:dyDescent="0.25">
      <c r="B1587" s="596"/>
      <c r="C1587" s="526"/>
      <c r="F1587" s="495"/>
      <c r="G1587" s="561"/>
      <c r="H1587" s="561"/>
      <c r="I1587" s="477"/>
      <c r="J1587" s="974"/>
      <c r="K1587" s="539"/>
      <c r="O1587" s="468"/>
      <c r="R1587" s="489"/>
    </row>
    <row r="1588" spans="1:18" x14ac:dyDescent="0.25">
      <c r="B1588" s="596"/>
      <c r="C1588" s="526"/>
      <c r="D1588" s="620" t="s">
        <v>87</v>
      </c>
      <c r="F1588" s="495"/>
      <c r="G1588" s="561"/>
      <c r="H1588" s="561"/>
      <c r="I1588" s="477"/>
      <c r="J1588" s="974"/>
      <c r="K1588" s="539"/>
      <c r="O1588" s="468"/>
      <c r="R1588" s="489"/>
    </row>
    <row r="1589" spans="1:18" x14ac:dyDescent="0.25">
      <c r="B1589" s="596"/>
      <c r="C1589" s="526">
        <v>1</v>
      </c>
      <c r="D1589" s="494" t="s">
        <v>49</v>
      </c>
      <c r="F1589" s="495"/>
      <c r="G1589" s="561"/>
      <c r="H1589" s="561">
        <f>+M1586</f>
        <v>77</v>
      </c>
      <c r="I1589" s="561">
        <f>+H1589</f>
        <v>77</v>
      </c>
      <c r="J1589" s="975">
        <f>+I1589/H1592</f>
        <v>4.5347467608951711E-2</v>
      </c>
      <c r="K1589" s="539"/>
      <c r="O1589" s="468"/>
      <c r="R1589" s="489"/>
    </row>
    <row r="1590" spans="1:18" x14ac:dyDescent="0.25">
      <c r="B1590" s="596"/>
      <c r="C1590" s="526">
        <v>1</v>
      </c>
      <c r="D1590" s="494" t="s">
        <v>51</v>
      </c>
      <c r="F1590" s="495"/>
      <c r="G1590" s="561"/>
      <c r="H1590" s="561"/>
      <c r="I1590" s="1081">
        <f>SUM(H1590:H1591)</f>
        <v>0</v>
      </c>
      <c r="J1590" s="1116">
        <f>+I1590/H1592</f>
        <v>0</v>
      </c>
      <c r="K1590" s="539"/>
      <c r="O1590" s="468"/>
      <c r="R1590" s="489"/>
    </row>
    <row r="1591" spans="1:18" x14ac:dyDescent="0.25">
      <c r="B1591" s="596"/>
      <c r="C1591" s="526">
        <v>1</v>
      </c>
      <c r="D1591" s="467" t="s">
        <v>20</v>
      </c>
      <c r="F1591" s="495"/>
      <c r="G1591" s="561"/>
      <c r="H1591" s="561"/>
      <c r="I1591" s="1083"/>
      <c r="J1591" s="1117"/>
      <c r="K1591" s="539"/>
      <c r="O1591" s="468"/>
      <c r="R1591" s="489"/>
    </row>
    <row r="1592" spans="1:18" x14ac:dyDescent="0.25">
      <c r="B1592" s="596"/>
      <c r="C1592" s="526">
        <v>1</v>
      </c>
      <c r="D1592" s="467" t="s">
        <v>52</v>
      </c>
      <c r="F1592" s="495"/>
      <c r="G1592" s="553" t="s">
        <v>97</v>
      </c>
      <c r="H1592" s="561">
        <f>SUM(H1580:H1591)</f>
        <v>1698</v>
      </c>
      <c r="I1592" s="477"/>
      <c r="J1592" s="974"/>
      <c r="K1592" s="539"/>
      <c r="O1592" s="468"/>
      <c r="R1592" s="489"/>
    </row>
    <row r="1593" spans="1:18" x14ac:dyDescent="0.25">
      <c r="B1593" s="596"/>
      <c r="C1593" s="526">
        <v>1</v>
      </c>
      <c r="D1593" s="467" t="s">
        <v>21</v>
      </c>
      <c r="F1593" s="495"/>
      <c r="G1593" s="553" t="s">
        <v>105</v>
      </c>
      <c r="H1593" s="561">
        <f>H1592*$M$153</f>
        <v>339.6</v>
      </c>
      <c r="I1593" s="477"/>
      <c r="J1593" s="974"/>
      <c r="K1593" s="539"/>
      <c r="O1593" s="468"/>
      <c r="R1593" s="489"/>
    </row>
    <row r="1594" spans="1:18" x14ac:dyDescent="0.25">
      <c r="B1594" s="562"/>
      <c r="C1594" s="527" t="s">
        <v>17</v>
      </c>
      <c r="D1594" s="522" t="s">
        <v>48</v>
      </c>
      <c r="E1594" s="523"/>
      <c r="F1594" s="524"/>
      <c r="G1594" s="553" t="s">
        <v>452</v>
      </c>
      <c r="H1594" s="561">
        <f>SUM(H1592:H1593)</f>
        <v>2037.6</v>
      </c>
      <c r="I1594" s="477"/>
      <c r="J1594" s="974"/>
      <c r="K1594" s="539"/>
      <c r="O1594" s="468"/>
      <c r="R1594" s="489"/>
    </row>
    <row r="1595" spans="1:18" x14ac:dyDescent="0.25">
      <c r="G1595" s="477"/>
      <c r="H1595" s="477"/>
      <c r="I1595" s="477"/>
      <c r="J1595" s="974"/>
      <c r="K1595" s="539"/>
      <c r="O1595" s="468"/>
      <c r="R1595" s="489"/>
    </row>
    <row r="1596" spans="1:18" s="467" customFormat="1" x14ac:dyDescent="0.2">
      <c r="A1596" s="463"/>
      <c r="B1596" s="555" t="s">
        <v>6</v>
      </c>
      <c r="C1596" s="515" t="s">
        <v>0</v>
      </c>
      <c r="D1596" s="556" t="s">
        <v>8</v>
      </c>
      <c r="E1596" s="525" t="s">
        <v>4</v>
      </c>
      <c r="F1596" s="556" t="s">
        <v>3</v>
      </c>
      <c r="G1596" s="477"/>
      <c r="H1596" s="477"/>
      <c r="I1596" s="477"/>
      <c r="J1596" s="974"/>
      <c r="K1596" s="539"/>
      <c r="Q1596" s="465"/>
    </row>
    <row r="1597" spans="1:18" x14ac:dyDescent="0.25">
      <c r="A1597" s="463">
        <v>153</v>
      </c>
      <c r="B1597" s="1077">
        <f>+B92</f>
        <v>4.2499999999999947</v>
      </c>
      <c r="C1597" s="1077">
        <f>+C92</f>
        <v>1</v>
      </c>
      <c r="D1597" s="1077" t="str">
        <f>+D92</f>
        <v>TABLERO BUSBAR - TIPO 14 (C2.2)</v>
      </c>
      <c r="E1597" s="517">
        <f>+H1614</f>
        <v>2610</v>
      </c>
      <c r="F1597" s="518">
        <f>+E1597*C1597</f>
        <v>2610</v>
      </c>
      <c r="G1597" s="553" t="s">
        <v>450</v>
      </c>
      <c r="H1597" s="553" t="s">
        <v>1</v>
      </c>
      <c r="I1597" s="477"/>
      <c r="J1597" s="974"/>
      <c r="K1597" s="539"/>
      <c r="O1597" s="468"/>
    </row>
    <row r="1598" spans="1:18" x14ac:dyDescent="0.25">
      <c r="B1598" s="1078"/>
      <c r="C1598" s="1078"/>
      <c r="D1598" s="1078"/>
      <c r="E1598" s="519" t="s">
        <v>50</v>
      </c>
      <c r="F1598" s="520" t="s">
        <v>50</v>
      </c>
      <c r="G1598" s="553" t="s">
        <v>50</v>
      </c>
      <c r="H1598" s="553" t="s">
        <v>50</v>
      </c>
      <c r="I1598" s="477"/>
      <c r="J1598" s="974"/>
      <c r="K1598" s="539"/>
      <c r="O1598" s="468"/>
    </row>
    <row r="1599" spans="1:18" x14ac:dyDescent="0.25">
      <c r="B1599" s="596"/>
      <c r="C1599" s="526"/>
      <c r="F1599" s="495"/>
      <c r="G1599" s="561"/>
      <c r="H1599" s="561"/>
      <c r="I1599" s="477"/>
      <c r="J1599" s="974"/>
      <c r="K1599" s="539"/>
      <c r="O1599" s="468"/>
      <c r="R1599" s="489"/>
    </row>
    <row r="1600" spans="1:18" ht="16.5" thickBot="1" x14ac:dyDescent="0.3">
      <c r="B1600" s="596"/>
      <c r="C1600" s="526">
        <v>1</v>
      </c>
      <c r="D1600" s="539" t="str">
        <f>+'Precios Equipos'!C193</f>
        <v>Gabinete Autosoportado 2100x800x600mm. (Alto x ancho x profundidad)</v>
      </c>
      <c r="F1600" s="495"/>
      <c r="G1600" s="561">
        <f>VLOOKUP(D1600,'Precios Equipos'!$C$11:$F$208,3,0)</f>
        <v>17</v>
      </c>
      <c r="H1600" s="561">
        <f t="shared" ref="H1600" si="164">G1600*C1600</f>
        <v>17</v>
      </c>
      <c r="I1600" s="561">
        <f>+H1600</f>
        <v>17</v>
      </c>
      <c r="J1600" s="975">
        <f>+I1600/H1612</f>
        <v>7.8160919540229881E-3</v>
      </c>
      <c r="K1600" s="539"/>
      <c r="O1600" s="468"/>
      <c r="Q1600" s="465">
        <f>+C1600*$C$1597</f>
        <v>1</v>
      </c>
      <c r="R1600" s="489"/>
    </row>
    <row r="1601" spans="1:18" ht="16.5" thickBot="1" x14ac:dyDescent="0.3">
      <c r="B1601" s="596"/>
      <c r="C1601" s="526"/>
      <c r="F1601" s="495"/>
      <c r="G1601" s="561"/>
      <c r="H1601" s="561"/>
      <c r="I1601" s="477"/>
      <c r="J1601" s="974"/>
      <c r="K1601" s="539"/>
      <c r="L1601" s="540" t="s">
        <v>451</v>
      </c>
      <c r="M1601" s="541"/>
      <c r="O1601" s="468"/>
      <c r="R1601" s="489"/>
    </row>
    <row r="1602" spans="1:18" ht="16.5" thickBot="1" x14ac:dyDescent="0.3">
      <c r="B1602" s="596"/>
      <c r="C1602" s="526"/>
      <c r="D1602" s="620" t="s">
        <v>568</v>
      </c>
      <c r="F1602" s="495"/>
      <c r="G1602" s="561"/>
      <c r="H1602" s="561"/>
      <c r="I1602" s="477"/>
      <c r="J1602" s="974"/>
      <c r="K1602" s="539"/>
      <c r="L1602" s="542" t="s">
        <v>88</v>
      </c>
      <c r="M1602" s="543" t="s">
        <v>85</v>
      </c>
      <c r="O1602" s="468"/>
      <c r="R1602" s="489"/>
    </row>
    <row r="1603" spans="1:18" x14ac:dyDescent="0.25">
      <c r="B1603" s="596"/>
      <c r="C1603" s="526">
        <v>6</v>
      </c>
      <c r="D1603" s="467" t="str">
        <f>+'Precios Equipos'!C46</f>
        <v>ITM 3x320A, Caja Moldeada (128-320)A, 70kA en 220V, XT5N, ABB, DC</v>
      </c>
      <c r="F1603" s="495"/>
      <c r="G1603" s="561">
        <f>VLOOKUP(D1603,'Precios Equipos'!$C$25:$F$208,3,0)</f>
        <v>72</v>
      </c>
      <c r="H1603" s="561">
        <f t="shared" ref="H1603:H1606" si="165">G1603*C1603</f>
        <v>432</v>
      </c>
      <c r="I1603" s="1081">
        <f>SUM(H1603:H1606)</f>
        <v>2081</v>
      </c>
      <c r="J1603" s="1116">
        <f>+I1603/H1612</f>
        <v>0.95678160919540234</v>
      </c>
      <c r="K1603" s="539"/>
      <c r="L1603" s="544" t="str">
        <f>+'Precios Equipos'!C122</f>
        <v>COBRE BUS BAR TIPO 14 (C01;G01), (C02;G01), (C01;G03), (C02;G03), (C03;G01), (C03;G03)</v>
      </c>
      <c r="M1603" s="545">
        <f>IFERROR(VLOOKUP(L1603,'Precios Equipos'!$C$11:$F$208,3,0),0)</f>
        <v>14</v>
      </c>
      <c r="O1603" s="468"/>
      <c r="Q1603" s="465">
        <f>+C1603*$C$1597</f>
        <v>6</v>
      </c>
      <c r="R1603" s="489"/>
    </row>
    <row r="1604" spans="1:18" x14ac:dyDescent="0.25">
      <c r="B1604" s="596"/>
      <c r="C1604" s="526">
        <v>2</v>
      </c>
      <c r="D1604" s="467" t="str">
        <f>+'Precios Equipos'!C43</f>
        <v>ITM 2x160A, Caja Moldeada 160A, 50kA en 220V, A2N 250, ABB, DC</v>
      </c>
      <c r="F1604" s="495"/>
      <c r="G1604" s="561">
        <f>VLOOKUP(D1604,'Precios Equipos'!$C$25:$F$208,3,0)</f>
        <v>92</v>
      </c>
      <c r="H1604" s="561">
        <f t="shared" si="165"/>
        <v>184</v>
      </c>
      <c r="I1604" s="1082"/>
      <c r="J1604" s="1129"/>
      <c r="K1604" s="539"/>
      <c r="L1604" s="544" t="str">
        <f>+'Precios Equipos'!C157</f>
        <v>M. Obra Electricidad BUS BAR TIPO 14 (C01;G01), (C02;G01), (C01;G03), (C02;G03), (C03;G01), (C03;G03)</v>
      </c>
      <c r="M1604" s="545">
        <f>IFERROR(VLOOKUP(L1604,'Precios Equipos'!$C$11:$F$208,3,0),0)</f>
        <v>0</v>
      </c>
      <c r="O1604" s="468"/>
      <c r="Q1604" s="465">
        <f>+C1604*$C$1597</f>
        <v>2</v>
      </c>
      <c r="R1604" s="489"/>
    </row>
    <row r="1605" spans="1:18" ht="16.5" thickBot="1" x14ac:dyDescent="0.3">
      <c r="B1605" s="596"/>
      <c r="C1605" s="526">
        <v>5</v>
      </c>
      <c r="D1605" s="467" t="str">
        <f>+'Precios Equipos'!C64</f>
        <v>Seccionador Portafusible XLP1-1P-2BC, 250A, 1SEP600116R0002, ABB</v>
      </c>
      <c r="F1605" s="495"/>
      <c r="G1605" s="561">
        <f>VLOOKUP(D1605,'Precios Equipos'!$C$25:$F$208,3,0)</f>
        <v>148</v>
      </c>
      <c r="H1605" s="561">
        <f t="shared" si="165"/>
        <v>740</v>
      </c>
      <c r="I1605" s="1082"/>
      <c r="J1605" s="1129"/>
      <c r="K1605" s="539"/>
      <c r="L1605" s="544" t="str">
        <f>+'Precios Equipos'!$C$205</f>
        <v>Diseño Ingenieria Tableros Autosoportados</v>
      </c>
      <c r="M1605" s="545">
        <f>IFERROR(VLOOKUP(L1605,'Precios Equipos'!$C$11:$F$208,3,0),0)</f>
        <v>63</v>
      </c>
      <c r="O1605" s="468"/>
      <c r="Q1605" s="465">
        <f>+C1605*$C$1597</f>
        <v>5</v>
      </c>
      <c r="R1605" s="489"/>
    </row>
    <row r="1606" spans="1:18" ht="16.5" thickBot="1" x14ac:dyDescent="0.3">
      <c r="B1606" s="596"/>
      <c r="C1606" s="526">
        <v>5</v>
      </c>
      <c r="D1606" s="467" t="str">
        <f>+'Precios Equipos'!$C$65</f>
        <v>Fusible tipo NH1 250A</v>
      </c>
      <c r="F1606" s="495"/>
      <c r="G1606" s="561">
        <f>VLOOKUP(D1606,'Precios Equipos'!$C$11:$F$208,3,0)</f>
        <v>145</v>
      </c>
      <c r="H1606" s="561">
        <f t="shared" si="165"/>
        <v>725</v>
      </c>
      <c r="I1606" s="1083"/>
      <c r="J1606" s="1117"/>
      <c r="K1606" s="539"/>
      <c r="L1606" s="546" t="s">
        <v>89</v>
      </c>
      <c r="M1606" s="560">
        <f>SUM(M1603:M1605)</f>
        <v>77</v>
      </c>
      <c r="O1606" s="468"/>
      <c r="Q1606" s="465">
        <f>+C1606*$C$1597</f>
        <v>5</v>
      </c>
      <c r="R1606" s="489"/>
    </row>
    <row r="1607" spans="1:18" x14ac:dyDescent="0.25">
      <c r="B1607" s="596"/>
      <c r="C1607" s="526"/>
      <c r="F1607" s="495"/>
      <c r="G1607" s="561"/>
      <c r="H1607" s="561"/>
      <c r="I1607" s="477"/>
      <c r="J1607" s="974"/>
      <c r="K1607" s="539"/>
      <c r="O1607" s="468"/>
      <c r="R1607" s="489"/>
    </row>
    <row r="1608" spans="1:18" x14ac:dyDescent="0.25">
      <c r="B1608" s="596"/>
      <c r="C1608" s="526"/>
      <c r="D1608" s="620" t="s">
        <v>87</v>
      </c>
      <c r="F1608" s="495"/>
      <c r="G1608" s="561"/>
      <c r="H1608" s="561"/>
      <c r="I1608" s="477"/>
      <c r="J1608" s="974"/>
      <c r="K1608" s="539"/>
      <c r="O1608" s="468"/>
      <c r="R1608" s="489"/>
    </row>
    <row r="1609" spans="1:18" x14ac:dyDescent="0.25">
      <c r="B1609" s="596"/>
      <c r="C1609" s="526">
        <v>1</v>
      </c>
      <c r="D1609" s="494" t="s">
        <v>49</v>
      </c>
      <c r="F1609" s="495"/>
      <c r="G1609" s="561"/>
      <c r="H1609" s="561">
        <f>+M1606</f>
        <v>77</v>
      </c>
      <c r="I1609" s="561">
        <f>+H1609</f>
        <v>77</v>
      </c>
      <c r="J1609" s="975">
        <f>+I1609/H1612</f>
        <v>3.5402298850574714E-2</v>
      </c>
      <c r="K1609" s="539"/>
      <c r="O1609" s="468"/>
      <c r="R1609" s="489"/>
    </row>
    <row r="1610" spans="1:18" x14ac:dyDescent="0.25">
      <c r="B1610" s="596"/>
      <c r="C1610" s="526">
        <v>1</v>
      </c>
      <c r="D1610" s="494" t="s">
        <v>51</v>
      </c>
      <c r="F1610" s="495"/>
      <c r="G1610" s="561"/>
      <c r="H1610" s="561"/>
      <c r="I1610" s="1081">
        <f>SUM(H1610:H1611)</f>
        <v>0</v>
      </c>
      <c r="J1610" s="1116">
        <f>+I1610/H1612</f>
        <v>0</v>
      </c>
      <c r="K1610" s="539"/>
      <c r="O1610" s="468"/>
      <c r="R1610" s="489"/>
    </row>
    <row r="1611" spans="1:18" x14ac:dyDescent="0.25">
      <c r="B1611" s="596"/>
      <c r="C1611" s="526">
        <v>1</v>
      </c>
      <c r="D1611" s="467" t="s">
        <v>20</v>
      </c>
      <c r="F1611" s="495"/>
      <c r="G1611" s="561"/>
      <c r="H1611" s="561"/>
      <c r="I1611" s="1083"/>
      <c r="J1611" s="1117"/>
      <c r="K1611" s="539"/>
      <c r="O1611" s="468"/>
      <c r="R1611" s="489"/>
    </row>
    <row r="1612" spans="1:18" x14ac:dyDescent="0.25">
      <c r="B1612" s="596"/>
      <c r="C1612" s="526">
        <v>1</v>
      </c>
      <c r="D1612" s="467" t="s">
        <v>52</v>
      </c>
      <c r="F1612" s="495"/>
      <c r="G1612" s="553" t="s">
        <v>97</v>
      </c>
      <c r="H1612" s="561">
        <f>SUM(H1599:H1611)</f>
        <v>2175</v>
      </c>
      <c r="I1612" s="477"/>
      <c r="J1612" s="974"/>
      <c r="K1612" s="539"/>
      <c r="O1612" s="468"/>
      <c r="R1612" s="489"/>
    </row>
    <row r="1613" spans="1:18" x14ac:dyDescent="0.25">
      <c r="B1613" s="596"/>
      <c r="C1613" s="526">
        <v>1</v>
      </c>
      <c r="D1613" s="467" t="s">
        <v>21</v>
      </c>
      <c r="F1613" s="495"/>
      <c r="G1613" s="553" t="s">
        <v>105</v>
      </c>
      <c r="H1613" s="561">
        <f>H1612*$M$153</f>
        <v>435</v>
      </c>
      <c r="I1613" s="477"/>
      <c r="J1613" s="974"/>
      <c r="K1613" s="539"/>
      <c r="O1613" s="468"/>
      <c r="R1613" s="489"/>
    </row>
    <row r="1614" spans="1:18" x14ac:dyDescent="0.25">
      <c r="B1614" s="562"/>
      <c r="C1614" s="527" t="s">
        <v>17</v>
      </c>
      <c r="D1614" s="522" t="s">
        <v>48</v>
      </c>
      <c r="E1614" s="523"/>
      <c r="F1614" s="524"/>
      <c r="G1614" s="553" t="s">
        <v>452</v>
      </c>
      <c r="H1614" s="561">
        <f>SUM(H1612:H1613)</f>
        <v>2610</v>
      </c>
      <c r="I1614" s="477"/>
      <c r="J1614" s="974"/>
      <c r="K1614" s="539"/>
      <c r="O1614" s="468"/>
      <c r="R1614" s="489"/>
    </row>
    <row r="1615" spans="1:18" x14ac:dyDescent="0.25">
      <c r="G1615" s="477"/>
      <c r="H1615" s="477"/>
      <c r="I1615" s="477"/>
      <c r="J1615" s="974"/>
      <c r="K1615" s="539"/>
      <c r="O1615" s="468"/>
      <c r="R1615" s="489"/>
    </row>
    <row r="1616" spans="1:18" s="467" customFormat="1" x14ac:dyDescent="0.2">
      <c r="A1616" s="463"/>
      <c r="B1616" s="555" t="s">
        <v>6</v>
      </c>
      <c r="C1616" s="515" t="s">
        <v>0</v>
      </c>
      <c r="D1616" s="556" t="s">
        <v>8</v>
      </c>
      <c r="E1616" s="525" t="s">
        <v>4</v>
      </c>
      <c r="F1616" s="556" t="s">
        <v>3</v>
      </c>
      <c r="G1616" s="477"/>
      <c r="H1616" s="477"/>
      <c r="I1616" s="477"/>
      <c r="J1616" s="974"/>
      <c r="K1616" s="539"/>
      <c r="Q1616" s="465"/>
    </row>
    <row r="1617" spans="1:18" x14ac:dyDescent="0.25">
      <c r="A1617" s="463">
        <v>153</v>
      </c>
      <c r="B1617" s="1077">
        <f>+B93</f>
        <v>4.2599999999999945</v>
      </c>
      <c r="C1617" s="1077">
        <f>+C93</f>
        <v>1</v>
      </c>
      <c r="D1617" s="1077" t="str">
        <f>+D93</f>
        <v>TABLERO BUSBAR - TIPO 14 (C2.3)</v>
      </c>
      <c r="E1617" s="517">
        <f>+H1633</f>
        <v>2037.6</v>
      </c>
      <c r="F1617" s="518">
        <f>+E1617*C1617</f>
        <v>2037.6</v>
      </c>
      <c r="G1617" s="553" t="s">
        <v>450</v>
      </c>
      <c r="H1617" s="553" t="s">
        <v>1</v>
      </c>
      <c r="I1617" s="477"/>
      <c r="J1617" s="974"/>
      <c r="K1617" s="539"/>
      <c r="O1617" s="468"/>
    </row>
    <row r="1618" spans="1:18" ht="16.5" thickBot="1" x14ac:dyDescent="0.3">
      <c r="B1618" s="1078"/>
      <c r="C1618" s="1078"/>
      <c r="D1618" s="1078"/>
      <c r="E1618" s="519" t="s">
        <v>50</v>
      </c>
      <c r="F1618" s="520" t="s">
        <v>50</v>
      </c>
      <c r="G1618" s="553" t="s">
        <v>50</v>
      </c>
      <c r="H1618" s="553" t="s">
        <v>50</v>
      </c>
      <c r="I1618" s="477"/>
      <c r="J1618" s="974"/>
      <c r="K1618" s="539"/>
      <c r="O1618" s="468"/>
    </row>
    <row r="1619" spans="1:18" ht="16.5" thickBot="1" x14ac:dyDescent="0.3">
      <c r="B1619" s="596"/>
      <c r="C1619" s="526"/>
      <c r="F1619" s="495"/>
      <c r="G1619" s="561"/>
      <c r="H1619" s="561"/>
      <c r="I1619" s="477"/>
      <c r="J1619" s="974"/>
      <c r="K1619" s="539"/>
      <c r="L1619" s="540" t="s">
        <v>451</v>
      </c>
      <c r="M1619" s="541"/>
      <c r="O1619" s="468"/>
      <c r="R1619" s="489"/>
    </row>
    <row r="1620" spans="1:18" ht="16.5" thickBot="1" x14ac:dyDescent="0.3">
      <c r="B1620" s="596"/>
      <c r="C1620" s="526">
        <v>1</v>
      </c>
      <c r="D1620" s="539" t="str">
        <f>+'Precios Equipos'!C193</f>
        <v>Gabinete Autosoportado 2100x800x600mm. (Alto x ancho x profundidad)</v>
      </c>
      <c r="F1620" s="495"/>
      <c r="G1620" s="561">
        <f>VLOOKUP(D1620,'Precios Equipos'!$C$11:$F$208,3,0)</f>
        <v>17</v>
      </c>
      <c r="H1620" s="561">
        <f t="shared" ref="H1620" si="166">G1620*C1620</f>
        <v>17</v>
      </c>
      <c r="I1620" s="561">
        <f>+H1620</f>
        <v>17</v>
      </c>
      <c r="J1620" s="975">
        <f>+I1620/H1631</f>
        <v>1.0011778563015312E-2</v>
      </c>
      <c r="K1620" s="539"/>
      <c r="L1620" s="542" t="s">
        <v>88</v>
      </c>
      <c r="M1620" s="543" t="s">
        <v>85</v>
      </c>
      <c r="O1620" s="468"/>
      <c r="Q1620" s="465">
        <f>+C1620*$C$1617</f>
        <v>1</v>
      </c>
      <c r="R1620" s="489"/>
    </row>
    <row r="1621" spans="1:18" x14ac:dyDescent="0.25">
      <c r="B1621" s="596"/>
      <c r="C1621" s="526"/>
      <c r="F1621" s="495"/>
      <c r="G1621" s="561"/>
      <c r="H1621" s="561"/>
      <c r="I1621" s="477"/>
      <c r="J1621" s="974"/>
      <c r="K1621" s="539"/>
      <c r="L1621" s="544" t="str">
        <f>+'Precios Equipos'!C122</f>
        <v>COBRE BUS BAR TIPO 14 (C01;G01), (C02;G01), (C01;G03), (C02;G03), (C03;G01), (C03;G03)</v>
      </c>
      <c r="M1621" s="545">
        <f>IFERROR(VLOOKUP(L1621,'Precios Equipos'!$C$11:$F$208,3,0),0)</f>
        <v>14</v>
      </c>
      <c r="O1621" s="468"/>
      <c r="R1621" s="489"/>
    </row>
    <row r="1622" spans="1:18" x14ac:dyDescent="0.25">
      <c r="B1622" s="596"/>
      <c r="C1622" s="526"/>
      <c r="D1622" s="620" t="s">
        <v>568</v>
      </c>
      <c r="F1622" s="495"/>
      <c r="G1622" s="561"/>
      <c r="H1622" s="561"/>
      <c r="I1622" s="477"/>
      <c r="J1622" s="974"/>
      <c r="K1622" s="539"/>
      <c r="L1622" s="544" t="str">
        <f>+'Precios Equipos'!C157</f>
        <v>M. Obra Electricidad BUS BAR TIPO 14 (C01;G01), (C02;G01), (C01;G03), (C02;G03), (C03;G01), (C03;G03)</v>
      </c>
      <c r="M1622" s="545">
        <f>IFERROR(VLOOKUP(L1622,'Precios Equipos'!$C$11:$F$208,3,0),0)</f>
        <v>0</v>
      </c>
      <c r="O1622" s="468"/>
      <c r="R1622" s="489"/>
    </row>
    <row r="1623" spans="1:18" ht="16.5" thickBot="1" x14ac:dyDescent="0.3">
      <c r="B1623" s="596"/>
      <c r="C1623" s="526">
        <v>6</v>
      </c>
      <c r="D1623" s="467" t="str">
        <f>+'Precios Equipos'!C46</f>
        <v>ITM 3x320A, Caja Moldeada (128-320)A, 70kA en 220V, XT5N, ABB, DC</v>
      </c>
      <c r="F1623" s="495"/>
      <c r="G1623" s="561">
        <f>VLOOKUP(D1623,'Precios Equipos'!$C$25:$F$208,3,0)</f>
        <v>72</v>
      </c>
      <c r="H1623" s="561">
        <f t="shared" ref="H1623:H1625" si="167">G1623*C1623</f>
        <v>432</v>
      </c>
      <c r="I1623" s="1081">
        <f>SUM(H1623:H1625)</f>
        <v>1604</v>
      </c>
      <c r="J1623" s="1121">
        <f>+I1623/H1631</f>
        <v>0.94464075382803303</v>
      </c>
      <c r="K1623" s="539"/>
      <c r="L1623" s="544" t="str">
        <f>+'Precios Equipos'!$C$205</f>
        <v>Diseño Ingenieria Tableros Autosoportados</v>
      </c>
      <c r="M1623" s="545">
        <f>IFERROR(VLOOKUP(L1623,'Precios Equipos'!$C$11:$F$208,3,0),0)</f>
        <v>63</v>
      </c>
      <c r="O1623" s="468"/>
      <c r="Q1623" s="465">
        <f>+C1623*$C$1617</f>
        <v>6</v>
      </c>
      <c r="R1623" s="489"/>
    </row>
    <row r="1624" spans="1:18" ht="16.5" thickBot="1" x14ac:dyDescent="0.3">
      <c r="B1624" s="596"/>
      <c r="C1624" s="526">
        <v>4</v>
      </c>
      <c r="D1624" s="467" t="str">
        <f>+'Precios Equipos'!C64</f>
        <v>Seccionador Portafusible XLP1-1P-2BC, 250A, 1SEP600116R0002, ABB</v>
      </c>
      <c r="F1624" s="495"/>
      <c r="G1624" s="561">
        <f>VLOOKUP(D1624,'Precios Equipos'!$C$25:$F$208,3,0)</f>
        <v>148</v>
      </c>
      <c r="H1624" s="561">
        <f t="shared" si="167"/>
        <v>592</v>
      </c>
      <c r="I1624" s="1082"/>
      <c r="J1624" s="1122"/>
      <c r="K1624" s="539"/>
      <c r="L1624" s="546" t="s">
        <v>89</v>
      </c>
      <c r="M1624" s="560">
        <f>SUM(M1621:M1623)</f>
        <v>77</v>
      </c>
      <c r="O1624" s="468"/>
      <c r="Q1624" s="465">
        <f>+C1624*$C$1617</f>
        <v>4</v>
      </c>
      <c r="R1624" s="489"/>
    </row>
    <row r="1625" spans="1:18" x14ac:dyDescent="0.25">
      <c r="B1625" s="596"/>
      <c r="C1625" s="526">
        <v>4</v>
      </c>
      <c r="D1625" s="467" t="str">
        <f>+'Precios Equipos'!$C$65</f>
        <v>Fusible tipo NH1 250A</v>
      </c>
      <c r="F1625" s="495"/>
      <c r="G1625" s="561">
        <f>VLOOKUP(D1625,'Precios Equipos'!$C$11:$F$208,3,0)</f>
        <v>145</v>
      </c>
      <c r="H1625" s="561">
        <f t="shared" si="167"/>
        <v>580</v>
      </c>
      <c r="I1625" s="1083"/>
      <c r="J1625" s="1123"/>
      <c r="K1625" s="539"/>
      <c r="O1625" s="468"/>
      <c r="Q1625" s="465">
        <f>+C1625*$C$1617</f>
        <v>4</v>
      </c>
      <c r="R1625" s="489"/>
    </row>
    <row r="1626" spans="1:18" x14ac:dyDescent="0.25">
      <c r="B1626" s="596"/>
      <c r="C1626" s="526"/>
      <c r="F1626" s="495"/>
      <c r="G1626" s="561"/>
      <c r="H1626" s="561"/>
      <c r="I1626" s="477"/>
      <c r="J1626" s="974"/>
      <c r="K1626" s="539"/>
      <c r="O1626" s="468"/>
      <c r="R1626" s="489"/>
    </row>
    <row r="1627" spans="1:18" x14ac:dyDescent="0.25">
      <c r="B1627" s="596"/>
      <c r="C1627" s="526"/>
      <c r="D1627" s="620" t="s">
        <v>87</v>
      </c>
      <c r="F1627" s="495"/>
      <c r="G1627" s="561"/>
      <c r="H1627" s="561"/>
      <c r="I1627" s="477"/>
      <c r="J1627" s="974"/>
      <c r="K1627" s="539"/>
      <c r="O1627" s="468"/>
      <c r="R1627" s="489"/>
    </row>
    <row r="1628" spans="1:18" x14ac:dyDescent="0.25">
      <c r="B1628" s="596"/>
      <c r="C1628" s="526">
        <v>1</v>
      </c>
      <c r="D1628" s="494" t="s">
        <v>49</v>
      </c>
      <c r="F1628" s="495"/>
      <c r="G1628" s="561"/>
      <c r="H1628" s="561">
        <f>+M1624</f>
        <v>77</v>
      </c>
      <c r="I1628" s="561">
        <f>+H1628</f>
        <v>77</v>
      </c>
      <c r="J1628" s="975">
        <f>+I1628/H1631</f>
        <v>4.5347467608951711E-2</v>
      </c>
      <c r="K1628" s="539"/>
      <c r="O1628" s="468"/>
      <c r="R1628" s="489"/>
    </row>
    <row r="1629" spans="1:18" x14ac:dyDescent="0.25">
      <c r="B1629" s="596"/>
      <c r="C1629" s="526">
        <v>1</v>
      </c>
      <c r="D1629" s="494" t="s">
        <v>51</v>
      </c>
      <c r="F1629" s="495"/>
      <c r="G1629" s="561"/>
      <c r="H1629" s="561"/>
      <c r="I1629" s="1081">
        <f>SUM(H1629:H1630)</f>
        <v>0</v>
      </c>
      <c r="J1629" s="1116">
        <f>+I1629/H1631</f>
        <v>0</v>
      </c>
      <c r="K1629" s="539"/>
      <c r="O1629" s="468"/>
      <c r="R1629" s="489"/>
    </row>
    <row r="1630" spans="1:18" x14ac:dyDescent="0.25">
      <c r="B1630" s="596"/>
      <c r="C1630" s="526">
        <v>1</v>
      </c>
      <c r="D1630" s="467" t="s">
        <v>20</v>
      </c>
      <c r="F1630" s="495"/>
      <c r="G1630" s="561"/>
      <c r="H1630" s="561"/>
      <c r="I1630" s="1083"/>
      <c r="J1630" s="1117"/>
      <c r="K1630" s="539"/>
      <c r="O1630" s="468"/>
      <c r="R1630" s="489"/>
    </row>
    <row r="1631" spans="1:18" x14ac:dyDescent="0.25">
      <c r="B1631" s="596"/>
      <c r="C1631" s="526">
        <v>1</v>
      </c>
      <c r="D1631" s="467" t="s">
        <v>52</v>
      </c>
      <c r="F1631" s="495"/>
      <c r="G1631" s="553" t="s">
        <v>97</v>
      </c>
      <c r="H1631" s="561">
        <f>SUM(H1619:H1630)</f>
        <v>1698</v>
      </c>
      <c r="I1631" s="477"/>
      <c r="J1631" s="974"/>
      <c r="K1631" s="539"/>
      <c r="O1631" s="468"/>
      <c r="R1631" s="489"/>
    </row>
    <row r="1632" spans="1:18" x14ac:dyDescent="0.25">
      <c r="B1632" s="596"/>
      <c r="C1632" s="526">
        <v>1</v>
      </c>
      <c r="D1632" s="467" t="s">
        <v>21</v>
      </c>
      <c r="F1632" s="495"/>
      <c r="G1632" s="553" t="s">
        <v>105</v>
      </c>
      <c r="H1632" s="561">
        <f>H1631*$M$153</f>
        <v>339.6</v>
      </c>
      <c r="I1632" s="477"/>
      <c r="J1632" s="974"/>
      <c r="K1632" s="539"/>
      <c r="O1632" s="468"/>
      <c r="R1632" s="489"/>
    </row>
    <row r="1633" spans="1:18" x14ac:dyDescent="0.25">
      <c r="B1633" s="562"/>
      <c r="C1633" s="527" t="s">
        <v>17</v>
      </c>
      <c r="D1633" s="522" t="s">
        <v>48</v>
      </c>
      <c r="E1633" s="523"/>
      <c r="F1633" s="524"/>
      <c r="G1633" s="553" t="s">
        <v>452</v>
      </c>
      <c r="H1633" s="561">
        <f>SUM(H1631:H1632)</f>
        <v>2037.6</v>
      </c>
      <c r="I1633" s="477"/>
      <c r="J1633" s="974"/>
      <c r="K1633" s="539"/>
      <c r="O1633" s="468"/>
      <c r="R1633" s="489"/>
    </row>
    <row r="1634" spans="1:18" x14ac:dyDescent="0.25">
      <c r="G1634" s="477"/>
      <c r="H1634" s="477"/>
      <c r="I1634" s="477"/>
      <c r="J1634" s="974"/>
      <c r="K1634" s="539"/>
      <c r="O1634" s="468"/>
      <c r="R1634" s="489"/>
    </row>
    <row r="1635" spans="1:18" s="467" customFormat="1" x14ac:dyDescent="0.2">
      <c r="A1635" s="463"/>
      <c r="B1635" s="555" t="s">
        <v>6</v>
      </c>
      <c r="C1635" s="515" t="s">
        <v>0</v>
      </c>
      <c r="D1635" s="556" t="s">
        <v>8</v>
      </c>
      <c r="E1635" s="525" t="s">
        <v>4</v>
      </c>
      <c r="F1635" s="556" t="s">
        <v>3</v>
      </c>
      <c r="G1635" s="477"/>
      <c r="H1635" s="477"/>
      <c r="I1635" s="477"/>
      <c r="J1635" s="974"/>
      <c r="K1635" s="539"/>
      <c r="Q1635" s="465"/>
    </row>
    <row r="1636" spans="1:18" ht="16.5" thickBot="1" x14ac:dyDescent="0.3">
      <c r="A1636" s="463">
        <v>153</v>
      </c>
      <c r="B1636" s="1077">
        <f>+B94</f>
        <v>4.2699999999999942</v>
      </c>
      <c r="C1636" s="1077">
        <f>+C94</f>
        <v>1</v>
      </c>
      <c r="D1636" s="1077" t="str">
        <f>+D94</f>
        <v>TABLERO BUSBAR - TIPO 14 (C2.4)</v>
      </c>
      <c r="E1636" s="517">
        <f>+H1653</f>
        <v>2610</v>
      </c>
      <c r="F1636" s="518">
        <f>+E1636*C1636</f>
        <v>2610</v>
      </c>
      <c r="G1636" s="553" t="s">
        <v>450</v>
      </c>
      <c r="H1636" s="553" t="s">
        <v>1</v>
      </c>
      <c r="I1636" s="477"/>
      <c r="J1636" s="974"/>
      <c r="K1636" s="539"/>
      <c r="O1636" s="468"/>
    </row>
    <row r="1637" spans="1:18" ht="16.5" thickBot="1" x14ac:dyDescent="0.3">
      <c r="B1637" s="1078"/>
      <c r="C1637" s="1078"/>
      <c r="D1637" s="1078"/>
      <c r="E1637" s="519" t="s">
        <v>50</v>
      </c>
      <c r="F1637" s="520" t="s">
        <v>50</v>
      </c>
      <c r="G1637" s="553" t="s">
        <v>50</v>
      </c>
      <c r="H1637" s="553" t="s">
        <v>50</v>
      </c>
      <c r="I1637" s="477"/>
      <c r="J1637" s="974"/>
      <c r="K1637" s="539"/>
      <c r="L1637" s="540" t="s">
        <v>451</v>
      </c>
      <c r="M1637" s="541"/>
      <c r="O1637" s="468"/>
    </row>
    <row r="1638" spans="1:18" ht="16.5" thickBot="1" x14ac:dyDescent="0.3">
      <c r="B1638" s="596"/>
      <c r="C1638" s="526"/>
      <c r="F1638" s="495"/>
      <c r="G1638" s="561"/>
      <c r="H1638" s="561"/>
      <c r="I1638" s="477"/>
      <c r="J1638" s="974"/>
      <c r="K1638" s="539"/>
      <c r="L1638" s="542" t="s">
        <v>88</v>
      </c>
      <c r="M1638" s="543" t="s">
        <v>85</v>
      </c>
      <c r="O1638" s="468"/>
      <c r="R1638" s="489"/>
    </row>
    <row r="1639" spans="1:18" x14ac:dyDescent="0.25">
      <c r="B1639" s="596"/>
      <c r="C1639" s="526">
        <v>1</v>
      </c>
      <c r="D1639" s="539" t="str">
        <f>+'Precios Equipos'!C193</f>
        <v>Gabinete Autosoportado 2100x800x600mm. (Alto x ancho x profundidad)</v>
      </c>
      <c r="F1639" s="495"/>
      <c r="G1639" s="561">
        <f>VLOOKUP(D1639,'Precios Equipos'!$C$11:$F$208,3,0)</f>
        <v>17</v>
      </c>
      <c r="H1639" s="561">
        <f t="shared" ref="H1639" si="168">G1639*C1639</f>
        <v>17</v>
      </c>
      <c r="I1639" s="561">
        <f>+H1639</f>
        <v>17</v>
      </c>
      <c r="J1639" s="975">
        <f>+I1639/H1651</f>
        <v>7.8160919540229881E-3</v>
      </c>
      <c r="K1639" s="539"/>
      <c r="L1639" s="544" t="str">
        <f>+'Precios Equipos'!C122</f>
        <v>COBRE BUS BAR TIPO 14 (C01;G01), (C02;G01), (C01;G03), (C02;G03), (C03;G01), (C03;G03)</v>
      </c>
      <c r="M1639" s="545">
        <f>IFERROR(VLOOKUP(L1639,'Precios Equipos'!$C$11:$F$208,3,0),0)</f>
        <v>14</v>
      </c>
      <c r="O1639" s="468"/>
      <c r="Q1639" s="465">
        <f>+C1639*$C$1636</f>
        <v>1</v>
      </c>
      <c r="R1639" s="489"/>
    </row>
    <row r="1640" spans="1:18" x14ac:dyDescent="0.25">
      <c r="B1640" s="596"/>
      <c r="C1640" s="526"/>
      <c r="F1640" s="495"/>
      <c r="G1640" s="561"/>
      <c r="H1640" s="561"/>
      <c r="I1640" s="477"/>
      <c r="J1640" s="974"/>
      <c r="K1640" s="539"/>
      <c r="L1640" s="544" t="str">
        <f>+'Precios Equipos'!C157</f>
        <v>M. Obra Electricidad BUS BAR TIPO 14 (C01;G01), (C02;G01), (C01;G03), (C02;G03), (C03;G01), (C03;G03)</v>
      </c>
      <c r="M1640" s="545">
        <f>IFERROR(VLOOKUP(L1640,'Precios Equipos'!$C$11:$F$208,3,0),0)</f>
        <v>0</v>
      </c>
      <c r="O1640" s="468"/>
      <c r="R1640" s="489"/>
    </row>
    <row r="1641" spans="1:18" ht="16.5" thickBot="1" x14ac:dyDescent="0.3">
      <c r="B1641" s="596"/>
      <c r="C1641" s="526"/>
      <c r="D1641" s="620" t="s">
        <v>568</v>
      </c>
      <c r="F1641" s="495"/>
      <c r="G1641" s="561"/>
      <c r="H1641" s="561"/>
      <c r="I1641" s="477"/>
      <c r="J1641" s="974"/>
      <c r="K1641" s="539"/>
      <c r="L1641" s="544" t="str">
        <f>+'Precios Equipos'!$C$205</f>
        <v>Diseño Ingenieria Tableros Autosoportados</v>
      </c>
      <c r="M1641" s="545">
        <f>IFERROR(VLOOKUP(L1641,'Precios Equipos'!$C$11:$F$208,3,0),0)</f>
        <v>63</v>
      </c>
      <c r="O1641" s="468"/>
      <c r="R1641" s="489"/>
    </row>
    <row r="1642" spans="1:18" ht="16.5" thickBot="1" x14ac:dyDescent="0.3">
      <c r="B1642" s="596"/>
      <c r="C1642" s="526">
        <v>6</v>
      </c>
      <c r="D1642" s="467" t="str">
        <f>+'Precios Equipos'!C46</f>
        <v>ITM 3x320A, Caja Moldeada (128-320)A, 70kA en 220V, XT5N, ABB, DC</v>
      </c>
      <c r="F1642" s="495"/>
      <c r="G1642" s="561">
        <f>VLOOKUP(D1642,'Precios Equipos'!$C$25:$F$208,3,0)</f>
        <v>72</v>
      </c>
      <c r="H1642" s="561">
        <f t="shared" ref="H1642:H1645" si="169">G1642*C1642</f>
        <v>432</v>
      </c>
      <c r="I1642" s="1081">
        <f>SUM(H1642:H1645)</f>
        <v>2081</v>
      </c>
      <c r="J1642" s="1116">
        <f>+I1642/H1651</f>
        <v>0.95678160919540234</v>
      </c>
      <c r="K1642" s="539"/>
      <c r="L1642" s="546" t="s">
        <v>89</v>
      </c>
      <c r="M1642" s="560">
        <f>SUM(M1639:M1641)</f>
        <v>77</v>
      </c>
      <c r="O1642" s="468"/>
      <c r="Q1642" s="465">
        <f>+C1642*$C$1636</f>
        <v>6</v>
      </c>
      <c r="R1642" s="489"/>
    </row>
    <row r="1643" spans="1:18" x14ac:dyDescent="0.25">
      <c r="B1643" s="596"/>
      <c r="C1643" s="526">
        <v>2</v>
      </c>
      <c r="D1643" s="467" t="str">
        <f>+'Precios Equipos'!C43</f>
        <v>ITM 2x160A, Caja Moldeada 160A, 50kA en 220V, A2N 250, ABB, DC</v>
      </c>
      <c r="F1643" s="495"/>
      <c r="G1643" s="561">
        <f>VLOOKUP(D1643,'Precios Equipos'!$C$25:$F$208,3,0)</f>
        <v>92</v>
      </c>
      <c r="H1643" s="561">
        <f t="shared" si="169"/>
        <v>184</v>
      </c>
      <c r="I1643" s="1082"/>
      <c r="J1643" s="1129"/>
      <c r="K1643" s="539"/>
      <c r="O1643" s="468"/>
      <c r="Q1643" s="465">
        <f>+C1643*$C$1636</f>
        <v>2</v>
      </c>
      <c r="R1643" s="489"/>
    </row>
    <row r="1644" spans="1:18" x14ac:dyDescent="0.25">
      <c r="B1644" s="596"/>
      <c r="C1644" s="526">
        <v>5</v>
      </c>
      <c r="D1644" s="467" t="str">
        <f>+'Precios Equipos'!C64</f>
        <v>Seccionador Portafusible XLP1-1P-2BC, 250A, 1SEP600116R0002, ABB</v>
      </c>
      <c r="F1644" s="495"/>
      <c r="G1644" s="561">
        <f>VLOOKUP(D1644,'Precios Equipos'!$C$25:$F$208,3,0)</f>
        <v>148</v>
      </c>
      <c r="H1644" s="561">
        <f t="shared" si="169"/>
        <v>740</v>
      </c>
      <c r="I1644" s="1082"/>
      <c r="J1644" s="1129"/>
      <c r="K1644" s="539"/>
      <c r="O1644" s="468"/>
      <c r="Q1644" s="465">
        <f>+C1644*$C$1636</f>
        <v>5</v>
      </c>
      <c r="R1644" s="489"/>
    </row>
    <row r="1645" spans="1:18" x14ac:dyDescent="0.25">
      <c r="B1645" s="596"/>
      <c r="C1645" s="526">
        <v>5</v>
      </c>
      <c r="D1645" s="467" t="str">
        <f>+'Precios Equipos'!$C$65</f>
        <v>Fusible tipo NH1 250A</v>
      </c>
      <c r="F1645" s="495"/>
      <c r="G1645" s="561">
        <f>VLOOKUP(D1645,'Precios Equipos'!$C$11:$F$208,3,0)</f>
        <v>145</v>
      </c>
      <c r="H1645" s="561">
        <f t="shared" si="169"/>
        <v>725</v>
      </c>
      <c r="I1645" s="1083"/>
      <c r="J1645" s="1117"/>
      <c r="K1645" s="539"/>
      <c r="O1645" s="468"/>
      <c r="Q1645" s="465">
        <f>+C1645*$C$1636</f>
        <v>5</v>
      </c>
      <c r="R1645" s="489"/>
    </row>
    <row r="1646" spans="1:18" x14ac:dyDescent="0.25">
      <c r="B1646" s="596"/>
      <c r="C1646" s="526"/>
      <c r="F1646" s="495"/>
      <c r="G1646" s="561"/>
      <c r="H1646" s="561"/>
      <c r="I1646" s="477"/>
      <c r="J1646" s="974"/>
      <c r="K1646" s="539"/>
      <c r="O1646" s="468"/>
      <c r="R1646" s="489"/>
    </row>
    <row r="1647" spans="1:18" x14ac:dyDescent="0.25">
      <c r="B1647" s="596"/>
      <c r="C1647" s="526"/>
      <c r="D1647" s="620" t="s">
        <v>87</v>
      </c>
      <c r="F1647" s="495"/>
      <c r="G1647" s="561"/>
      <c r="H1647" s="561"/>
      <c r="I1647" s="477"/>
      <c r="J1647" s="974"/>
      <c r="K1647" s="539"/>
      <c r="O1647" s="468"/>
      <c r="R1647" s="489"/>
    </row>
    <row r="1648" spans="1:18" x14ac:dyDescent="0.25">
      <c r="B1648" s="596"/>
      <c r="C1648" s="526">
        <v>1</v>
      </c>
      <c r="D1648" s="494" t="s">
        <v>49</v>
      </c>
      <c r="F1648" s="495"/>
      <c r="G1648" s="561"/>
      <c r="H1648" s="561">
        <f>+M1642</f>
        <v>77</v>
      </c>
      <c r="I1648" s="561">
        <f>+H1648</f>
        <v>77</v>
      </c>
      <c r="J1648" s="975">
        <f>+I1648/H1651</f>
        <v>3.5402298850574714E-2</v>
      </c>
      <c r="K1648" s="539"/>
      <c r="O1648" s="468"/>
      <c r="R1648" s="489"/>
    </row>
    <row r="1649" spans="1:18" x14ac:dyDescent="0.25">
      <c r="B1649" s="596"/>
      <c r="C1649" s="526">
        <v>1</v>
      </c>
      <c r="D1649" s="494" t="s">
        <v>51</v>
      </c>
      <c r="F1649" s="495"/>
      <c r="G1649" s="561"/>
      <c r="H1649" s="561"/>
      <c r="I1649" s="1081">
        <f>SUM(H1649:H1650)</f>
        <v>0</v>
      </c>
      <c r="J1649" s="1116">
        <f>+I1649/H1651</f>
        <v>0</v>
      </c>
      <c r="K1649" s="539"/>
      <c r="O1649" s="468"/>
      <c r="R1649" s="489"/>
    </row>
    <row r="1650" spans="1:18" x14ac:dyDescent="0.25">
      <c r="B1650" s="596"/>
      <c r="C1650" s="526">
        <v>1</v>
      </c>
      <c r="D1650" s="467" t="s">
        <v>20</v>
      </c>
      <c r="F1650" s="495"/>
      <c r="G1650" s="561"/>
      <c r="H1650" s="561"/>
      <c r="I1650" s="1083"/>
      <c r="J1650" s="1117"/>
      <c r="K1650" s="539"/>
      <c r="O1650" s="468"/>
      <c r="R1650" s="489"/>
    </row>
    <row r="1651" spans="1:18" x14ac:dyDescent="0.25">
      <c r="B1651" s="596"/>
      <c r="C1651" s="526">
        <v>1</v>
      </c>
      <c r="D1651" s="467" t="s">
        <v>52</v>
      </c>
      <c r="F1651" s="495"/>
      <c r="G1651" s="553" t="s">
        <v>97</v>
      </c>
      <c r="H1651" s="561">
        <f>SUM(H1638:H1650)</f>
        <v>2175</v>
      </c>
      <c r="I1651" s="477"/>
      <c r="J1651" s="974"/>
      <c r="K1651" s="539"/>
      <c r="O1651" s="468"/>
      <c r="R1651" s="489"/>
    </row>
    <row r="1652" spans="1:18" x14ac:dyDescent="0.25">
      <c r="B1652" s="596"/>
      <c r="C1652" s="526">
        <v>1</v>
      </c>
      <c r="D1652" s="467" t="s">
        <v>21</v>
      </c>
      <c r="F1652" s="495"/>
      <c r="G1652" s="553" t="s">
        <v>105</v>
      </c>
      <c r="H1652" s="561">
        <f>H1651*$M$153</f>
        <v>435</v>
      </c>
      <c r="I1652" s="477"/>
      <c r="J1652" s="974"/>
      <c r="K1652" s="539"/>
      <c r="O1652" s="468"/>
      <c r="R1652" s="489"/>
    </row>
    <row r="1653" spans="1:18" x14ac:dyDescent="0.25">
      <c r="B1653" s="562"/>
      <c r="C1653" s="527" t="s">
        <v>17</v>
      </c>
      <c r="D1653" s="522" t="s">
        <v>48</v>
      </c>
      <c r="E1653" s="523"/>
      <c r="F1653" s="524"/>
      <c r="G1653" s="553" t="s">
        <v>452</v>
      </c>
      <c r="H1653" s="561">
        <f>SUM(H1651:H1652)</f>
        <v>2610</v>
      </c>
      <c r="I1653" s="477"/>
      <c r="J1653" s="974"/>
      <c r="K1653" s="539"/>
      <c r="O1653" s="468"/>
      <c r="R1653" s="489"/>
    </row>
    <row r="1654" spans="1:18" x14ac:dyDescent="0.25">
      <c r="G1654" s="477"/>
      <c r="H1654" s="477"/>
      <c r="I1654" s="477"/>
      <c r="J1654" s="974"/>
      <c r="K1654" s="539"/>
      <c r="O1654" s="468"/>
      <c r="R1654" s="489"/>
    </row>
    <row r="1655" spans="1:18" s="467" customFormat="1" ht="16.5" thickBot="1" x14ac:dyDescent="0.25">
      <c r="A1655" s="463"/>
      <c r="B1655" s="555" t="s">
        <v>6</v>
      </c>
      <c r="C1655" s="515" t="s">
        <v>0</v>
      </c>
      <c r="D1655" s="556" t="s">
        <v>8</v>
      </c>
      <c r="E1655" s="525" t="s">
        <v>4</v>
      </c>
      <c r="F1655" s="556" t="s">
        <v>3</v>
      </c>
      <c r="G1655" s="477"/>
      <c r="H1655" s="477"/>
      <c r="I1655" s="477"/>
      <c r="J1655" s="974"/>
      <c r="K1655" s="539"/>
      <c r="Q1655" s="465"/>
    </row>
    <row r="1656" spans="1:18" ht="16.5" thickBot="1" x14ac:dyDescent="0.3">
      <c r="A1656" s="463">
        <v>153</v>
      </c>
      <c r="B1656" s="1077">
        <f>+B95</f>
        <v>4.279999999999994</v>
      </c>
      <c r="C1656" s="1077">
        <f>+C95</f>
        <v>1</v>
      </c>
      <c r="D1656" s="1077" t="str">
        <f>+D95</f>
        <v>TABLERO BUSBAR - TIPO 14 (C3.1)</v>
      </c>
      <c r="E1656" s="517">
        <f>+H1672</f>
        <v>2058</v>
      </c>
      <c r="F1656" s="518">
        <f>+E1656*C1656</f>
        <v>2058</v>
      </c>
      <c r="G1656" s="553" t="s">
        <v>450</v>
      </c>
      <c r="H1656" s="553" t="s">
        <v>1</v>
      </c>
      <c r="I1656" s="477"/>
      <c r="J1656" s="974"/>
      <c r="K1656" s="539"/>
      <c r="L1656" s="540" t="s">
        <v>451</v>
      </c>
      <c r="M1656" s="541"/>
      <c r="O1656" s="468"/>
    </row>
    <row r="1657" spans="1:18" ht="16.5" thickBot="1" x14ac:dyDescent="0.3">
      <c r="B1657" s="1078"/>
      <c r="C1657" s="1078"/>
      <c r="D1657" s="1078"/>
      <c r="E1657" s="519" t="s">
        <v>50</v>
      </c>
      <c r="F1657" s="520" t="s">
        <v>50</v>
      </c>
      <c r="G1657" s="553" t="s">
        <v>50</v>
      </c>
      <c r="H1657" s="553" t="s">
        <v>50</v>
      </c>
      <c r="I1657" s="477"/>
      <c r="J1657" s="974"/>
      <c r="K1657" s="539"/>
      <c r="L1657" s="542" t="s">
        <v>88</v>
      </c>
      <c r="M1657" s="543" t="s">
        <v>85</v>
      </c>
      <c r="O1657" s="468"/>
    </row>
    <row r="1658" spans="1:18" x14ac:dyDescent="0.25">
      <c r="B1658" s="596"/>
      <c r="C1658" s="526"/>
      <c r="F1658" s="495"/>
      <c r="G1658" s="561"/>
      <c r="H1658" s="561"/>
      <c r="I1658" s="477"/>
      <c r="J1658" s="974"/>
      <c r="K1658" s="539"/>
      <c r="L1658" s="544" t="str">
        <f>+'Precios Equipos'!C122</f>
        <v>COBRE BUS BAR TIPO 14 (C01;G01), (C02;G01), (C01;G03), (C02;G03), (C03;G01), (C03;G03)</v>
      </c>
      <c r="M1658" s="545">
        <f>IFERROR(VLOOKUP(L1658,'Precios Equipos'!$C$11:$F$208,3,0),0)</f>
        <v>14</v>
      </c>
      <c r="O1658" s="468"/>
      <c r="R1658" s="489"/>
    </row>
    <row r="1659" spans="1:18" x14ac:dyDescent="0.25">
      <c r="B1659" s="596"/>
      <c r="C1659" s="526">
        <v>2</v>
      </c>
      <c r="D1659" s="539" t="str">
        <f>+'Precios Equipos'!C193</f>
        <v>Gabinete Autosoportado 2100x800x600mm. (Alto x ancho x profundidad)</v>
      </c>
      <c r="F1659" s="495"/>
      <c r="G1659" s="561">
        <f>VLOOKUP(D1659,'Precios Equipos'!$C$11:$F$208,3,0)</f>
        <v>17</v>
      </c>
      <c r="H1659" s="561">
        <f t="shared" ref="H1659" si="170">G1659*C1659</f>
        <v>34</v>
      </c>
      <c r="I1659" s="561">
        <f>+H1659</f>
        <v>34</v>
      </c>
      <c r="J1659" s="975">
        <f>+I1659/H1670</f>
        <v>1.9825072886297375E-2</v>
      </c>
      <c r="K1659" s="539"/>
      <c r="L1659" s="544" t="str">
        <f>+'Precios Equipos'!C157</f>
        <v>M. Obra Electricidad BUS BAR TIPO 14 (C01;G01), (C02;G01), (C01;G03), (C02;G03), (C03;G01), (C03;G03)</v>
      </c>
      <c r="M1659" s="545">
        <f>IFERROR(VLOOKUP(L1659,'Precios Equipos'!$C$11:$F$208,3,0),0)</f>
        <v>0</v>
      </c>
      <c r="O1659" s="468"/>
      <c r="Q1659" s="465">
        <f>+C1659*$C$1656</f>
        <v>2</v>
      </c>
      <c r="R1659" s="489"/>
    </row>
    <row r="1660" spans="1:18" ht="16.5" thickBot="1" x14ac:dyDescent="0.3">
      <c r="B1660" s="596"/>
      <c r="C1660" s="526"/>
      <c r="F1660" s="495"/>
      <c r="G1660" s="561"/>
      <c r="H1660" s="561"/>
      <c r="I1660" s="477"/>
      <c r="J1660" s="974"/>
      <c r="K1660" s="539"/>
      <c r="L1660" s="544" t="str">
        <f>+'Precios Equipos'!$C$205</f>
        <v>Diseño Ingenieria Tableros Autosoportados</v>
      </c>
      <c r="M1660" s="545">
        <f>IFERROR(VLOOKUP(L1660,'Precios Equipos'!$C$11:$F$208,3,0),0)</f>
        <v>63</v>
      </c>
      <c r="O1660" s="468"/>
      <c r="R1660" s="489"/>
    </row>
    <row r="1661" spans="1:18" ht="16.5" thickBot="1" x14ac:dyDescent="0.3">
      <c r="B1661" s="596"/>
      <c r="C1661" s="526"/>
      <c r="D1661" s="620" t="s">
        <v>568</v>
      </c>
      <c r="F1661" s="495"/>
      <c r="G1661" s="561"/>
      <c r="H1661" s="561"/>
      <c r="I1661" s="477"/>
      <c r="J1661" s="974"/>
      <c r="K1661" s="539"/>
      <c r="L1661" s="546" t="s">
        <v>89</v>
      </c>
      <c r="M1661" s="560">
        <f>SUM(M1658:M1660)</f>
        <v>77</v>
      </c>
      <c r="O1661" s="468"/>
      <c r="R1661" s="489"/>
    </row>
    <row r="1662" spans="1:18" x14ac:dyDescent="0.25">
      <c r="B1662" s="596"/>
      <c r="C1662" s="526">
        <v>6</v>
      </c>
      <c r="D1662" s="467" t="str">
        <f>+'Precios Equipos'!C46</f>
        <v>ITM 3x320A, Caja Moldeada (128-320)A, 70kA en 220V, XT5N, ABB, DC</v>
      </c>
      <c r="F1662" s="495"/>
      <c r="G1662" s="561">
        <f>VLOOKUP(D1662,'Precios Equipos'!$C$25:$F$208,3,0)</f>
        <v>72</v>
      </c>
      <c r="H1662" s="561">
        <f t="shared" ref="H1662:H1664" si="171">G1662*C1662</f>
        <v>432</v>
      </c>
      <c r="I1662" s="1081">
        <f>SUM(H1662:H1664)</f>
        <v>1604</v>
      </c>
      <c r="J1662" s="1116">
        <f>+I1662/H1670</f>
        <v>0.93527696793002912</v>
      </c>
      <c r="K1662" s="539"/>
      <c r="O1662" s="468"/>
      <c r="Q1662" s="465">
        <f>+C1662*$C$1656</f>
        <v>6</v>
      </c>
      <c r="R1662" s="489"/>
    </row>
    <row r="1663" spans="1:18" x14ac:dyDescent="0.25">
      <c r="B1663" s="596"/>
      <c r="C1663" s="526">
        <v>4</v>
      </c>
      <c r="D1663" s="467" t="str">
        <f>+'Precios Equipos'!C64</f>
        <v>Seccionador Portafusible XLP1-1P-2BC, 250A, 1SEP600116R0002, ABB</v>
      </c>
      <c r="F1663" s="495"/>
      <c r="G1663" s="561">
        <f>VLOOKUP(D1663,'Precios Equipos'!$C$25:$F$208,3,0)</f>
        <v>148</v>
      </c>
      <c r="H1663" s="561">
        <f t="shared" si="171"/>
        <v>592</v>
      </c>
      <c r="I1663" s="1082"/>
      <c r="J1663" s="1129"/>
      <c r="K1663" s="539"/>
      <c r="O1663" s="468"/>
      <c r="Q1663" s="465">
        <f>+C1663*$C$1656</f>
        <v>4</v>
      </c>
      <c r="R1663" s="489"/>
    </row>
    <row r="1664" spans="1:18" x14ac:dyDescent="0.25">
      <c r="B1664" s="596"/>
      <c r="C1664" s="526">
        <v>4</v>
      </c>
      <c r="D1664" s="467" t="str">
        <f>+'Precios Equipos'!$C$65</f>
        <v>Fusible tipo NH1 250A</v>
      </c>
      <c r="F1664" s="495"/>
      <c r="G1664" s="561">
        <f>VLOOKUP(D1664,'Precios Equipos'!$C$11:$F$208,3,0)</f>
        <v>145</v>
      </c>
      <c r="H1664" s="561">
        <f t="shared" si="171"/>
        <v>580</v>
      </c>
      <c r="I1664" s="1083"/>
      <c r="J1664" s="1117"/>
      <c r="K1664" s="539"/>
      <c r="O1664" s="468"/>
      <c r="Q1664" s="465">
        <f>+C1664*$C$1656</f>
        <v>4</v>
      </c>
      <c r="R1664" s="489"/>
    </row>
    <row r="1665" spans="1:18" x14ac:dyDescent="0.25">
      <c r="B1665" s="596"/>
      <c r="C1665" s="526"/>
      <c r="F1665" s="495"/>
      <c r="G1665" s="561"/>
      <c r="H1665" s="561"/>
      <c r="I1665" s="477"/>
      <c r="J1665" s="974"/>
      <c r="K1665" s="539"/>
      <c r="O1665" s="468"/>
      <c r="R1665" s="489"/>
    </row>
    <row r="1666" spans="1:18" x14ac:dyDescent="0.25">
      <c r="B1666" s="596"/>
      <c r="C1666" s="526"/>
      <c r="D1666" s="620" t="s">
        <v>87</v>
      </c>
      <c r="F1666" s="495"/>
      <c r="G1666" s="561"/>
      <c r="H1666" s="561"/>
      <c r="I1666" s="477"/>
      <c r="J1666" s="974"/>
      <c r="K1666" s="539"/>
      <c r="O1666" s="468"/>
      <c r="R1666" s="489"/>
    </row>
    <row r="1667" spans="1:18" x14ac:dyDescent="0.25">
      <c r="B1667" s="596"/>
      <c r="C1667" s="526">
        <v>1</v>
      </c>
      <c r="D1667" s="494" t="s">
        <v>49</v>
      </c>
      <c r="F1667" s="495"/>
      <c r="G1667" s="561"/>
      <c r="H1667" s="561">
        <f>+M1661</f>
        <v>77</v>
      </c>
      <c r="I1667" s="561">
        <f>+H1667</f>
        <v>77</v>
      </c>
      <c r="J1667" s="975">
        <f>+I1667/H1670</f>
        <v>4.4897959183673466E-2</v>
      </c>
      <c r="K1667" s="539"/>
      <c r="O1667" s="468"/>
      <c r="R1667" s="489"/>
    </row>
    <row r="1668" spans="1:18" x14ac:dyDescent="0.25">
      <c r="B1668" s="596"/>
      <c r="C1668" s="526">
        <v>1</v>
      </c>
      <c r="D1668" s="494" t="s">
        <v>51</v>
      </c>
      <c r="F1668" s="495"/>
      <c r="G1668" s="561"/>
      <c r="H1668" s="561"/>
      <c r="I1668" s="1081">
        <f>SUM(H1668:H1669)</f>
        <v>0</v>
      </c>
      <c r="J1668" s="1116">
        <f>+I1668/H1670</f>
        <v>0</v>
      </c>
      <c r="K1668" s="539"/>
      <c r="O1668" s="468"/>
      <c r="R1668" s="489"/>
    </row>
    <row r="1669" spans="1:18" x14ac:dyDescent="0.25">
      <c r="B1669" s="596"/>
      <c r="C1669" s="526">
        <v>1</v>
      </c>
      <c r="D1669" s="467" t="s">
        <v>20</v>
      </c>
      <c r="F1669" s="495"/>
      <c r="G1669" s="561"/>
      <c r="H1669" s="561"/>
      <c r="I1669" s="1083"/>
      <c r="J1669" s="1117"/>
      <c r="K1669" s="539"/>
      <c r="O1669" s="468"/>
      <c r="R1669" s="489"/>
    </row>
    <row r="1670" spans="1:18" x14ac:dyDescent="0.25">
      <c r="B1670" s="596"/>
      <c r="C1670" s="526">
        <v>1</v>
      </c>
      <c r="D1670" s="467" t="s">
        <v>52</v>
      </c>
      <c r="F1670" s="495"/>
      <c r="G1670" s="553" t="s">
        <v>97</v>
      </c>
      <c r="H1670" s="561">
        <f>SUM(H1658:H1669)</f>
        <v>1715</v>
      </c>
      <c r="I1670" s="477"/>
      <c r="J1670" s="974"/>
      <c r="K1670" s="539"/>
      <c r="O1670" s="468"/>
      <c r="R1670" s="489"/>
    </row>
    <row r="1671" spans="1:18" x14ac:dyDescent="0.25">
      <c r="B1671" s="596"/>
      <c r="C1671" s="526">
        <v>1</v>
      </c>
      <c r="D1671" s="467" t="s">
        <v>21</v>
      </c>
      <c r="F1671" s="495"/>
      <c r="G1671" s="553" t="s">
        <v>105</v>
      </c>
      <c r="H1671" s="561">
        <f>H1670*$M$153</f>
        <v>343</v>
      </c>
      <c r="I1671" s="477"/>
      <c r="J1671" s="974"/>
      <c r="K1671" s="539"/>
      <c r="O1671" s="468"/>
      <c r="R1671" s="489"/>
    </row>
    <row r="1672" spans="1:18" x14ac:dyDescent="0.25">
      <c r="B1672" s="562"/>
      <c r="C1672" s="527" t="s">
        <v>17</v>
      </c>
      <c r="D1672" s="522" t="s">
        <v>48</v>
      </c>
      <c r="E1672" s="523"/>
      <c r="F1672" s="524"/>
      <c r="G1672" s="553" t="s">
        <v>452</v>
      </c>
      <c r="H1672" s="561">
        <f>SUM(H1670:H1671)</f>
        <v>2058</v>
      </c>
      <c r="I1672" s="477"/>
      <c r="J1672" s="974"/>
      <c r="K1672" s="539"/>
      <c r="O1672" s="468"/>
      <c r="R1672" s="489"/>
    </row>
    <row r="1673" spans="1:18" x14ac:dyDescent="0.25">
      <c r="G1673" s="477"/>
      <c r="H1673" s="477"/>
      <c r="I1673" s="477"/>
      <c r="J1673" s="974"/>
      <c r="K1673" s="539"/>
      <c r="O1673" s="468"/>
      <c r="R1673" s="489"/>
    </row>
    <row r="1674" spans="1:18" s="467" customFormat="1" x14ac:dyDescent="0.2">
      <c r="A1674" s="463"/>
      <c r="B1674" s="555" t="s">
        <v>6</v>
      </c>
      <c r="C1674" s="515" t="s">
        <v>0</v>
      </c>
      <c r="D1674" s="556" t="s">
        <v>8</v>
      </c>
      <c r="E1674" s="525" t="s">
        <v>4</v>
      </c>
      <c r="F1674" s="556" t="s">
        <v>3</v>
      </c>
      <c r="G1674" s="477"/>
      <c r="H1674" s="477"/>
      <c r="I1674" s="477"/>
      <c r="J1674" s="974"/>
      <c r="K1674" s="539"/>
      <c r="Q1674" s="465"/>
    </row>
    <row r="1675" spans="1:18" ht="16.5" thickBot="1" x14ac:dyDescent="0.3">
      <c r="A1675" s="463">
        <v>153</v>
      </c>
      <c r="B1675" s="1077">
        <f>+B96</f>
        <v>4.2899999999999938</v>
      </c>
      <c r="C1675" s="1077">
        <f>+C96</f>
        <v>1</v>
      </c>
      <c r="D1675" s="1077" t="str">
        <f>+D96</f>
        <v>TABLERO BUSBAR - TIPO 14 (C3.2)</v>
      </c>
      <c r="E1675" s="517">
        <f>+H1692</f>
        <v>2630.4</v>
      </c>
      <c r="F1675" s="518">
        <f>+E1675*C1675</f>
        <v>2630.4</v>
      </c>
      <c r="G1675" s="553" t="s">
        <v>450</v>
      </c>
      <c r="H1675" s="553" t="s">
        <v>1</v>
      </c>
      <c r="I1675" s="477"/>
      <c r="J1675" s="974"/>
      <c r="K1675" s="539"/>
      <c r="O1675" s="468"/>
    </row>
    <row r="1676" spans="1:18" ht="16.5" thickBot="1" x14ac:dyDescent="0.3">
      <c r="B1676" s="1078"/>
      <c r="C1676" s="1078"/>
      <c r="D1676" s="1078"/>
      <c r="E1676" s="519" t="s">
        <v>50</v>
      </c>
      <c r="F1676" s="520" t="s">
        <v>50</v>
      </c>
      <c r="G1676" s="553" t="s">
        <v>50</v>
      </c>
      <c r="H1676" s="553" t="s">
        <v>50</v>
      </c>
      <c r="I1676" s="477"/>
      <c r="J1676" s="974"/>
      <c r="K1676" s="539"/>
      <c r="L1676" s="540" t="s">
        <v>451</v>
      </c>
      <c r="M1676" s="541"/>
      <c r="O1676" s="468"/>
    </row>
    <row r="1677" spans="1:18" ht="16.5" thickBot="1" x14ac:dyDescent="0.3">
      <c r="B1677" s="596"/>
      <c r="C1677" s="526"/>
      <c r="F1677" s="495"/>
      <c r="G1677" s="561"/>
      <c r="H1677" s="561"/>
      <c r="I1677" s="477"/>
      <c r="J1677" s="974"/>
      <c r="K1677" s="539"/>
      <c r="L1677" s="542" t="s">
        <v>88</v>
      </c>
      <c r="M1677" s="543" t="s">
        <v>85</v>
      </c>
      <c r="O1677" s="468"/>
      <c r="R1677" s="489"/>
    </row>
    <row r="1678" spans="1:18" x14ac:dyDescent="0.25">
      <c r="B1678" s="596"/>
      <c r="C1678" s="526">
        <v>2</v>
      </c>
      <c r="D1678" s="539" t="str">
        <f>+'Precios Equipos'!C193</f>
        <v>Gabinete Autosoportado 2100x800x600mm. (Alto x ancho x profundidad)</v>
      </c>
      <c r="F1678" s="495"/>
      <c r="G1678" s="561">
        <f>VLOOKUP(D1678,'Precios Equipos'!$C$11:$F$208,3,0)</f>
        <v>17</v>
      </c>
      <c r="H1678" s="561">
        <f t="shared" ref="H1678" si="172">G1678*C1678</f>
        <v>34</v>
      </c>
      <c r="I1678" s="561">
        <f>+H1678</f>
        <v>34</v>
      </c>
      <c r="J1678" s="975">
        <f>+I1678/H1690</f>
        <v>1.5510948905109489E-2</v>
      </c>
      <c r="K1678" s="539"/>
      <c r="L1678" s="544" t="str">
        <f>+'Precios Equipos'!C122</f>
        <v>COBRE BUS BAR TIPO 14 (C01;G01), (C02;G01), (C01;G03), (C02;G03), (C03;G01), (C03;G03)</v>
      </c>
      <c r="M1678" s="545">
        <f>IFERROR(VLOOKUP(L1678,'Precios Equipos'!$C$11:$F$208,3,0),0)</f>
        <v>14</v>
      </c>
      <c r="O1678" s="468"/>
      <c r="Q1678" s="465">
        <f>+C1678*$C$1675</f>
        <v>2</v>
      </c>
      <c r="R1678" s="489"/>
    </row>
    <row r="1679" spans="1:18" x14ac:dyDescent="0.25">
      <c r="B1679" s="596"/>
      <c r="C1679" s="526"/>
      <c r="F1679" s="495"/>
      <c r="G1679" s="561"/>
      <c r="H1679" s="561"/>
      <c r="I1679" s="477"/>
      <c r="J1679" s="974"/>
      <c r="K1679" s="539"/>
      <c r="L1679" s="544" t="str">
        <f>+'Precios Equipos'!C157</f>
        <v>M. Obra Electricidad BUS BAR TIPO 14 (C01;G01), (C02;G01), (C01;G03), (C02;G03), (C03;G01), (C03;G03)</v>
      </c>
      <c r="M1679" s="545">
        <f>IFERROR(VLOOKUP(L1679,'Precios Equipos'!$C$11:$F$208,3,0),0)</f>
        <v>0</v>
      </c>
      <c r="O1679" s="468"/>
      <c r="R1679" s="489"/>
    </row>
    <row r="1680" spans="1:18" ht="16.5" thickBot="1" x14ac:dyDescent="0.3">
      <c r="B1680" s="596"/>
      <c r="C1680" s="526"/>
      <c r="D1680" s="620" t="s">
        <v>568</v>
      </c>
      <c r="F1680" s="495"/>
      <c r="G1680" s="561"/>
      <c r="H1680" s="561"/>
      <c r="I1680" s="477"/>
      <c r="J1680" s="974"/>
      <c r="K1680" s="539"/>
      <c r="L1680" s="544" t="str">
        <f>+'Precios Equipos'!$C$205</f>
        <v>Diseño Ingenieria Tableros Autosoportados</v>
      </c>
      <c r="M1680" s="545">
        <f>IFERROR(VLOOKUP(L1680,'Precios Equipos'!$C$11:$F$208,3,0),0)</f>
        <v>63</v>
      </c>
      <c r="O1680" s="468"/>
      <c r="R1680" s="489"/>
    </row>
    <row r="1681" spans="1:18" ht="16.5" thickBot="1" x14ac:dyDescent="0.3">
      <c r="B1681" s="596"/>
      <c r="C1681" s="526">
        <v>6</v>
      </c>
      <c r="D1681" s="467" t="str">
        <f>+'Precios Equipos'!C46</f>
        <v>ITM 3x320A, Caja Moldeada (128-320)A, 70kA en 220V, XT5N, ABB, DC</v>
      </c>
      <c r="F1681" s="495"/>
      <c r="G1681" s="561">
        <f>VLOOKUP(D1681,'Precios Equipos'!$C$25:$F$208,3,0)</f>
        <v>72</v>
      </c>
      <c r="H1681" s="561">
        <f t="shared" ref="H1681:H1684" si="173">G1681*C1681</f>
        <v>432</v>
      </c>
      <c r="I1681" s="1081">
        <f>SUM(H1681:H1684)</f>
        <v>2081</v>
      </c>
      <c r="J1681" s="1116">
        <f>+I1681/H1690</f>
        <v>0.94936131386861311</v>
      </c>
      <c r="K1681" s="539"/>
      <c r="L1681" s="546" t="s">
        <v>89</v>
      </c>
      <c r="M1681" s="560">
        <f>SUM(M1678:M1680)</f>
        <v>77</v>
      </c>
      <c r="O1681" s="468"/>
      <c r="Q1681" s="465">
        <f>+C1681*$C$1675</f>
        <v>6</v>
      </c>
      <c r="R1681" s="489"/>
    </row>
    <row r="1682" spans="1:18" x14ac:dyDescent="0.25">
      <c r="B1682" s="596"/>
      <c r="C1682" s="526">
        <v>2</v>
      </c>
      <c r="D1682" s="467" t="str">
        <f>+'Precios Equipos'!C43</f>
        <v>ITM 2x160A, Caja Moldeada 160A, 50kA en 220V, A2N 250, ABB, DC</v>
      </c>
      <c r="F1682" s="495"/>
      <c r="G1682" s="561">
        <f>VLOOKUP(D1682,'Precios Equipos'!$C$25:$F$208,3,0)</f>
        <v>92</v>
      </c>
      <c r="H1682" s="561">
        <f t="shared" si="173"/>
        <v>184</v>
      </c>
      <c r="I1682" s="1082"/>
      <c r="J1682" s="1129"/>
      <c r="K1682" s="539"/>
      <c r="O1682" s="468"/>
      <c r="Q1682" s="465">
        <f>+C1682*$C$1675</f>
        <v>2</v>
      </c>
      <c r="R1682" s="489"/>
    </row>
    <row r="1683" spans="1:18" x14ac:dyDescent="0.25">
      <c r="B1683" s="596"/>
      <c r="C1683" s="526">
        <v>5</v>
      </c>
      <c r="D1683" s="467" t="str">
        <f>+'Precios Equipos'!C64</f>
        <v>Seccionador Portafusible XLP1-1P-2BC, 250A, 1SEP600116R0002, ABB</v>
      </c>
      <c r="F1683" s="495"/>
      <c r="G1683" s="561">
        <f>VLOOKUP(D1683,'Precios Equipos'!$C$25:$F$208,3,0)</f>
        <v>148</v>
      </c>
      <c r="H1683" s="561">
        <f t="shared" si="173"/>
        <v>740</v>
      </c>
      <c r="I1683" s="1082"/>
      <c r="J1683" s="1129"/>
      <c r="K1683" s="539"/>
      <c r="O1683" s="468"/>
      <c r="Q1683" s="465">
        <f>+C1683*$C$1675</f>
        <v>5</v>
      </c>
      <c r="R1683" s="489"/>
    </row>
    <row r="1684" spans="1:18" x14ac:dyDescent="0.25">
      <c r="B1684" s="596"/>
      <c r="C1684" s="526">
        <v>5</v>
      </c>
      <c r="D1684" s="467" t="str">
        <f>+'Precios Equipos'!$C$65</f>
        <v>Fusible tipo NH1 250A</v>
      </c>
      <c r="F1684" s="495"/>
      <c r="G1684" s="561">
        <f>VLOOKUP(D1684,'Precios Equipos'!$C$11:$F$208,3,0)</f>
        <v>145</v>
      </c>
      <c r="H1684" s="561">
        <f t="shared" si="173"/>
        <v>725</v>
      </c>
      <c r="I1684" s="1083"/>
      <c r="J1684" s="1117"/>
      <c r="K1684" s="539"/>
      <c r="O1684" s="468"/>
      <c r="Q1684" s="465">
        <f>+C1684*$C$1675</f>
        <v>5</v>
      </c>
      <c r="R1684" s="489"/>
    </row>
    <row r="1685" spans="1:18" x14ac:dyDescent="0.25">
      <c r="B1685" s="596"/>
      <c r="C1685" s="526"/>
      <c r="F1685" s="495"/>
      <c r="G1685" s="561"/>
      <c r="H1685" s="561"/>
      <c r="I1685" s="477"/>
      <c r="J1685" s="974"/>
      <c r="K1685" s="539"/>
      <c r="O1685" s="468"/>
      <c r="R1685" s="489"/>
    </row>
    <row r="1686" spans="1:18" x14ac:dyDescent="0.25">
      <c r="B1686" s="596"/>
      <c r="C1686" s="526"/>
      <c r="D1686" s="620" t="s">
        <v>87</v>
      </c>
      <c r="F1686" s="495"/>
      <c r="G1686" s="561"/>
      <c r="H1686" s="561"/>
      <c r="I1686" s="477"/>
      <c r="J1686" s="974"/>
      <c r="K1686" s="539"/>
      <c r="O1686" s="468"/>
      <c r="R1686" s="489"/>
    </row>
    <row r="1687" spans="1:18" x14ac:dyDescent="0.25">
      <c r="B1687" s="596"/>
      <c r="C1687" s="526">
        <v>1</v>
      </c>
      <c r="D1687" s="494" t="s">
        <v>49</v>
      </c>
      <c r="F1687" s="495"/>
      <c r="G1687" s="561"/>
      <c r="H1687" s="561">
        <f>+M1681</f>
        <v>77</v>
      </c>
      <c r="I1687" s="561">
        <f>+H1687</f>
        <v>77</v>
      </c>
      <c r="J1687" s="975">
        <f>+I1687/H1690</f>
        <v>3.5127737226277371E-2</v>
      </c>
      <c r="K1687" s="539"/>
      <c r="O1687" s="468"/>
      <c r="R1687" s="489"/>
    </row>
    <row r="1688" spans="1:18" x14ac:dyDescent="0.25">
      <c r="B1688" s="596"/>
      <c r="C1688" s="526">
        <v>1</v>
      </c>
      <c r="D1688" s="494" t="s">
        <v>51</v>
      </c>
      <c r="F1688" s="495"/>
      <c r="G1688" s="561"/>
      <c r="H1688" s="561"/>
      <c r="I1688" s="1081">
        <f>SUM(H1688:H1689)</f>
        <v>0</v>
      </c>
      <c r="J1688" s="1116">
        <f>+I1688/H1690</f>
        <v>0</v>
      </c>
      <c r="K1688" s="539"/>
      <c r="O1688" s="468"/>
      <c r="R1688" s="489"/>
    </row>
    <row r="1689" spans="1:18" x14ac:dyDescent="0.25">
      <c r="B1689" s="596"/>
      <c r="C1689" s="526">
        <v>1</v>
      </c>
      <c r="D1689" s="467" t="s">
        <v>20</v>
      </c>
      <c r="F1689" s="495"/>
      <c r="G1689" s="561"/>
      <c r="H1689" s="561"/>
      <c r="I1689" s="1083"/>
      <c r="J1689" s="1117"/>
      <c r="K1689" s="539"/>
      <c r="O1689" s="468"/>
      <c r="R1689" s="489"/>
    </row>
    <row r="1690" spans="1:18" x14ac:dyDescent="0.25">
      <c r="B1690" s="596"/>
      <c r="C1690" s="526">
        <v>1</v>
      </c>
      <c r="D1690" s="467" t="s">
        <v>52</v>
      </c>
      <c r="F1690" s="495"/>
      <c r="G1690" s="553" t="s">
        <v>97</v>
      </c>
      <c r="H1690" s="561">
        <f>SUM(H1677:H1689)</f>
        <v>2192</v>
      </c>
      <c r="I1690" s="477"/>
      <c r="J1690" s="974"/>
      <c r="K1690" s="539"/>
      <c r="O1690" s="468"/>
      <c r="R1690" s="489"/>
    </row>
    <row r="1691" spans="1:18" x14ac:dyDescent="0.25">
      <c r="B1691" s="596"/>
      <c r="C1691" s="526">
        <v>1</v>
      </c>
      <c r="D1691" s="467" t="s">
        <v>21</v>
      </c>
      <c r="F1691" s="495"/>
      <c r="G1691" s="553" t="s">
        <v>105</v>
      </c>
      <c r="H1691" s="561">
        <f>H1690*$M$153</f>
        <v>438.40000000000003</v>
      </c>
      <c r="I1691" s="477"/>
      <c r="J1691" s="974"/>
      <c r="K1691" s="539"/>
      <c r="O1691" s="468"/>
      <c r="R1691" s="489"/>
    </row>
    <row r="1692" spans="1:18" x14ac:dyDescent="0.25">
      <c r="B1692" s="562"/>
      <c r="C1692" s="527" t="s">
        <v>17</v>
      </c>
      <c r="D1692" s="522" t="s">
        <v>48</v>
      </c>
      <c r="E1692" s="523"/>
      <c r="F1692" s="524"/>
      <c r="G1692" s="553" t="s">
        <v>452</v>
      </c>
      <c r="H1692" s="561">
        <f>SUM(H1690:H1691)</f>
        <v>2630.4</v>
      </c>
      <c r="I1692" s="477"/>
      <c r="J1692" s="974"/>
      <c r="K1692" s="539"/>
      <c r="O1692" s="468"/>
      <c r="R1692" s="489"/>
    </row>
    <row r="1693" spans="1:18" x14ac:dyDescent="0.25">
      <c r="G1693" s="477"/>
      <c r="H1693" s="477"/>
      <c r="I1693" s="477"/>
      <c r="J1693" s="974"/>
      <c r="K1693" s="539"/>
      <c r="O1693" s="468"/>
      <c r="R1693" s="489"/>
    </row>
    <row r="1694" spans="1:18" s="467" customFormat="1" x14ac:dyDescent="0.2">
      <c r="A1694" s="463"/>
      <c r="B1694" s="555" t="s">
        <v>6</v>
      </c>
      <c r="C1694" s="515" t="s">
        <v>0</v>
      </c>
      <c r="D1694" s="556" t="s">
        <v>8</v>
      </c>
      <c r="E1694" s="525" t="s">
        <v>4</v>
      </c>
      <c r="F1694" s="556" t="s">
        <v>3</v>
      </c>
      <c r="G1694" s="477"/>
      <c r="H1694" s="477"/>
      <c r="I1694" s="477"/>
      <c r="J1694" s="974"/>
      <c r="K1694" s="539"/>
      <c r="Q1694" s="465"/>
    </row>
    <row r="1695" spans="1:18" x14ac:dyDescent="0.25">
      <c r="A1695" s="463">
        <v>153</v>
      </c>
      <c r="B1695" s="1077">
        <f>+B97</f>
        <v>4.2999999999999936</v>
      </c>
      <c r="C1695" s="1077">
        <f>+C97</f>
        <v>1</v>
      </c>
      <c r="D1695" s="1077" t="str">
        <f>+D97</f>
        <v>TABLERO BUSBAR - TIPO 14 (C3.3)</v>
      </c>
      <c r="E1695" s="517">
        <f>+H1711</f>
        <v>2058</v>
      </c>
      <c r="F1695" s="518">
        <f>+E1695*C1695</f>
        <v>2058</v>
      </c>
      <c r="G1695" s="553" t="s">
        <v>450</v>
      </c>
      <c r="H1695" s="553" t="s">
        <v>1</v>
      </c>
      <c r="I1695" s="477"/>
      <c r="J1695" s="974"/>
      <c r="K1695" s="539"/>
      <c r="O1695" s="468"/>
    </row>
    <row r="1696" spans="1:18" ht="16.5" thickBot="1" x14ac:dyDescent="0.3">
      <c r="B1696" s="1078"/>
      <c r="C1696" s="1078"/>
      <c r="D1696" s="1078"/>
      <c r="E1696" s="519" t="s">
        <v>50</v>
      </c>
      <c r="F1696" s="520" t="s">
        <v>50</v>
      </c>
      <c r="G1696" s="553" t="s">
        <v>50</v>
      </c>
      <c r="H1696" s="553" t="s">
        <v>50</v>
      </c>
      <c r="I1696" s="477"/>
      <c r="J1696" s="974"/>
      <c r="K1696" s="539"/>
      <c r="O1696" s="468"/>
    </row>
    <row r="1697" spans="2:18" ht="16.5" thickBot="1" x14ac:dyDescent="0.3">
      <c r="B1697" s="596"/>
      <c r="C1697" s="526"/>
      <c r="F1697" s="495"/>
      <c r="G1697" s="561"/>
      <c r="H1697" s="561"/>
      <c r="I1697" s="477"/>
      <c r="J1697" s="974"/>
      <c r="K1697" s="539"/>
      <c r="L1697" s="540" t="s">
        <v>451</v>
      </c>
      <c r="M1697" s="541"/>
      <c r="O1697" s="468"/>
      <c r="R1697" s="489"/>
    </row>
    <row r="1698" spans="2:18" ht="16.5" thickBot="1" x14ac:dyDescent="0.3">
      <c r="B1698" s="596"/>
      <c r="C1698" s="526">
        <v>2</v>
      </c>
      <c r="D1698" s="539" t="str">
        <f>+'Precios Equipos'!C193</f>
        <v>Gabinete Autosoportado 2100x800x600mm. (Alto x ancho x profundidad)</v>
      </c>
      <c r="F1698" s="495"/>
      <c r="G1698" s="561">
        <f>VLOOKUP(D1698,'Precios Equipos'!$C$11:$F$208,3,0)</f>
        <v>17</v>
      </c>
      <c r="H1698" s="561">
        <f t="shared" ref="H1698" si="174">G1698*C1698</f>
        <v>34</v>
      </c>
      <c r="I1698" s="561">
        <f>+H1698</f>
        <v>34</v>
      </c>
      <c r="J1698" s="975">
        <f>+I1698/H1709</f>
        <v>1.9825072886297375E-2</v>
      </c>
      <c r="K1698" s="539"/>
      <c r="L1698" s="542" t="s">
        <v>88</v>
      </c>
      <c r="M1698" s="543" t="s">
        <v>85</v>
      </c>
      <c r="O1698" s="468"/>
      <c r="Q1698" s="465">
        <f>+C1698*$C$1695</f>
        <v>2</v>
      </c>
      <c r="R1698" s="489"/>
    </row>
    <row r="1699" spans="2:18" x14ac:dyDescent="0.25">
      <c r="B1699" s="596"/>
      <c r="C1699" s="526"/>
      <c r="F1699" s="495"/>
      <c r="G1699" s="561"/>
      <c r="H1699" s="561"/>
      <c r="I1699" s="477"/>
      <c r="J1699" s="974"/>
      <c r="K1699" s="539"/>
      <c r="L1699" s="544" t="str">
        <f>+'Precios Equipos'!C122</f>
        <v>COBRE BUS BAR TIPO 14 (C01;G01), (C02;G01), (C01;G03), (C02;G03), (C03;G01), (C03;G03)</v>
      </c>
      <c r="M1699" s="545">
        <f>IFERROR(VLOOKUP(L1699,'Precios Equipos'!$C$11:$F$208,3,0),0)</f>
        <v>14</v>
      </c>
      <c r="O1699" s="468"/>
      <c r="R1699" s="489"/>
    </row>
    <row r="1700" spans="2:18" x14ac:dyDescent="0.25">
      <c r="B1700" s="596"/>
      <c r="C1700" s="526"/>
      <c r="D1700" s="620" t="s">
        <v>568</v>
      </c>
      <c r="F1700" s="495"/>
      <c r="G1700" s="561"/>
      <c r="H1700" s="561"/>
      <c r="I1700" s="477"/>
      <c r="J1700" s="974"/>
      <c r="K1700" s="539"/>
      <c r="L1700" s="544" t="str">
        <f>+'Precios Equipos'!C157</f>
        <v>M. Obra Electricidad BUS BAR TIPO 14 (C01;G01), (C02;G01), (C01;G03), (C02;G03), (C03;G01), (C03;G03)</v>
      </c>
      <c r="M1700" s="545">
        <f>IFERROR(VLOOKUP(L1700,'Precios Equipos'!$C$11:$F$208,3,0),0)</f>
        <v>0</v>
      </c>
      <c r="O1700" s="468"/>
      <c r="R1700" s="489"/>
    </row>
    <row r="1701" spans="2:18" ht="16.5" thickBot="1" x14ac:dyDescent="0.3">
      <c r="B1701" s="596"/>
      <c r="C1701" s="526">
        <v>6</v>
      </c>
      <c r="D1701" s="467" t="str">
        <f>+'Precios Equipos'!C46</f>
        <v>ITM 3x320A, Caja Moldeada (128-320)A, 70kA en 220V, XT5N, ABB, DC</v>
      </c>
      <c r="F1701" s="495"/>
      <c r="G1701" s="561">
        <f>VLOOKUP(D1701,'Precios Equipos'!$C$25:$F$208,3,0)</f>
        <v>72</v>
      </c>
      <c r="H1701" s="561">
        <f t="shared" ref="H1701:H1703" si="175">G1701*C1701</f>
        <v>432</v>
      </c>
      <c r="I1701" s="1081">
        <f>SUM(H1701:H1703)</f>
        <v>1604</v>
      </c>
      <c r="J1701" s="1116">
        <f>+I1701/H1709</f>
        <v>0.93527696793002912</v>
      </c>
      <c r="K1701" s="539"/>
      <c r="L1701" s="544" t="str">
        <f>+'Precios Equipos'!$C$205</f>
        <v>Diseño Ingenieria Tableros Autosoportados</v>
      </c>
      <c r="M1701" s="545">
        <f>IFERROR(VLOOKUP(L1701,'Precios Equipos'!$C$11:$F$208,3,0),0)</f>
        <v>63</v>
      </c>
      <c r="O1701" s="468"/>
      <c r="Q1701" s="465">
        <f>+C1701*$C$1695</f>
        <v>6</v>
      </c>
      <c r="R1701" s="489"/>
    </row>
    <row r="1702" spans="2:18" ht="16.5" thickBot="1" x14ac:dyDescent="0.3">
      <c r="B1702" s="596"/>
      <c r="C1702" s="526">
        <v>4</v>
      </c>
      <c r="D1702" s="467" t="str">
        <f>+'Precios Equipos'!C64</f>
        <v>Seccionador Portafusible XLP1-1P-2BC, 250A, 1SEP600116R0002, ABB</v>
      </c>
      <c r="F1702" s="495"/>
      <c r="G1702" s="561">
        <f>VLOOKUP(D1702,'Precios Equipos'!$C$25:$F$208,3,0)</f>
        <v>148</v>
      </c>
      <c r="H1702" s="561">
        <f t="shared" si="175"/>
        <v>592</v>
      </c>
      <c r="I1702" s="1082"/>
      <c r="J1702" s="1129"/>
      <c r="K1702" s="539"/>
      <c r="L1702" s="546" t="s">
        <v>89</v>
      </c>
      <c r="M1702" s="560">
        <f>SUM(M1699:M1701)</f>
        <v>77</v>
      </c>
      <c r="O1702" s="468"/>
      <c r="Q1702" s="465">
        <f>+C1702*$C$1695</f>
        <v>4</v>
      </c>
      <c r="R1702" s="489"/>
    </row>
    <row r="1703" spans="2:18" x14ac:dyDescent="0.25">
      <c r="B1703" s="596"/>
      <c r="C1703" s="526">
        <v>4</v>
      </c>
      <c r="D1703" s="467" t="str">
        <f>+'Precios Equipos'!$C$65</f>
        <v>Fusible tipo NH1 250A</v>
      </c>
      <c r="F1703" s="495"/>
      <c r="G1703" s="561">
        <f>VLOOKUP(D1703,'Precios Equipos'!$C$11:$F$208,3,0)</f>
        <v>145</v>
      </c>
      <c r="H1703" s="561">
        <f t="shared" si="175"/>
        <v>580</v>
      </c>
      <c r="I1703" s="1083"/>
      <c r="J1703" s="1117"/>
      <c r="K1703" s="539"/>
      <c r="O1703" s="468"/>
      <c r="Q1703" s="465">
        <f>+C1703*$C$1695</f>
        <v>4</v>
      </c>
      <c r="R1703" s="489"/>
    </row>
    <row r="1704" spans="2:18" x14ac:dyDescent="0.25">
      <c r="B1704" s="596"/>
      <c r="C1704" s="526"/>
      <c r="F1704" s="495"/>
      <c r="G1704" s="561"/>
      <c r="H1704" s="561"/>
      <c r="I1704" s="477"/>
      <c r="J1704" s="974"/>
      <c r="K1704" s="539"/>
      <c r="O1704" s="468"/>
      <c r="R1704" s="489"/>
    </row>
    <row r="1705" spans="2:18" x14ac:dyDescent="0.25">
      <c r="B1705" s="596"/>
      <c r="C1705" s="526"/>
      <c r="D1705" s="620" t="s">
        <v>87</v>
      </c>
      <c r="F1705" s="495"/>
      <c r="G1705" s="561"/>
      <c r="H1705" s="561"/>
      <c r="I1705" s="477"/>
      <c r="J1705" s="974"/>
      <c r="K1705" s="539"/>
      <c r="O1705" s="468"/>
      <c r="R1705" s="489"/>
    </row>
    <row r="1706" spans="2:18" x14ac:dyDescent="0.25">
      <c r="B1706" s="596"/>
      <c r="C1706" s="526">
        <v>1</v>
      </c>
      <c r="D1706" s="494" t="s">
        <v>49</v>
      </c>
      <c r="F1706" s="495"/>
      <c r="G1706" s="561"/>
      <c r="H1706" s="561">
        <f>+M1702</f>
        <v>77</v>
      </c>
      <c r="I1706" s="561">
        <f>+H1706</f>
        <v>77</v>
      </c>
      <c r="J1706" s="975">
        <f>+I1706/H1709</f>
        <v>4.4897959183673466E-2</v>
      </c>
      <c r="K1706" s="539"/>
      <c r="O1706" s="468"/>
      <c r="R1706" s="489"/>
    </row>
    <row r="1707" spans="2:18" x14ac:dyDescent="0.25">
      <c r="B1707" s="596"/>
      <c r="C1707" s="526">
        <v>1</v>
      </c>
      <c r="D1707" s="494" t="s">
        <v>51</v>
      </c>
      <c r="F1707" s="495"/>
      <c r="G1707" s="561"/>
      <c r="H1707" s="561"/>
      <c r="I1707" s="1081">
        <f>SUM(H1707:H1708)</f>
        <v>0</v>
      </c>
      <c r="J1707" s="1116">
        <f>+I1707/H1709</f>
        <v>0</v>
      </c>
      <c r="K1707" s="539"/>
      <c r="O1707" s="468"/>
      <c r="R1707" s="489"/>
    </row>
    <row r="1708" spans="2:18" x14ac:dyDescent="0.25">
      <c r="B1708" s="596"/>
      <c r="C1708" s="526">
        <v>1</v>
      </c>
      <c r="D1708" s="467" t="s">
        <v>20</v>
      </c>
      <c r="F1708" s="495"/>
      <c r="G1708" s="561"/>
      <c r="H1708" s="561"/>
      <c r="I1708" s="1083"/>
      <c r="J1708" s="1117"/>
      <c r="K1708" s="539"/>
      <c r="O1708" s="468"/>
      <c r="R1708" s="489"/>
    </row>
    <row r="1709" spans="2:18" x14ac:dyDescent="0.25">
      <c r="B1709" s="596"/>
      <c r="C1709" s="526">
        <v>1</v>
      </c>
      <c r="D1709" s="467" t="s">
        <v>52</v>
      </c>
      <c r="F1709" s="495"/>
      <c r="G1709" s="553" t="s">
        <v>97</v>
      </c>
      <c r="H1709" s="561">
        <f>SUM(H1697:H1708)</f>
        <v>1715</v>
      </c>
      <c r="I1709" s="477"/>
      <c r="J1709" s="974"/>
      <c r="K1709" s="539"/>
      <c r="O1709" s="468"/>
      <c r="R1709" s="489"/>
    </row>
    <row r="1710" spans="2:18" x14ac:dyDescent="0.25">
      <c r="B1710" s="596"/>
      <c r="C1710" s="526">
        <v>1</v>
      </c>
      <c r="D1710" s="467" t="s">
        <v>21</v>
      </c>
      <c r="F1710" s="495"/>
      <c r="G1710" s="553" t="s">
        <v>105</v>
      </c>
      <c r="H1710" s="561">
        <f>H1709*$M$153</f>
        <v>343</v>
      </c>
      <c r="I1710" s="477"/>
      <c r="J1710" s="974"/>
      <c r="K1710" s="539"/>
      <c r="O1710" s="468"/>
      <c r="R1710" s="489"/>
    </row>
    <row r="1711" spans="2:18" x14ac:dyDescent="0.25">
      <c r="B1711" s="562"/>
      <c r="C1711" s="527" t="s">
        <v>17</v>
      </c>
      <c r="D1711" s="522" t="s">
        <v>48</v>
      </c>
      <c r="E1711" s="523"/>
      <c r="F1711" s="524"/>
      <c r="G1711" s="553" t="s">
        <v>452</v>
      </c>
      <c r="H1711" s="561">
        <f>SUM(H1709:H1710)</f>
        <v>2058</v>
      </c>
      <c r="I1711" s="477"/>
      <c r="J1711" s="974"/>
      <c r="K1711" s="539"/>
      <c r="O1711" s="468"/>
      <c r="R1711" s="489"/>
    </row>
    <row r="1712" spans="2:18" x14ac:dyDescent="0.25">
      <c r="G1712" s="477"/>
      <c r="H1712" s="477"/>
      <c r="I1712" s="477"/>
      <c r="J1712" s="974"/>
      <c r="K1712" s="539"/>
      <c r="O1712" s="468"/>
      <c r="R1712" s="489"/>
    </row>
    <row r="1713" spans="1:18" s="467" customFormat="1" x14ac:dyDescent="0.25">
      <c r="A1713" s="463"/>
      <c r="B1713" s="555" t="s">
        <v>6</v>
      </c>
      <c r="C1713" s="515" t="s">
        <v>0</v>
      </c>
      <c r="D1713" s="556" t="s">
        <v>8</v>
      </c>
      <c r="E1713" s="525" t="s">
        <v>4</v>
      </c>
      <c r="F1713" s="556" t="s">
        <v>3</v>
      </c>
      <c r="G1713" s="477"/>
      <c r="H1713" s="477"/>
      <c r="I1713" s="477"/>
      <c r="J1713" s="974"/>
      <c r="K1713" s="539"/>
      <c r="N1713" s="468"/>
      <c r="Q1713" s="465"/>
    </row>
    <row r="1714" spans="1:18" ht="16.5" thickBot="1" x14ac:dyDescent="0.3">
      <c r="A1714" s="463">
        <v>153</v>
      </c>
      <c r="B1714" s="1077">
        <f>+B98</f>
        <v>4.3099999999999934</v>
      </c>
      <c r="C1714" s="1077">
        <f>+C98</f>
        <v>1</v>
      </c>
      <c r="D1714" s="1077" t="str">
        <f>+D98</f>
        <v>TABLERO BUSBAR - TIPO 14 (C3.4)</v>
      </c>
      <c r="E1714" s="517">
        <f>+H1731</f>
        <v>2630.4</v>
      </c>
      <c r="F1714" s="518">
        <f>+E1714*C1714</f>
        <v>2630.4</v>
      </c>
      <c r="G1714" s="553" t="s">
        <v>450</v>
      </c>
      <c r="H1714" s="553" t="s">
        <v>1</v>
      </c>
      <c r="I1714" s="477"/>
      <c r="J1714" s="974"/>
      <c r="K1714" s="539"/>
      <c r="O1714" s="468"/>
    </row>
    <row r="1715" spans="1:18" ht="16.5" thickBot="1" x14ac:dyDescent="0.3">
      <c r="B1715" s="1078"/>
      <c r="C1715" s="1078"/>
      <c r="D1715" s="1078"/>
      <c r="E1715" s="519" t="s">
        <v>50</v>
      </c>
      <c r="F1715" s="520" t="s">
        <v>50</v>
      </c>
      <c r="G1715" s="553" t="s">
        <v>50</v>
      </c>
      <c r="H1715" s="553" t="s">
        <v>50</v>
      </c>
      <c r="I1715" s="477"/>
      <c r="J1715" s="974"/>
      <c r="K1715" s="539"/>
      <c r="L1715" s="540" t="s">
        <v>451</v>
      </c>
      <c r="M1715" s="541"/>
      <c r="O1715" s="468"/>
    </row>
    <row r="1716" spans="1:18" ht="16.5" thickBot="1" x14ac:dyDescent="0.3">
      <c r="B1716" s="596"/>
      <c r="C1716" s="526"/>
      <c r="F1716" s="495"/>
      <c r="G1716" s="561"/>
      <c r="H1716" s="561"/>
      <c r="I1716" s="477"/>
      <c r="J1716" s="974"/>
      <c r="K1716" s="539"/>
      <c r="L1716" s="542" t="s">
        <v>88</v>
      </c>
      <c r="M1716" s="543" t="s">
        <v>85</v>
      </c>
      <c r="O1716" s="468"/>
      <c r="R1716" s="489"/>
    </row>
    <row r="1717" spans="1:18" x14ac:dyDescent="0.25">
      <c r="B1717" s="596"/>
      <c r="C1717" s="526">
        <v>2</v>
      </c>
      <c r="D1717" s="539" t="str">
        <f>+'Precios Equipos'!C193</f>
        <v>Gabinete Autosoportado 2100x800x600mm. (Alto x ancho x profundidad)</v>
      </c>
      <c r="F1717" s="495"/>
      <c r="G1717" s="561">
        <f>VLOOKUP(D1717,'Precios Equipos'!$C$11:$F$208,3,0)</f>
        <v>17</v>
      </c>
      <c r="H1717" s="561">
        <f t="shared" ref="H1717" si="176">G1717*C1717</f>
        <v>34</v>
      </c>
      <c r="I1717" s="561">
        <f>+H1717</f>
        <v>34</v>
      </c>
      <c r="J1717" s="975">
        <f>+I1717/H1729</f>
        <v>1.5510948905109489E-2</v>
      </c>
      <c r="K1717" s="539"/>
      <c r="L1717" s="544" t="str">
        <f>+'Precios Equipos'!C122</f>
        <v>COBRE BUS BAR TIPO 14 (C01;G01), (C02;G01), (C01;G03), (C02;G03), (C03;G01), (C03;G03)</v>
      </c>
      <c r="M1717" s="545">
        <f>IFERROR(VLOOKUP(L1717,'Precios Equipos'!$C$11:$F$208,3,0),0)</f>
        <v>14</v>
      </c>
      <c r="O1717" s="468"/>
      <c r="Q1717" s="465">
        <f>+C1717*$C$1714</f>
        <v>2</v>
      </c>
      <c r="R1717" s="489"/>
    </row>
    <row r="1718" spans="1:18" x14ac:dyDescent="0.25">
      <c r="B1718" s="596"/>
      <c r="C1718" s="526"/>
      <c r="F1718" s="495"/>
      <c r="G1718" s="561"/>
      <c r="H1718" s="561"/>
      <c r="I1718" s="477"/>
      <c r="J1718" s="974"/>
      <c r="K1718" s="539"/>
      <c r="L1718" s="544" t="str">
        <f>+'Precios Equipos'!C157</f>
        <v>M. Obra Electricidad BUS BAR TIPO 14 (C01;G01), (C02;G01), (C01;G03), (C02;G03), (C03;G01), (C03;G03)</v>
      </c>
      <c r="M1718" s="545">
        <f>IFERROR(VLOOKUP(L1718,'Precios Equipos'!$C$11:$F$208,3,0),0)</f>
        <v>0</v>
      </c>
      <c r="O1718" s="468"/>
      <c r="R1718" s="489"/>
    </row>
    <row r="1719" spans="1:18" ht="16.5" thickBot="1" x14ac:dyDescent="0.3">
      <c r="B1719" s="596"/>
      <c r="C1719" s="526"/>
      <c r="D1719" s="620" t="s">
        <v>568</v>
      </c>
      <c r="F1719" s="495"/>
      <c r="G1719" s="561"/>
      <c r="H1719" s="561"/>
      <c r="I1719" s="477"/>
      <c r="J1719" s="974"/>
      <c r="K1719" s="539"/>
      <c r="L1719" s="544" t="str">
        <f>+'Precios Equipos'!$C$205</f>
        <v>Diseño Ingenieria Tableros Autosoportados</v>
      </c>
      <c r="M1719" s="545">
        <f>IFERROR(VLOOKUP(L1719,'Precios Equipos'!$C$11:$F$208,3,0),0)</f>
        <v>63</v>
      </c>
      <c r="O1719" s="468"/>
      <c r="R1719" s="489"/>
    </row>
    <row r="1720" spans="1:18" ht="16.5" thickBot="1" x14ac:dyDescent="0.3">
      <c r="B1720" s="596"/>
      <c r="C1720" s="526">
        <v>6</v>
      </c>
      <c r="D1720" s="467" t="str">
        <f>+'Precios Equipos'!C46</f>
        <v>ITM 3x320A, Caja Moldeada (128-320)A, 70kA en 220V, XT5N, ABB, DC</v>
      </c>
      <c r="F1720" s="495"/>
      <c r="G1720" s="561">
        <f>VLOOKUP(D1720,'Precios Equipos'!$C$11:$F$208,3,0)</f>
        <v>72</v>
      </c>
      <c r="H1720" s="561">
        <f t="shared" ref="H1720:H1723" si="177">G1720*C1720</f>
        <v>432</v>
      </c>
      <c r="I1720" s="1081">
        <f>SUM(H1720:H1723)</f>
        <v>2081</v>
      </c>
      <c r="J1720" s="1121">
        <f>+I1720/H1729</f>
        <v>0.94936131386861311</v>
      </c>
      <c r="K1720" s="539"/>
      <c r="L1720" s="546" t="s">
        <v>89</v>
      </c>
      <c r="M1720" s="560">
        <f>SUM(M1717:M1719)</f>
        <v>77</v>
      </c>
      <c r="O1720" s="468"/>
      <c r="Q1720" s="465">
        <f>+C1720*$C$1714</f>
        <v>6</v>
      </c>
      <c r="R1720" s="489"/>
    </row>
    <row r="1721" spans="1:18" x14ac:dyDescent="0.25">
      <c r="B1721" s="596"/>
      <c r="C1721" s="526">
        <v>2</v>
      </c>
      <c r="D1721" s="467" t="str">
        <f>+'Precios Equipos'!C43</f>
        <v>ITM 2x160A, Caja Moldeada 160A, 50kA en 220V, A2N 250, ABB, DC</v>
      </c>
      <c r="F1721" s="495"/>
      <c r="G1721" s="561">
        <f>VLOOKUP(D1721,'Precios Equipos'!$C$11:$F$208,3,0)</f>
        <v>92</v>
      </c>
      <c r="H1721" s="561">
        <f t="shared" si="177"/>
        <v>184</v>
      </c>
      <c r="I1721" s="1082"/>
      <c r="J1721" s="1122"/>
      <c r="K1721" s="539"/>
      <c r="O1721" s="468"/>
      <c r="Q1721" s="465">
        <f>+C1721*$C$1714</f>
        <v>2</v>
      </c>
      <c r="R1721" s="489"/>
    </row>
    <row r="1722" spans="1:18" x14ac:dyDescent="0.25">
      <c r="B1722" s="596"/>
      <c r="C1722" s="526">
        <v>5</v>
      </c>
      <c r="D1722" s="467" t="str">
        <f>+'Precios Equipos'!C64</f>
        <v>Seccionador Portafusible XLP1-1P-2BC, 250A, 1SEP600116R0002, ABB</v>
      </c>
      <c r="F1722" s="495"/>
      <c r="G1722" s="561">
        <f>VLOOKUP(D1722,'Precios Equipos'!$C$11:$F$208,3,0)</f>
        <v>148</v>
      </c>
      <c r="H1722" s="561">
        <f t="shared" si="177"/>
        <v>740</v>
      </c>
      <c r="I1722" s="1082"/>
      <c r="J1722" s="1122"/>
      <c r="K1722" s="539"/>
      <c r="O1722" s="468"/>
      <c r="Q1722" s="465">
        <f>+C1722*$C$1714</f>
        <v>5</v>
      </c>
      <c r="R1722" s="489"/>
    </row>
    <row r="1723" spans="1:18" x14ac:dyDescent="0.25">
      <c r="B1723" s="596"/>
      <c r="C1723" s="526">
        <v>5</v>
      </c>
      <c r="D1723" s="467" t="str">
        <f>+'Precios Equipos'!$C$65</f>
        <v>Fusible tipo NH1 250A</v>
      </c>
      <c r="F1723" s="495"/>
      <c r="G1723" s="561">
        <f>VLOOKUP(D1723,'Precios Equipos'!$C$11:$F$208,3,0)</f>
        <v>145</v>
      </c>
      <c r="H1723" s="561">
        <f t="shared" si="177"/>
        <v>725</v>
      </c>
      <c r="I1723" s="1083"/>
      <c r="J1723" s="1123"/>
      <c r="K1723" s="539"/>
      <c r="O1723" s="468"/>
      <c r="Q1723" s="465">
        <f>+C1723*$C$1714</f>
        <v>5</v>
      </c>
      <c r="R1723" s="489"/>
    </row>
    <row r="1724" spans="1:18" x14ac:dyDescent="0.25">
      <c r="B1724" s="596"/>
      <c r="C1724" s="526"/>
      <c r="F1724" s="495"/>
      <c r="G1724" s="561"/>
      <c r="H1724" s="561"/>
      <c r="I1724" s="477"/>
      <c r="J1724" s="974"/>
      <c r="K1724" s="539"/>
      <c r="O1724" s="468"/>
      <c r="R1724" s="489"/>
    </row>
    <row r="1725" spans="1:18" x14ac:dyDescent="0.25">
      <c r="B1725" s="596"/>
      <c r="C1725" s="526"/>
      <c r="D1725" s="620" t="s">
        <v>87</v>
      </c>
      <c r="F1725" s="495"/>
      <c r="G1725" s="561"/>
      <c r="H1725" s="561"/>
      <c r="I1725" s="477"/>
      <c r="J1725" s="974"/>
      <c r="K1725" s="539"/>
      <c r="O1725" s="468"/>
      <c r="R1725" s="489"/>
    </row>
    <row r="1726" spans="1:18" x14ac:dyDescent="0.25">
      <c r="B1726" s="596"/>
      <c r="C1726" s="526">
        <v>1</v>
      </c>
      <c r="D1726" s="494" t="s">
        <v>49</v>
      </c>
      <c r="F1726" s="495"/>
      <c r="G1726" s="561"/>
      <c r="H1726" s="561">
        <f>+M1720</f>
        <v>77</v>
      </c>
      <c r="I1726" s="561">
        <f>+H1726</f>
        <v>77</v>
      </c>
      <c r="J1726" s="975">
        <f>+I1726/H1729</f>
        <v>3.5127737226277371E-2</v>
      </c>
      <c r="K1726" s="539"/>
      <c r="O1726" s="468"/>
      <c r="R1726" s="489"/>
    </row>
    <row r="1727" spans="1:18" x14ac:dyDescent="0.25">
      <c r="B1727" s="596"/>
      <c r="C1727" s="526">
        <v>1</v>
      </c>
      <c r="D1727" s="494" t="s">
        <v>51</v>
      </c>
      <c r="F1727" s="495"/>
      <c r="G1727" s="561"/>
      <c r="H1727" s="561"/>
      <c r="I1727" s="1081">
        <f>SUM(H1727:H1728)</f>
        <v>0</v>
      </c>
      <c r="J1727" s="1116">
        <f>+I1727/H1729</f>
        <v>0</v>
      </c>
      <c r="K1727" s="539"/>
      <c r="O1727" s="468"/>
      <c r="R1727" s="489"/>
    </row>
    <row r="1728" spans="1:18" x14ac:dyDescent="0.25">
      <c r="B1728" s="596"/>
      <c r="C1728" s="526">
        <v>1</v>
      </c>
      <c r="D1728" s="467" t="s">
        <v>20</v>
      </c>
      <c r="F1728" s="495"/>
      <c r="G1728" s="561"/>
      <c r="H1728" s="561"/>
      <c r="I1728" s="1083"/>
      <c r="J1728" s="1117"/>
      <c r="K1728" s="539"/>
      <c r="O1728" s="468"/>
      <c r="R1728" s="489"/>
    </row>
    <row r="1729" spans="1:18" x14ac:dyDescent="0.25">
      <c r="B1729" s="596"/>
      <c r="C1729" s="526">
        <v>1</v>
      </c>
      <c r="D1729" s="467" t="s">
        <v>52</v>
      </c>
      <c r="F1729" s="495"/>
      <c r="G1729" s="553" t="s">
        <v>97</v>
      </c>
      <c r="H1729" s="561">
        <f>SUM(H1716:H1728)</f>
        <v>2192</v>
      </c>
      <c r="I1729" s="477"/>
      <c r="J1729" s="974"/>
      <c r="K1729" s="539"/>
      <c r="O1729" s="468"/>
      <c r="R1729" s="489"/>
    </row>
    <row r="1730" spans="1:18" x14ac:dyDescent="0.25">
      <c r="B1730" s="596"/>
      <c r="C1730" s="526">
        <v>1</v>
      </c>
      <c r="D1730" s="467" t="s">
        <v>21</v>
      </c>
      <c r="F1730" s="495"/>
      <c r="G1730" s="553" t="s">
        <v>105</v>
      </c>
      <c r="H1730" s="561">
        <f>H1729*$M$153</f>
        <v>438.40000000000003</v>
      </c>
      <c r="I1730" s="477"/>
      <c r="J1730" s="974"/>
      <c r="K1730" s="539"/>
      <c r="O1730" s="468"/>
      <c r="R1730" s="489"/>
    </row>
    <row r="1731" spans="1:18" x14ac:dyDescent="0.25">
      <c r="B1731" s="562"/>
      <c r="C1731" s="527" t="s">
        <v>17</v>
      </c>
      <c r="D1731" s="522" t="s">
        <v>48</v>
      </c>
      <c r="E1731" s="523"/>
      <c r="F1731" s="524"/>
      <c r="G1731" s="553" t="s">
        <v>452</v>
      </c>
      <c r="H1731" s="561">
        <f>SUM(H1729:H1730)</f>
        <v>2630.4</v>
      </c>
      <c r="I1731" s="477"/>
      <c r="J1731" s="974"/>
      <c r="K1731" s="539"/>
      <c r="O1731" s="468"/>
      <c r="R1731" s="489"/>
    </row>
    <row r="1732" spans="1:18" x14ac:dyDescent="0.25">
      <c r="G1732" s="477"/>
      <c r="H1732" s="477"/>
      <c r="I1732" s="477"/>
      <c r="K1732" s="539"/>
      <c r="O1732" s="468"/>
      <c r="R1732" s="489"/>
    </row>
    <row r="1733" spans="1:18" x14ac:dyDescent="0.25">
      <c r="B1733" s="514" t="s">
        <v>6</v>
      </c>
      <c r="C1733" s="515" t="s">
        <v>0</v>
      </c>
      <c r="D1733" s="525" t="s">
        <v>8</v>
      </c>
      <c r="E1733" s="516" t="s">
        <v>4</v>
      </c>
      <c r="F1733" s="516" t="s">
        <v>3</v>
      </c>
      <c r="G1733" s="477"/>
      <c r="H1733" s="477"/>
      <c r="I1733" s="477"/>
      <c r="K1733" s="539"/>
      <c r="O1733" s="468"/>
    </row>
    <row r="1734" spans="1:18" ht="27" customHeight="1" thickBot="1" x14ac:dyDescent="0.3">
      <c r="A1734" s="463">
        <v>165</v>
      </c>
      <c r="B1734" s="1077">
        <f>B100</f>
        <v>5.01</v>
      </c>
      <c r="C1734" s="1091">
        <f>C100</f>
        <v>1</v>
      </c>
      <c r="D1734" s="1094" t="str">
        <f>D100</f>
        <v>TABLERO FOTOVOLTAICO AC AUTOSOPORTARDO EXTERIOR DE BARRAS R,S,T,N DE 380VAC 500A (CONEXIONADO DE INVERSORES AISLADOS Y DE RED)</v>
      </c>
      <c r="E1734" s="517">
        <f>H1753</f>
        <v>340.8</v>
      </c>
      <c r="F1734" s="518">
        <f>+E1734*C1734</f>
        <v>340.8</v>
      </c>
      <c r="G1734" s="553" t="s">
        <v>450</v>
      </c>
      <c r="H1734" s="553" t="s">
        <v>1</v>
      </c>
      <c r="I1734" s="477"/>
    </row>
    <row r="1735" spans="1:18" ht="21" customHeight="1" thickBot="1" x14ac:dyDescent="0.3">
      <c r="B1735" s="1078"/>
      <c r="C1735" s="1092"/>
      <c r="D1735" s="1090"/>
      <c r="E1735" s="614" t="s">
        <v>50</v>
      </c>
      <c r="F1735" s="615" t="s">
        <v>50</v>
      </c>
      <c r="G1735" s="553" t="s">
        <v>50</v>
      </c>
      <c r="H1735" s="553" t="s">
        <v>50</v>
      </c>
      <c r="I1735" s="477"/>
      <c r="K1735" s="539"/>
      <c r="L1735" s="540" t="s">
        <v>451</v>
      </c>
      <c r="M1735" s="541"/>
    </row>
    <row r="1736" spans="1:18" ht="16.5" thickBot="1" x14ac:dyDescent="0.3">
      <c r="B1736" s="490"/>
      <c r="C1736" s="526"/>
      <c r="D1736" s="463"/>
      <c r="E1736" s="491"/>
      <c r="F1736" s="492"/>
      <c r="G1736" s="561"/>
      <c r="H1736" s="561"/>
      <c r="I1736" s="477"/>
      <c r="K1736" s="539"/>
      <c r="L1736" s="542" t="s">
        <v>88</v>
      </c>
      <c r="M1736" s="543" t="s">
        <v>85</v>
      </c>
    </row>
    <row r="1737" spans="1:18" x14ac:dyDescent="0.25">
      <c r="B1737" s="493"/>
      <c r="C1737" s="526">
        <v>1</v>
      </c>
      <c r="D1737" s="494" t="str">
        <f>+'Precios Equipos'!C193</f>
        <v>Gabinete Autosoportado 2100x800x600mm. (Alto x ancho x profundidad)</v>
      </c>
      <c r="F1737" s="495"/>
      <c r="G1737" s="561">
        <f>VLOOKUP(D1737,'Precios Equipos'!$C$25:$F$208,3,0)</f>
        <v>17</v>
      </c>
      <c r="H1737" s="561">
        <f>G1737*C1737</f>
        <v>17</v>
      </c>
      <c r="I1737" s="561">
        <f>+H1737</f>
        <v>17</v>
      </c>
      <c r="J1737" s="924">
        <f>+I1737/H1751</f>
        <v>5.9859154929577461E-2</v>
      </c>
      <c r="K1737" s="539"/>
      <c r="L1737" s="544" t="str">
        <f>+'Precios Equipos'!C125</f>
        <v>COBRE TABLERO ITEM 5.01</v>
      </c>
      <c r="M1737" s="545">
        <f>IFERROR(VLOOKUP(L1737,'Precios Equipos'!$C$11:$F$208,3,0),0)</f>
        <v>0</v>
      </c>
      <c r="Q1737" s="465">
        <f>+C1737*$C$1734</f>
        <v>1</v>
      </c>
    </row>
    <row r="1738" spans="1:18" x14ac:dyDescent="0.25">
      <c r="B1738" s="493"/>
      <c r="C1738" s="526"/>
      <c r="D1738" s="494"/>
      <c r="F1738" s="495"/>
      <c r="G1738" s="561"/>
      <c r="H1738" s="561"/>
      <c r="I1738" s="477"/>
      <c r="K1738" s="539"/>
      <c r="L1738" s="544" t="str">
        <f>+'Precios Equipos'!C160</f>
        <v>M. Obra Electricidad Tablero Fotovoltaico AC</v>
      </c>
      <c r="M1738" s="545">
        <f>IFERROR(VLOOKUP(L1738,'Precios Equipos'!$C$11:$F$208,3,0),0)</f>
        <v>0</v>
      </c>
    </row>
    <row r="1739" spans="1:18" ht="16.5" thickBot="1" x14ac:dyDescent="0.3">
      <c r="B1739" s="493"/>
      <c r="C1739" s="526"/>
      <c r="D1739" s="620" t="s">
        <v>463</v>
      </c>
      <c r="F1739" s="495"/>
      <c r="G1739" s="561"/>
      <c r="H1739" s="561"/>
      <c r="I1739" s="477"/>
      <c r="K1739" s="539"/>
      <c r="L1739" s="544" t="str">
        <f>+'Precios Equipos'!$C$205</f>
        <v>Diseño Ingenieria Tableros Autosoportados</v>
      </c>
      <c r="M1739" s="545">
        <f>IFERROR(VLOOKUP(L1739,'Precios Equipos'!$C$11:$F$208,3,0),0)</f>
        <v>63</v>
      </c>
    </row>
    <row r="1740" spans="1:18" ht="16.5" thickBot="1" x14ac:dyDescent="0.3">
      <c r="B1740" s="493"/>
      <c r="C1740" s="526">
        <v>1</v>
      </c>
      <c r="D1740" s="494" t="str">
        <f>+'Precios Equipos'!C25</f>
        <v>ITM 3x800A, Caja Moldeada (320-800)A, 36kA en 380VAC, XT6N, ABB</v>
      </c>
      <c r="F1740" s="497"/>
      <c r="G1740" s="561">
        <f>VLOOKUP(D1740,'Precios Equipos'!$C$25:$F$208,3,0)</f>
        <v>1</v>
      </c>
      <c r="H1740" s="561">
        <f t="shared" ref="H1740" si="178">G1740*C1740</f>
        <v>1</v>
      </c>
      <c r="I1740" s="1087">
        <f>SUM(H1740:H1744)</f>
        <v>204</v>
      </c>
      <c r="J1740" s="1088">
        <f>+I1740/H1751</f>
        <v>0.71830985915492962</v>
      </c>
      <c r="K1740" s="539"/>
      <c r="L1740" s="546" t="s">
        <v>89</v>
      </c>
      <c r="M1740" s="560">
        <f>SUM(M1737:M1739)</f>
        <v>63</v>
      </c>
      <c r="Q1740" s="465">
        <f>+C1740*$C$1734</f>
        <v>1</v>
      </c>
    </row>
    <row r="1741" spans="1:18" x14ac:dyDescent="0.25">
      <c r="B1741" s="493"/>
      <c r="C1741" s="526"/>
      <c r="D1741" s="494"/>
      <c r="F1741" s="497"/>
      <c r="G1741" s="561"/>
      <c r="H1741" s="561"/>
      <c r="I1741" s="1087"/>
      <c r="J1741" s="1088"/>
      <c r="K1741" s="539"/>
    </row>
    <row r="1742" spans="1:18" x14ac:dyDescent="0.25">
      <c r="B1742" s="493"/>
      <c r="C1742" s="526"/>
      <c r="D1742" s="620" t="s">
        <v>253</v>
      </c>
      <c r="F1742" s="497"/>
      <c r="G1742" s="561"/>
      <c r="H1742" s="561"/>
      <c r="I1742" s="1087"/>
      <c r="J1742" s="1088"/>
      <c r="K1742" s="539"/>
    </row>
    <row r="1743" spans="1:18" x14ac:dyDescent="0.25">
      <c r="B1743" s="493"/>
      <c r="C1743" s="526">
        <v>12</v>
      </c>
      <c r="D1743" s="494" t="str">
        <f>+'Precios Equipos'!C23</f>
        <v>ITM 4x100A, Caja Moldeada (70-100)A, 36kA en 380VAC, XT1, ABB</v>
      </c>
      <c r="F1743" s="497"/>
      <c r="G1743" s="561">
        <f>VLOOKUP(D1743,'Precios Equipos'!$C$11:$F$208,3,0)</f>
        <v>12</v>
      </c>
      <c r="H1743" s="561">
        <f t="shared" ref="H1743:H1744" si="179">G1743*C1743</f>
        <v>144</v>
      </c>
      <c r="I1743" s="1087"/>
      <c r="J1743" s="1088"/>
      <c r="K1743" s="539"/>
      <c r="Q1743" s="465">
        <f t="shared" ref="Q1743" si="180">+C1743*$C$1734</f>
        <v>12</v>
      </c>
    </row>
    <row r="1744" spans="1:18" x14ac:dyDescent="0.25">
      <c r="B1744" s="493"/>
      <c r="C1744" s="526">
        <v>1</v>
      </c>
      <c r="D1744" s="494" t="str">
        <f>+'Precios Equipos'!C61</f>
        <v>Protector de sobretension SPD AC 2P, 1000V AC, CLAMPER/DC SURGE PROTECCION</v>
      </c>
      <c r="E1744" s="550"/>
      <c r="F1744" s="497"/>
      <c r="G1744" s="561">
        <f>VLOOKUP(D1744,'Precios Equipos'!$C$11:$F$208,3,0)</f>
        <v>59</v>
      </c>
      <c r="H1744" s="561">
        <f t="shared" si="179"/>
        <v>59</v>
      </c>
      <c r="I1744" s="1087"/>
      <c r="J1744" s="1088"/>
      <c r="K1744" s="539"/>
      <c r="Q1744" s="465">
        <f>+C1744*$C$1734</f>
        <v>1</v>
      </c>
    </row>
    <row r="1745" spans="1:17" x14ac:dyDescent="0.25">
      <c r="B1745" s="493"/>
      <c r="C1745" s="526"/>
      <c r="D1745" s="494"/>
      <c r="F1745" s="498"/>
      <c r="G1745" s="561"/>
      <c r="H1745" s="561"/>
      <c r="I1745" s="477"/>
      <c r="K1745" s="539"/>
    </row>
    <row r="1746" spans="1:17" x14ac:dyDescent="0.25">
      <c r="B1746" s="493"/>
      <c r="C1746" s="526"/>
      <c r="D1746" s="620" t="s">
        <v>87</v>
      </c>
      <c r="F1746" s="495"/>
      <c r="G1746" s="561"/>
      <c r="H1746" s="561"/>
      <c r="I1746" s="477"/>
      <c r="K1746" s="539"/>
    </row>
    <row r="1747" spans="1:17" x14ac:dyDescent="0.25">
      <c r="B1747" s="493"/>
      <c r="C1747" s="526">
        <v>1</v>
      </c>
      <c r="D1747" s="494" t="s">
        <v>54</v>
      </c>
      <c r="F1747" s="495"/>
      <c r="G1747" s="479"/>
      <c r="H1747" s="561"/>
      <c r="I1747" s="477"/>
      <c r="K1747" s="539"/>
    </row>
    <row r="1748" spans="1:17" x14ac:dyDescent="0.25">
      <c r="B1748" s="493"/>
      <c r="C1748" s="526">
        <v>1</v>
      </c>
      <c r="D1748" s="494" t="s">
        <v>55</v>
      </c>
      <c r="F1748" s="495"/>
      <c r="G1748" s="561"/>
      <c r="H1748" s="561">
        <f>+M1740</f>
        <v>63</v>
      </c>
      <c r="I1748" s="561">
        <f>+H1748</f>
        <v>63</v>
      </c>
      <c r="J1748" s="924">
        <f>+I1748/H1751</f>
        <v>0.22183098591549297</v>
      </c>
      <c r="K1748" s="539"/>
    </row>
    <row r="1749" spans="1:17" x14ac:dyDescent="0.25">
      <c r="B1749" s="493"/>
      <c r="C1749" s="526">
        <v>1</v>
      </c>
      <c r="D1749" s="494" t="s">
        <v>96</v>
      </c>
      <c r="F1749" s="495"/>
      <c r="G1749" s="479"/>
      <c r="H1749" s="561">
        <f>O153</f>
        <v>0</v>
      </c>
      <c r="I1749" s="1087">
        <f>+H1749+H1750</f>
        <v>0</v>
      </c>
      <c r="J1749" s="1088">
        <f>+I1749/H1751</f>
        <v>0</v>
      </c>
      <c r="K1749" s="539"/>
    </row>
    <row r="1750" spans="1:17" x14ac:dyDescent="0.25">
      <c r="B1750" s="493"/>
      <c r="C1750" s="526">
        <v>1</v>
      </c>
      <c r="D1750" s="467" t="s">
        <v>20</v>
      </c>
      <c r="F1750" s="495"/>
      <c r="G1750" s="479"/>
      <c r="H1750" s="561">
        <f>O154</f>
        <v>0</v>
      </c>
      <c r="I1750" s="1087"/>
      <c r="J1750" s="1088"/>
      <c r="K1750" s="539"/>
    </row>
    <row r="1751" spans="1:17" x14ac:dyDescent="0.25">
      <c r="B1751" s="493"/>
      <c r="C1751" s="526">
        <v>1</v>
      </c>
      <c r="D1751" s="467" t="s">
        <v>58</v>
      </c>
      <c r="F1751" s="495"/>
      <c r="G1751" s="553" t="s">
        <v>97</v>
      </c>
      <c r="H1751" s="553">
        <f>SUM(H1737:H1750)</f>
        <v>284</v>
      </c>
      <c r="I1751" s="477"/>
      <c r="K1751" s="539"/>
      <c r="M1751" s="470"/>
    </row>
    <row r="1752" spans="1:17" x14ac:dyDescent="0.25">
      <c r="B1752" s="493"/>
      <c r="C1752" s="526">
        <v>1</v>
      </c>
      <c r="D1752" s="467" t="s">
        <v>69</v>
      </c>
      <c r="F1752" s="495"/>
      <c r="G1752" s="553" t="s">
        <v>105</v>
      </c>
      <c r="H1752" s="561">
        <f>H1751*$M$154</f>
        <v>56.800000000000004</v>
      </c>
      <c r="I1752" s="477"/>
      <c r="K1752" s="539"/>
      <c r="M1752" s="470"/>
    </row>
    <row r="1753" spans="1:17" x14ac:dyDescent="0.25">
      <c r="B1753" s="521"/>
      <c r="C1753" s="527" t="s">
        <v>17</v>
      </c>
      <c r="D1753" s="522" t="s">
        <v>48</v>
      </c>
      <c r="E1753" s="523"/>
      <c r="F1753" s="524"/>
      <c r="G1753" s="553" t="s">
        <v>452</v>
      </c>
      <c r="H1753" s="553">
        <f>H1751+H1752</f>
        <v>340.8</v>
      </c>
      <c r="I1753" s="477"/>
      <c r="K1753" s="539"/>
      <c r="M1753" s="470"/>
    </row>
    <row r="1754" spans="1:17" x14ac:dyDescent="0.25">
      <c r="M1754" s="470"/>
    </row>
    <row r="1755" spans="1:17" x14ac:dyDescent="0.25">
      <c r="B1755" s="514" t="s">
        <v>6</v>
      </c>
      <c r="C1755" s="515" t="s">
        <v>0</v>
      </c>
      <c r="D1755" s="606" t="s">
        <v>8</v>
      </c>
      <c r="E1755" s="516" t="s">
        <v>4</v>
      </c>
      <c r="F1755" s="516" t="s">
        <v>3</v>
      </c>
      <c r="G1755" s="477"/>
      <c r="H1755" s="477"/>
      <c r="I1755" s="477"/>
      <c r="K1755" s="539"/>
      <c r="M1755" s="470"/>
    </row>
    <row r="1756" spans="1:17" x14ac:dyDescent="0.25">
      <c r="A1756" s="463">
        <v>152</v>
      </c>
      <c r="B1756" s="1077">
        <f>B102</f>
        <v>6.01</v>
      </c>
      <c r="C1756" s="1077">
        <f>C102</f>
        <v>4</v>
      </c>
      <c r="D1756" s="1077" t="str">
        <f>D102</f>
        <v>TABLERO TFV-AC - TIPO 01</v>
      </c>
      <c r="E1756" s="518">
        <f>H1778</f>
        <v>1314</v>
      </c>
      <c r="F1756" s="518">
        <f>+E1756*C1756</f>
        <v>5256</v>
      </c>
      <c r="G1756" s="553" t="s">
        <v>450</v>
      </c>
      <c r="H1756" s="553" t="s">
        <v>1</v>
      </c>
      <c r="I1756" s="477"/>
      <c r="K1756" s="539"/>
      <c r="M1756" s="470"/>
    </row>
    <row r="1757" spans="1:17" x14ac:dyDescent="0.25">
      <c r="B1757" s="1078"/>
      <c r="C1757" s="1078"/>
      <c r="D1757" s="1078"/>
      <c r="E1757" s="520" t="s">
        <v>50</v>
      </c>
      <c r="F1757" s="520" t="s">
        <v>50</v>
      </c>
      <c r="G1757" s="553" t="s">
        <v>50</v>
      </c>
      <c r="H1757" s="553" t="s">
        <v>50</v>
      </c>
      <c r="I1757" s="477"/>
      <c r="K1757" s="539"/>
      <c r="M1757" s="470"/>
    </row>
    <row r="1758" spans="1:17" ht="16.5" thickBot="1" x14ac:dyDescent="0.3">
      <c r="B1758" s="493"/>
      <c r="C1758" s="526"/>
      <c r="D1758" s="463"/>
      <c r="E1758" s="491"/>
      <c r="F1758" s="492"/>
      <c r="G1758" s="561"/>
      <c r="H1758" s="561"/>
      <c r="I1758" s="477"/>
      <c r="K1758" s="539"/>
      <c r="M1758" s="470"/>
    </row>
    <row r="1759" spans="1:17" ht="16.5" thickBot="1" x14ac:dyDescent="0.3">
      <c r="B1759" s="493"/>
      <c r="C1759" s="526">
        <v>1</v>
      </c>
      <c r="D1759" s="500" t="str">
        <f>+'Precios Equipos'!C178</f>
        <v>Gabinete Adosado 700x500x200mm. (alto x ancho x profundidad) dimensiones aproximadas</v>
      </c>
      <c r="F1759" s="495"/>
      <c r="G1759" s="561">
        <f>VLOOKUP(D1759,'Precios Equipos'!$C$25:$F$208,3,0)</f>
        <v>16</v>
      </c>
      <c r="H1759" s="561">
        <f>G1759*C1759</f>
        <v>16</v>
      </c>
      <c r="I1759" s="561">
        <f>SUM(H1759)</f>
        <v>16</v>
      </c>
      <c r="J1759" s="924">
        <f>+I1759/H1776</f>
        <v>1.4611872146118721E-2</v>
      </c>
      <c r="K1759" s="539"/>
      <c r="L1759" s="540" t="s">
        <v>451</v>
      </c>
      <c r="M1759" s="541"/>
      <c r="Q1759" s="465">
        <f>+C1759*$C$1756</f>
        <v>4</v>
      </c>
    </row>
    <row r="1760" spans="1:17" ht="16.5" thickBot="1" x14ac:dyDescent="0.3">
      <c r="B1760" s="493"/>
      <c r="C1760" s="526"/>
      <c r="D1760" s="494"/>
      <c r="F1760" s="495"/>
      <c r="G1760" s="561"/>
      <c r="H1760" s="561"/>
      <c r="I1760" s="477"/>
      <c r="K1760" s="539"/>
      <c r="L1760" s="542" t="s">
        <v>88</v>
      </c>
      <c r="M1760" s="543" t="s">
        <v>85</v>
      </c>
    </row>
    <row r="1761" spans="2:17" x14ac:dyDescent="0.25">
      <c r="B1761" s="493"/>
      <c r="C1761" s="526"/>
      <c r="D1761" s="620" t="s">
        <v>70</v>
      </c>
      <c r="F1761" s="495"/>
      <c r="G1761" s="561"/>
      <c r="H1761" s="561"/>
      <c r="I1761" s="477"/>
      <c r="K1761" s="539"/>
      <c r="L1761" s="544" t="str">
        <f>+'Precios Equipos'!C111</f>
        <v>SISTEMA DE BARRAS 08-10 POLOS</v>
      </c>
      <c r="M1761" s="545">
        <f>IFERROR(VLOOKUP(L1761,'Precios Equipos'!$C$11:$F$208,3,0),0)</f>
        <v>23</v>
      </c>
      <c r="P1761" s="501"/>
    </row>
    <row r="1762" spans="2:17" x14ac:dyDescent="0.25">
      <c r="B1762" s="493"/>
      <c r="C1762" s="526">
        <v>1</v>
      </c>
      <c r="D1762" s="494" t="str">
        <f>+'Precios Equipos'!C15</f>
        <v>ITM 2x32A, Caja Moldeada, 50kA en 220VAC, A1N, ABB</v>
      </c>
      <c r="F1762" s="497"/>
      <c r="G1762" s="561">
        <f>VLOOKUP(D1762,'Precios Equipos'!$C$11:$F$208,3,0)</f>
        <v>88</v>
      </c>
      <c r="H1762" s="561">
        <f>G1762*C1762</f>
        <v>88</v>
      </c>
      <c r="I1762" s="1081">
        <f>SUM(H1762:H1770)</f>
        <v>936</v>
      </c>
      <c r="J1762" s="1114">
        <f>+I1762/H1776</f>
        <v>0.85479452054794525</v>
      </c>
      <c r="K1762" s="539"/>
      <c r="L1762" s="544" t="str">
        <f>+'Precios Equipos'!C132</f>
        <v>CABLEADO 1 DIFERENCIALES, 2P</v>
      </c>
      <c r="M1762" s="545">
        <f>IFERROR(VLOOKUP(L1762,'Precios Equipos'!$C$11:$F$208,3,0),0)</f>
        <v>37</v>
      </c>
      <c r="P1762" s="501"/>
      <c r="Q1762" s="465">
        <f>+C1762*$C$1756</f>
        <v>4</v>
      </c>
    </row>
    <row r="1763" spans="2:17" x14ac:dyDescent="0.25">
      <c r="B1763" s="493"/>
      <c r="C1763" s="526"/>
      <c r="D1763" s="494"/>
      <c r="F1763" s="497"/>
      <c r="G1763" s="561"/>
      <c r="H1763" s="561"/>
      <c r="I1763" s="1082"/>
      <c r="J1763" s="1120"/>
      <c r="K1763" s="539"/>
      <c r="L1763" s="544" t="str">
        <f>+'Precios Equipos'!C140</f>
        <v>Mano de obra 6-10 polos (3-5 ITM)</v>
      </c>
      <c r="M1763" s="545">
        <f>IFERROR(VLOOKUP(L1763,'Precios Equipos'!$C$11:$F$208,3,0),0)</f>
        <v>17</v>
      </c>
      <c r="P1763" s="501"/>
    </row>
    <row r="1764" spans="2:17" x14ac:dyDescent="0.25">
      <c r="B1764" s="493"/>
      <c r="C1764" s="526"/>
      <c r="D1764" s="620" t="s">
        <v>71</v>
      </c>
      <c r="F1764" s="497"/>
      <c r="G1764" s="561"/>
      <c r="H1764" s="561"/>
      <c r="I1764" s="1082"/>
      <c r="J1764" s="1120"/>
      <c r="K1764" s="539"/>
      <c r="L1764" s="544" t="str">
        <f>+'Precios Equipos'!C162</f>
        <v>Mano de obra 1-2 Diferenciales</v>
      </c>
      <c r="M1764" s="545">
        <f>IFERROR(VLOOKUP(L1764,'Precios Equipos'!$C$11:$F$208,3,0),0)</f>
        <v>33</v>
      </c>
    </row>
    <row r="1765" spans="2:17" ht="16.5" thickBot="1" x14ac:dyDescent="0.3">
      <c r="B1765" s="493"/>
      <c r="C1765" s="526">
        <v>2</v>
      </c>
      <c r="D1765" s="494" t="str">
        <f>+'Precios Equipos'!C12</f>
        <v>ITM 2x16A, Caja Moldeada, 50kA en 220VAC, A1N, ABB</v>
      </c>
      <c r="F1765" s="497"/>
      <c r="G1765" s="561">
        <f>VLOOKUP(D1765,'Precios Equipos'!$C$11:$F$208,3,0)</f>
        <v>20</v>
      </c>
      <c r="H1765" s="561">
        <f t="shared" ref="H1765:H1766" si="181">G1765*C1765</f>
        <v>40</v>
      </c>
      <c r="I1765" s="1082"/>
      <c r="J1765" s="1120"/>
      <c r="K1765" s="539"/>
      <c r="L1765" s="544" t="str">
        <f>+'Precios Equipos'!C204</f>
        <v>Diseño Ingenieria Tableros Adosados</v>
      </c>
      <c r="M1765" s="545">
        <f>IFERROR(VLOOKUP(L1765,'Precios Equipos'!$C$11:$F$208,3,0),0)</f>
        <v>33</v>
      </c>
      <c r="Q1765" s="465">
        <f t="shared" ref="Q1765:Q1767" si="182">+C1765*$C$1756</f>
        <v>8</v>
      </c>
    </row>
    <row r="1766" spans="2:17" ht="16.5" thickBot="1" x14ac:dyDescent="0.3">
      <c r="B1766" s="493"/>
      <c r="C1766" s="526">
        <v>1</v>
      </c>
      <c r="D1766" s="494" t="str">
        <f>+'Precios Equipos'!C50</f>
        <v>Interruptor Riel Din 2x25A. S202 20kA en 220VAC, ABB</v>
      </c>
      <c r="F1766" s="495"/>
      <c r="G1766" s="561">
        <f>VLOOKUP(D1766,'Precios Equipos'!$C$11:$F$208,3,0)</f>
        <v>263</v>
      </c>
      <c r="H1766" s="561">
        <f t="shared" si="181"/>
        <v>263</v>
      </c>
      <c r="I1766" s="1082"/>
      <c r="J1766" s="1120"/>
      <c r="K1766" s="539"/>
      <c r="L1766" s="546" t="s">
        <v>89</v>
      </c>
      <c r="M1766" s="560">
        <f>SUM(M1761:M1765)</f>
        <v>143</v>
      </c>
      <c r="Q1766" s="465">
        <f t="shared" si="182"/>
        <v>4</v>
      </c>
    </row>
    <row r="1767" spans="2:17" x14ac:dyDescent="0.25">
      <c r="B1767" s="493"/>
      <c r="C1767" s="526">
        <v>1</v>
      </c>
      <c r="D1767" s="494" t="str">
        <f>+'Precios Equipos'!C61</f>
        <v>Protector de sobretension SPD AC 2P, 1000V AC, CLAMPER/DC SURGE PROTECCION</v>
      </c>
      <c r="F1767" s="495"/>
      <c r="G1767" s="561">
        <f>VLOOKUP(D1767,'Precios Equipos'!$C$11:$F$208,3,0)</f>
        <v>59</v>
      </c>
      <c r="H1767" s="561">
        <f t="shared" ref="H1767" si="183">G1767*C1767</f>
        <v>59</v>
      </c>
      <c r="I1767" s="1082"/>
      <c r="J1767" s="1120"/>
      <c r="K1767" s="539"/>
      <c r="M1767" s="470"/>
      <c r="O1767" s="468"/>
      <c r="Q1767" s="465">
        <f t="shared" si="182"/>
        <v>4</v>
      </c>
    </row>
    <row r="1768" spans="2:17" x14ac:dyDescent="0.25">
      <c r="B1768" s="493"/>
      <c r="C1768" s="526"/>
      <c r="D1768" s="494"/>
      <c r="F1768" s="495"/>
      <c r="G1768" s="561"/>
      <c r="H1768" s="561"/>
      <c r="I1768" s="1082"/>
      <c r="J1768" s="1120"/>
      <c r="K1768" s="539"/>
      <c r="M1768" s="470"/>
      <c r="O1768" s="468"/>
    </row>
    <row r="1769" spans="2:17" x14ac:dyDescent="0.25">
      <c r="B1769" s="493"/>
      <c r="C1769" s="526"/>
      <c r="D1769" s="620" t="s">
        <v>737</v>
      </c>
      <c r="F1769" s="495"/>
      <c r="G1769" s="561"/>
      <c r="H1769" s="561"/>
      <c r="I1769" s="1082"/>
      <c r="J1769" s="1120"/>
      <c r="K1769" s="539"/>
      <c r="M1769" s="470"/>
      <c r="O1769" s="468"/>
    </row>
    <row r="1770" spans="2:17" x14ac:dyDescent="0.25">
      <c r="B1770" s="493"/>
      <c r="C1770" s="526">
        <v>3</v>
      </c>
      <c r="D1770" s="494" t="str">
        <f>+'Precios Equipos'!C48</f>
        <v>Interruptor Riel Din 2x04A. S200 20kA en 230V en 250VAC, ABB</v>
      </c>
      <c r="F1770" s="495"/>
      <c r="G1770" s="561">
        <f>VLOOKUP(D1770,'Precios Equipos'!$C$11:$F$208,3,0)</f>
        <v>162</v>
      </c>
      <c r="H1770" s="561">
        <f t="shared" ref="H1770" si="184">G1770*C1770</f>
        <v>486</v>
      </c>
      <c r="I1770" s="1083"/>
      <c r="J1770" s="1115"/>
      <c r="K1770" s="539"/>
      <c r="M1770" s="470"/>
      <c r="O1770" s="468"/>
      <c r="Q1770" s="465">
        <f>+C1770*$C$1756</f>
        <v>12</v>
      </c>
    </row>
    <row r="1771" spans="2:17" x14ac:dyDescent="0.25">
      <c r="B1771" s="493"/>
      <c r="C1771" s="526"/>
      <c r="D1771" s="494"/>
      <c r="F1771" s="495"/>
      <c r="G1771" s="561"/>
      <c r="H1771" s="561"/>
      <c r="I1771" s="477"/>
      <c r="K1771" s="539"/>
      <c r="M1771" s="470"/>
      <c r="O1771" s="468"/>
    </row>
    <row r="1772" spans="2:17" x14ac:dyDescent="0.25">
      <c r="B1772" s="493"/>
      <c r="C1772" s="526"/>
      <c r="D1772" s="620" t="s">
        <v>87</v>
      </c>
      <c r="F1772" s="495"/>
      <c r="G1772" s="561"/>
      <c r="H1772" s="561">
        <f>M1766</f>
        <v>143</v>
      </c>
      <c r="I1772" s="561">
        <f>SUM(H1772)</f>
        <v>143</v>
      </c>
      <c r="J1772" s="924">
        <f>+I1772/H1776</f>
        <v>0.13059360730593608</v>
      </c>
      <c r="K1772" s="539"/>
      <c r="M1772" s="470"/>
      <c r="O1772" s="468"/>
    </row>
    <row r="1773" spans="2:17" x14ac:dyDescent="0.25">
      <c r="B1773" s="493"/>
      <c r="C1773" s="526">
        <v>1</v>
      </c>
      <c r="D1773" s="494" t="s">
        <v>49</v>
      </c>
      <c r="F1773" s="495"/>
      <c r="G1773" s="561"/>
      <c r="H1773" s="561">
        <f>$O$153</f>
        <v>0</v>
      </c>
      <c r="I1773" s="1087">
        <f>SUM(H1773:H1774)</f>
        <v>0</v>
      </c>
      <c r="J1773" s="1088">
        <f>+I1773/H1776</f>
        <v>0</v>
      </c>
      <c r="K1773" s="539"/>
      <c r="M1773" s="470"/>
      <c r="O1773" s="468"/>
    </row>
    <row r="1774" spans="2:17" x14ac:dyDescent="0.25">
      <c r="B1774" s="493"/>
      <c r="C1774" s="526">
        <v>1</v>
      </c>
      <c r="D1774" s="494" t="s">
        <v>51</v>
      </c>
      <c r="F1774" s="495"/>
      <c r="G1774" s="561"/>
      <c r="H1774" s="561">
        <f>$O$154</f>
        <v>0</v>
      </c>
      <c r="I1774" s="1087"/>
      <c r="J1774" s="1088"/>
      <c r="K1774" s="539"/>
      <c r="M1774" s="470"/>
      <c r="O1774" s="468"/>
    </row>
    <row r="1775" spans="2:17" x14ac:dyDescent="0.25">
      <c r="B1775" s="493"/>
      <c r="C1775" s="526">
        <v>1</v>
      </c>
      <c r="D1775" s="467" t="s">
        <v>20</v>
      </c>
      <c r="F1775" s="495"/>
      <c r="G1775" s="561"/>
      <c r="H1775" s="561"/>
      <c r="I1775" s="477"/>
      <c r="J1775" s="973"/>
      <c r="K1775" s="539"/>
      <c r="M1775" s="470"/>
      <c r="O1775" s="468"/>
    </row>
    <row r="1776" spans="2:17" x14ac:dyDescent="0.25">
      <c r="B1776" s="493"/>
      <c r="C1776" s="526">
        <v>1</v>
      </c>
      <c r="D1776" s="467" t="s">
        <v>52</v>
      </c>
      <c r="F1776" s="495"/>
      <c r="G1776" s="553" t="s">
        <v>97</v>
      </c>
      <c r="H1776" s="561">
        <f>SUM(H1759:H1775)</f>
        <v>1095</v>
      </c>
      <c r="I1776" s="477"/>
      <c r="J1776" s="973"/>
      <c r="K1776" s="539"/>
      <c r="M1776" s="470"/>
      <c r="O1776" s="468"/>
    </row>
    <row r="1777" spans="1:17" x14ac:dyDescent="0.25">
      <c r="B1777" s="493"/>
      <c r="C1777" s="526">
        <v>1</v>
      </c>
      <c r="D1777" s="467" t="s">
        <v>21</v>
      </c>
      <c r="F1777" s="495"/>
      <c r="G1777" s="553" t="s">
        <v>105</v>
      </c>
      <c r="H1777" s="561">
        <f>H1776*$M$155</f>
        <v>219</v>
      </c>
      <c r="I1777" s="477"/>
      <c r="J1777" s="973"/>
      <c r="K1777" s="539"/>
      <c r="M1777" s="470"/>
      <c r="O1777" s="468"/>
    </row>
    <row r="1778" spans="1:17" x14ac:dyDescent="0.25">
      <c r="B1778" s="521"/>
      <c r="C1778" s="527" t="s">
        <v>17</v>
      </c>
      <c r="D1778" s="522" t="s">
        <v>48</v>
      </c>
      <c r="E1778" s="523"/>
      <c r="F1778" s="524"/>
      <c r="G1778" s="553" t="s">
        <v>452</v>
      </c>
      <c r="H1778" s="561">
        <f>H1776+H1777</f>
        <v>1314</v>
      </c>
      <c r="I1778" s="477"/>
      <c r="J1778" s="973"/>
      <c r="K1778" s="539"/>
      <c r="M1778" s="470"/>
      <c r="O1778" s="468"/>
    </row>
    <row r="1779" spans="1:17" x14ac:dyDescent="0.25">
      <c r="M1779" s="470"/>
    </row>
    <row r="1780" spans="1:17" x14ac:dyDescent="0.25">
      <c r="B1780" s="514" t="s">
        <v>6</v>
      </c>
      <c r="C1780" s="515" t="s">
        <v>0</v>
      </c>
      <c r="D1780" s="606" t="s">
        <v>8</v>
      </c>
      <c r="E1780" s="516" t="s">
        <v>4</v>
      </c>
      <c r="F1780" s="516" t="s">
        <v>3</v>
      </c>
      <c r="G1780" s="477"/>
      <c r="H1780" s="477"/>
      <c r="I1780" s="477"/>
      <c r="K1780" s="539"/>
      <c r="M1780" s="470"/>
      <c r="O1780" s="468"/>
    </row>
    <row r="1781" spans="1:17" x14ac:dyDescent="0.25">
      <c r="A1781" s="463">
        <v>152</v>
      </c>
      <c r="B1781" s="1077">
        <f>B103</f>
        <v>6.02</v>
      </c>
      <c r="C1781" s="1077">
        <f>C103</f>
        <v>2</v>
      </c>
      <c r="D1781" s="1077" t="str">
        <f>D103</f>
        <v>TABLERO TFV-AC - TIPO 02</v>
      </c>
      <c r="E1781" s="518">
        <f>H1803</f>
        <v>1314</v>
      </c>
      <c r="F1781" s="518">
        <f>+E1781*C1781</f>
        <v>2628</v>
      </c>
      <c r="G1781" s="553" t="s">
        <v>450</v>
      </c>
      <c r="H1781" s="553" t="s">
        <v>1</v>
      </c>
      <c r="I1781" s="477"/>
      <c r="K1781" s="539"/>
      <c r="M1781" s="470"/>
      <c r="O1781" s="468"/>
    </row>
    <row r="1782" spans="1:17" ht="16.5" thickBot="1" x14ac:dyDescent="0.3">
      <c r="B1782" s="1078"/>
      <c r="C1782" s="1078"/>
      <c r="D1782" s="1078"/>
      <c r="E1782" s="520" t="s">
        <v>50</v>
      </c>
      <c r="F1782" s="520" t="s">
        <v>50</v>
      </c>
      <c r="G1782" s="553" t="s">
        <v>50</v>
      </c>
      <c r="H1782" s="553" t="s">
        <v>50</v>
      </c>
      <c r="I1782" s="477"/>
      <c r="K1782" s="539"/>
      <c r="M1782" s="470"/>
      <c r="O1782" s="468"/>
    </row>
    <row r="1783" spans="1:17" ht="16.5" thickBot="1" x14ac:dyDescent="0.3">
      <c r="B1783" s="493"/>
      <c r="C1783" s="526"/>
      <c r="D1783" s="463"/>
      <c r="E1783" s="491"/>
      <c r="F1783" s="492"/>
      <c r="G1783" s="561"/>
      <c r="H1783" s="561"/>
      <c r="I1783" s="477"/>
      <c r="K1783" s="539"/>
      <c r="L1783" s="540" t="s">
        <v>451</v>
      </c>
      <c r="M1783" s="541"/>
      <c r="O1783" s="468"/>
    </row>
    <row r="1784" spans="1:17" ht="16.5" thickBot="1" x14ac:dyDescent="0.3">
      <c r="B1784" s="493"/>
      <c r="C1784" s="526">
        <v>1</v>
      </c>
      <c r="D1784" s="500" t="str">
        <f>+'Precios Equipos'!C178</f>
        <v>Gabinete Adosado 700x500x200mm. (alto x ancho x profundidad) dimensiones aproximadas</v>
      </c>
      <c r="F1784" s="495"/>
      <c r="G1784" s="561">
        <f>VLOOKUP(D1784,'Precios Equipos'!$C$11:$F$208,3,0)</f>
        <v>16</v>
      </c>
      <c r="H1784" s="561">
        <f>G1784*C1784</f>
        <v>16</v>
      </c>
      <c r="I1784" s="561">
        <f>SUM(H1784)</f>
        <v>16</v>
      </c>
      <c r="J1784" s="924">
        <f>+I1784/H1801</f>
        <v>1.4611872146118721E-2</v>
      </c>
      <c r="K1784" s="539"/>
      <c r="L1784" s="542" t="s">
        <v>88</v>
      </c>
      <c r="M1784" s="543" t="s">
        <v>85</v>
      </c>
      <c r="O1784" s="468"/>
      <c r="Q1784" s="465">
        <f>+C1784*$C$1781</f>
        <v>2</v>
      </c>
    </row>
    <row r="1785" spans="1:17" x14ac:dyDescent="0.25">
      <c r="B1785" s="493"/>
      <c r="C1785" s="526"/>
      <c r="D1785" s="494"/>
      <c r="F1785" s="495"/>
      <c r="G1785" s="561"/>
      <c r="H1785" s="561"/>
      <c r="I1785" s="477"/>
      <c r="K1785" s="539"/>
      <c r="L1785" s="544" t="str">
        <f>+'Precios Equipos'!C111</f>
        <v>SISTEMA DE BARRAS 08-10 POLOS</v>
      </c>
      <c r="M1785" s="545">
        <f>IFERROR(VLOOKUP(L1785,'Precios Equipos'!$C$11:$F$208,3,0),0)</f>
        <v>23</v>
      </c>
      <c r="O1785" s="468"/>
    </row>
    <row r="1786" spans="1:17" x14ac:dyDescent="0.25">
      <c r="B1786" s="493"/>
      <c r="C1786" s="526"/>
      <c r="D1786" s="620" t="s">
        <v>70</v>
      </c>
      <c r="F1786" s="495"/>
      <c r="G1786" s="561"/>
      <c r="H1786" s="561"/>
      <c r="I1786" s="477"/>
      <c r="K1786" s="539"/>
      <c r="L1786" s="544" t="str">
        <f>+'Precios Equipos'!C132</f>
        <v>CABLEADO 1 DIFERENCIALES, 2P</v>
      </c>
      <c r="M1786" s="545">
        <f>IFERROR(VLOOKUP(L1786,'Precios Equipos'!$C$11:$F$208,3,0),0)</f>
        <v>37</v>
      </c>
      <c r="O1786" s="468"/>
      <c r="P1786" s="501"/>
    </row>
    <row r="1787" spans="1:17" x14ac:dyDescent="0.25">
      <c r="B1787" s="493"/>
      <c r="C1787" s="526">
        <v>1</v>
      </c>
      <c r="D1787" s="494" t="str">
        <f>+'Precios Equipos'!C15</f>
        <v>ITM 2x32A, Caja Moldeada, 50kA en 220VAC, A1N, ABB</v>
      </c>
      <c r="F1787" s="497"/>
      <c r="G1787" s="561">
        <f>VLOOKUP(D1787,'Precios Equipos'!$C$11:$F$208,3,0)</f>
        <v>88</v>
      </c>
      <c r="H1787" s="561">
        <f>G1787*C1787</f>
        <v>88</v>
      </c>
      <c r="I1787" s="1087">
        <f>SUM(H1787:H1795)</f>
        <v>936</v>
      </c>
      <c r="J1787" s="1088">
        <f>+I1787/H1801</f>
        <v>0.85479452054794525</v>
      </c>
      <c r="K1787" s="539"/>
      <c r="L1787" s="544" t="str">
        <f>+'Precios Equipos'!C140</f>
        <v>Mano de obra 6-10 polos (3-5 ITM)</v>
      </c>
      <c r="M1787" s="545">
        <f>IFERROR(VLOOKUP(L1787,'Precios Equipos'!$C$11:$F$208,3,0),0)</f>
        <v>17</v>
      </c>
      <c r="O1787" s="468"/>
      <c r="P1787" s="501"/>
      <c r="Q1787" s="465">
        <f>+C1787*$C$1781</f>
        <v>2</v>
      </c>
    </row>
    <row r="1788" spans="1:17" x14ac:dyDescent="0.25">
      <c r="B1788" s="493"/>
      <c r="C1788" s="526"/>
      <c r="D1788" s="494"/>
      <c r="F1788" s="497"/>
      <c r="G1788" s="561"/>
      <c r="H1788" s="561"/>
      <c r="I1788" s="1087"/>
      <c r="J1788" s="1088"/>
      <c r="K1788" s="539"/>
      <c r="L1788" s="544" t="str">
        <f>+'Precios Equipos'!C162</f>
        <v>Mano de obra 1-2 Diferenciales</v>
      </c>
      <c r="M1788" s="545">
        <f>IFERROR(VLOOKUP(L1788,'Precios Equipos'!$C$11:$F$208,3,0),0)</f>
        <v>33</v>
      </c>
      <c r="O1788" s="468"/>
      <c r="P1788" s="501"/>
    </row>
    <row r="1789" spans="1:17" ht="16.5" thickBot="1" x14ac:dyDescent="0.3">
      <c r="B1789" s="493"/>
      <c r="C1789" s="526"/>
      <c r="D1789" s="620" t="s">
        <v>71</v>
      </c>
      <c r="F1789" s="497"/>
      <c r="G1789" s="561"/>
      <c r="H1789" s="561"/>
      <c r="I1789" s="1087"/>
      <c r="J1789" s="1088"/>
      <c r="K1789" s="539"/>
      <c r="L1789" s="544" t="str">
        <f>+'Precios Equipos'!C204</f>
        <v>Diseño Ingenieria Tableros Adosados</v>
      </c>
      <c r="M1789" s="545">
        <f>IFERROR(VLOOKUP(L1789,'Precios Equipos'!$C$11:$F$208,3,0),0)</f>
        <v>33</v>
      </c>
      <c r="O1789" s="468"/>
    </row>
    <row r="1790" spans="1:17" ht="16.5" thickBot="1" x14ac:dyDescent="0.3">
      <c r="B1790" s="493"/>
      <c r="C1790" s="526">
        <v>2</v>
      </c>
      <c r="D1790" s="494" t="str">
        <f>+'Precios Equipos'!C12</f>
        <v>ITM 2x16A, Caja Moldeada, 50kA en 220VAC, A1N, ABB</v>
      </c>
      <c r="F1790" s="497"/>
      <c r="G1790" s="561">
        <f>VLOOKUP(D1790,'Precios Equipos'!$C$11:$F$208,3,0)</f>
        <v>20</v>
      </c>
      <c r="H1790" s="561">
        <f t="shared" ref="H1790:H1791" si="185">G1790*C1790</f>
        <v>40</v>
      </c>
      <c r="I1790" s="1087"/>
      <c r="J1790" s="1088"/>
      <c r="K1790" s="539"/>
      <c r="L1790" s="546" t="s">
        <v>89</v>
      </c>
      <c r="M1790" s="560">
        <f>SUM(M1785:M1789)</f>
        <v>143</v>
      </c>
      <c r="O1790" s="468"/>
      <c r="Q1790" s="465">
        <f>+C1790*$C$1781</f>
        <v>4</v>
      </c>
    </row>
    <row r="1791" spans="1:17" x14ac:dyDescent="0.25">
      <c r="B1791" s="493"/>
      <c r="C1791" s="526">
        <v>1</v>
      </c>
      <c r="D1791" s="494" t="str">
        <f>+'Precios Equipos'!C50</f>
        <v>Interruptor Riel Din 2x25A. S202 20kA en 220VAC, ABB</v>
      </c>
      <c r="F1791" s="495"/>
      <c r="G1791" s="561">
        <f>VLOOKUP(D1791,'Precios Equipos'!$C$11:$F$208,3,0)</f>
        <v>263</v>
      </c>
      <c r="H1791" s="561">
        <f t="shared" si="185"/>
        <v>263</v>
      </c>
      <c r="I1791" s="1087"/>
      <c r="J1791" s="1088"/>
      <c r="K1791" s="539"/>
      <c r="L1791" s="489"/>
      <c r="M1791" s="499"/>
      <c r="O1791" s="468"/>
      <c r="Q1791" s="465">
        <f>+C1791*$C$1781</f>
        <v>2</v>
      </c>
    </row>
    <row r="1792" spans="1:17" x14ac:dyDescent="0.25">
      <c r="B1792" s="493"/>
      <c r="C1792" s="526">
        <v>1</v>
      </c>
      <c r="D1792" s="494" t="str">
        <f>+'Precios Equipos'!C61</f>
        <v>Protector de sobretension SPD AC 2P, 1000V AC, CLAMPER/DC SURGE PROTECCION</v>
      </c>
      <c r="F1792" s="495"/>
      <c r="G1792" s="561">
        <f>VLOOKUP(D1792,'Precios Equipos'!$C$11:$F$208,3,0)</f>
        <v>59</v>
      </c>
      <c r="H1792" s="561">
        <f t="shared" ref="H1792" si="186">G1792*C1792</f>
        <v>59</v>
      </c>
      <c r="I1792" s="1087"/>
      <c r="J1792" s="1088"/>
      <c r="K1792" s="539"/>
      <c r="M1792" s="470"/>
      <c r="O1792" s="468"/>
      <c r="Q1792" s="465">
        <f t="shared" ref="Q1792" si="187">+C1792*$C$1781</f>
        <v>2</v>
      </c>
    </row>
    <row r="1793" spans="1:17" x14ac:dyDescent="0.25">
      <c r="B1793" s="493"/>
      <c r="C1793" s="526"/>
      <c r="D1793" s="494"/>
      <c r="F1793" s="495"/>
      <c r="G1793" s="561"/>
      <c r="H1793" s="561"/>
      <c r="I1793" s="1087"/>
      <c r="J1793" s="1088"/>
      <c r="K1793" s="539"/>
      <c r="M1793" s="470"/>
      <c r="O1793" s="468"/>
    </row>
    <row r="1794" spans="1:17" x14ac:dyDescent="0.25">
      <c r="B1794" s="493"/>
      <c r="C1794" s="526"/>
      <c r="D1794" s="620" t="s">
        <v>737</v>
      </c>
      <c r="F1794" s="495"/>
      <c r="G1794" s="561"/>
      <c r="H1794" s="561"/>
      <c r="I1794" s="1087"/>
      <c r="J1794" s="1088"/>
      <c r="K1794" s="539"/>
      <c r="M1794" s="470"/>
      <c r="O1794" s="468"/>
    </row>
    <row r="1795" spans="1:17" x14ac:dyDescent="0.25">
      <c r="B1795" s="493"/>
      <c r="C1795" s="526">
        <v>3</v>
      </c>
      <c r="D1795" s="494" t="str">
        <f>+'Precios Equipos'!C48</f>
        <v>Interruptor Riel Din 2x04A. S200 20kA en 230V en 250VAC, ABB</v>
      </c>
      <c r="F1795" s="495"/>
      <c r="G1795" s="561">
        <f>VLOOKUP(D1795,'Precios Equipos'!$C$11:$F$208,3,0)</f>
        <v>162</v>
      </c>
      <c r="H1795" s="561">
        <f t="shared" ref="H1795" si="188">G1795*C1795</f>
        <v>486</v>
      </c>
      <c r="I1795" s="1087"/>
      <c r="J1795" s="1088"/>
      <c r="K1795" s="539"/>
      <c r="M1795" s="470"/>
      <c r="O1795" s="468"/>
      <c r="Q1795" s="465">
        <f>+C1795*$C$1781</f>
        <v>6</v>
      </c>
    </row>
    <row r="1796" spans="1:17" x14ac:dyDescent="0.25">
      <c r="B1796" s="493"/>
      <c r="C1796" s="526"/>
      <c r="D1796" s="494"/>
      <c r="F1796" s="495"/>
      <c r="G1796" s="561"/>
      <c r="H1796" s="561"/>
      <c r="I1796" s="477"/>
      <c r="K1796" s="539"/>
      <c r="M1796" s="470"/>
      <c r="O1796" s="468"/>
    </row>
    <row r="1797" spans="1:17" x14ac:dyDescent="0.25">
      <c r="B1797" s="493"/>
      <c r="C1797" s="526"/>
      <c r="D1797" s="620" t="s">
        <v>87</v>
      </c>
      <c r="F1797" s="495"/>
      <c r="G1797" s="561"/>
      <c r="H1797" s="561">
        <f>M1790</f>
        <v>143</v>
      </c>
      <c r="I1797" s="561">
        <f>SUM(H1797)</f>
        <v>143</v>
      </c>
      <c r="J1797" s="924">
        <f>+I1797/H1801</f>
        <v>0.13059360730593608</v>
      </c>
      <c r="K1797" s="539"/>
      <c r="M1797" s="470"/>
      <c r="O1797" s="468"/>
    </row>
    <row r="1798" spans="1:17" x14ac:dyDescent="0.25">
      <c r="B1798" s="493"/>
      <c r="C1798" s="526">
        <v>1</v>
      </c>
      <c r="D1798" s="494" t="s">
        <v>49</v>
      </c>
      <c r="F1798" s="495"/>
      <c r="G1798" s="561"/>
      <c r="H1798" s="561">
        <f>$O$153</f>
        <v>0</v>
      </c>
      <c r="I1798" s="1087">
        <f>SUM(H1798:H1799)</f>
        <v>0</v>
      </c>
      <c r="J1798" s="1088">
        <f>+I1798/H1801</f>
        <v>0</v>
      </c>
      <c r="K1798" s="539"/>
      <c r="M1798" s="470"/>
      <c r="O1798" s="468"/>
    </row>
    <row r="1799" spans="1:17" x14ac:dyDescent="0.25">
      <c r="B1799" s="493"/>
      <c r="C1799" s="526">
        <v>1</v>
      </c>
      <c r="D1799" s="494" t="s">
        <v>51</v>
      </c>
      <c r="F1799" s="495"/>
      <c r="G1799" s="561"/>
      <c r="H1799" s="561">
        <f>$O$154</f>
        <v>0</v>
      </c>
      <c r="I1799" s="1087"/>
      <c r="J1799" s="1088"/>
      <c r="K1799" s="539"/>
      <c r="M1799" s="470"/>
      <c r="O1799" s="468"/>
    </row>
    <row r="1800" spans="1:17" x14ac:dyDescent="0.25">
      <c r="B1800" s="493"/>
      <c r="C1800" s="526">
        <v>1</v>
      </c>
      <c r="D1800" s="467" t="s">
        <v>20</v>
      </c>
      <c r="F1800" s="495"/>
      <c r="G1800" s="561"/>
      <c r="H1800" s="561"/>
      <c r="I1800" s="477"/>
      <c r="J1800" s="973"/>
      <c r="K1800" s="539"/>
      <c r="M1800" s="470"/>
      <c r="O1800" s="468"/>
    </row>
    <row r="1801" spans="1:17" x14ac:dyDescent="0.25">
      <c r="B1801" s="493"/>
      <c r="C1801" s="526">
        <v>1</v>
      </c>
      <c r="D1801" s="467" t="s">
        <v>52</v>
      </c>
      <c r="F1801" s="495"/>
      <c r="G1801" s="553" t="s">
        <v>97</v>
      </c>
      <c r="H1801" s="561">
        <f>SUM(H1784:H1800)</f>
        <v>1095</v>
      </c>
      <c r="I1801" s="477"/>
      <c r="J1801" s="973"/>
      <c r="K1801" s="539"/>
      <c r="M1801" s="470"/>
      <c r="O1801" s="468"/>
    </row>
    <row r="1802" spans="1:17" x14ac:dyDescent="0.25">
      <c r="B1802" s="493"/>
      <c r="C1802" s="526">
        <v>1</v>
      </c>
      <c r="D1802" s="467" t="s">
        <v>21</v>
      </c>
      <c r="F1802" s="495"/>
      <c r="G1802" s="553" t="s">
        <v>105</v>
      </c>
      <c r="H1802" s="561">
        <f>H1801*$M$155</f>
        <v>219</v>
      </c>
      <c r="I1802" s="477"/>
      <c r="J1802" s="973"/>
      <c r="K1802" s="539"/>
      <c r="M1802" s="470"/>
      <c r="O1802" s="468"/>
    </row>
    <row r="1803" spans="1:17" x14ac:dyDescent="0.25">
      <c r="B1803" s="521"/>
      <c r="C1803" s="527" t="s">
        <v>17</v>
      </c>
      <c r="D1803" s="522" t="s">
        <v>48</v>
      </c>
      <c r="E1803" s="523"/>
      <c r="F1803" s="524"/>
      <c r="G1803" s="553" t="s">
        <v>452</v>
      </c>
      <c r="H1803" s="561">
        <f>H1801+H1802</f>
        <v>1314</v>
      </c>
      <c r="I1803" s="477"/>
      <c r="J1803" s="973"/>
      <c r="K1803" s="539"/>
      <c r="M1803" s="470"/>
      <c r="O1803" s="468"/>
    </row>
    <row r="1804" spans="1:17" x14ac:dyDescent="0.25">
      <c r="M1804" s="470"/>
    </row>
    <row r="1805" spans="1:17" x14ac:dyDescent="0.25">
      <c r="B1805" s="514" t="s">
        <v>6</v>
      </c>
      <c r="C1805" s="515" t="s">
        <v>0</v>
      </c>
      <c r="D1805" s="606" t="s">
        <v>8</v>
      </c>
      <c r="E1805" s="516" t="s">
        <v>4</v>
      </c>
      <c r="F1805" s="516" t="s">
        <v>3</v>
      </c>
      <c r="G1805" s="477"/>
      <c r="H1805" s="477"/>
      <c r="I1805" s="477"/>
      <c r="K1805" s="539"/>
      <c r="M1805" s="470"/>
      <c r="O1805" s="468"/>
    </row>
    <row r="1806" spans="1:17" x14ac:dyDescent="0.25">
      <c r="A1806" s="463">
        <v>152</v>
      </c>
      <c r="B1806" s="1077">
        <f>B104</f>
        <v>6.0299999999999994</v>
      </c>
      <c r="C1806" s="1077">
        <f>C104</f>
        <v>1</v>
      </c>
      <c r="D1806" s="1077" t="str">
        <f>D104</f>
        <v>TABLERO TFV-AC - TIPO 03</v>
      </c>
      <c r="E1806" s="518">
        <f>H1828</f>
        <v>1314</v>
      </c>
      <c r="F1806" s="518">
        <f>+E1806*C1806</f>
        <v>1314</v>
      </c>
      <c r="G1806" s="553" t="s">
        <v>450</v>
      </c>
      <c r="H1806" s="553" t="s">
        <v>1</v>
      </c>
      <c r="I1806" s="477"/>
      <c r="K1806" s="539"/>
      <c r="M1806" s="470"/>
      <c r="O1806" s="468"/>
    </row>
    <row r="1807" spans="1:17" x14ac:dyDescent="0.25">
      <c r="B1807" s="1078"/>
      <c r="C1807" s="1078"/>
      <c r="D1807" s="1078"/>
      <c r="E1807" s="520" t="s">
        <v>50</v>
      </c>
      <c r="F1807" s="520" t="s">
        <v>50</v>
      </c>
      <c r="G1807" s="553" t="s">
        <v>50</v>
      </c>
      <c r="H1807" s="553" t="s">
        <v>50</v>
      </c>
      <c r="I1807" s="477"/>
      <c r="K1807" s="539"/>
      <c r="M1807" s="470"/>
      <c r="O1807" s="468"/>
    </row>
    <row r="1808" spans="1:17" x14ac:dyDescent="0.25">
      <c r="B1808" s="493"/>
      <c r="C1808" s="526"/>
      <c r="D1808" s="463"/>
      <c r="E1808" s="491"/>
      <c r="F1808" s="492"/>
      <c r="G1808" s="561"/>
      <c r="H1808" s="561"/>
      <c r="I1808" s="477"/>
      <c r="K1808" s="539"/>
      <c r="M1808" s="470"/>
      <c r="O1808" s="468"/>
    </row>
    <row r="1809" spans="2:17" ht="16.5" thickBot="1" x14ac:dyDescent="0.3">
      <c r="B1809" s="493"/>
      <c r="C1809" s="526">
        <v>1</v>
      </c>
      <c r="D1809" s="500" t="str">
        <f>+'Precios Equipos'!C178</f>
        <v>Gabinete Adosado 700x500x200mm. (alto x ancho x profundidad) dimensiones aproximadas</v>
      </c>
      <c r="F1809" s="495"/>
      <c r="G1809" s="561">
        <f>VLOOKUP(D1809,'Precios Equipos'!$C$25:$F$208,3,0)</f>
        <v>16</v>
      </c>
      <c r="H1809" s="561">
        <f>G1809*C1809</f>
        <v>16</v>
      </c>
      <c r="I1809" s="561">
        <f>SUM(H1809)</f>
        <v>16</v>
      </c>
      <c r="J1809" s="924">
        <f>+I1809/H1826</f>
        <v>1.4611872146118721E-2</v>
      </c>
      <c r="K1809" s="539"/>
      <c r="M1809" s="470"/>
      <c r="O1809" s="468"/>
      <c r="Q1809" s="465">
        <f>+C1809*$C$1806</f>
        <v>1</v>
      </c>
    </row>
    <row r="1810" spans="2:17" ht="16.5" thickBot="1" x14ac:dyDescent="0.3">
      <c r="B1810" s="493"/>
      <c r="C1810" s="526"/>
      <c r="D1810" s="494"/>
      <c r="F1810" s="495"/>
      <c r="G1810" s="561"/>
      <c r="H1810" s="561"/>
      <c r="I1810" s="477"/>
      <c r="K1810" s="539"/>
      <c r="L1810" s="540" t="s">
        <v>451</v>
      </c>
      <c r="M1810" s="541"/>
      <c r="O1810" s="468"/>
    </row>
    <row r="1811" spans="2:17" ht="16.5" thickBot="1" x14ac:dyDescent="0.3">
      <c r="B1811" s="493"/>
      <c r="C1811" s="526"/>
      <c r="D1811" s="620" t="s">
        <v>70</v>
      </c>
      <c r="F1811" s="495"/>
      <c r="G1811" s="561"/>
      <c r="H1811" s="561"/>
      <c r="I1811" s="477"/>
      <c r="K1811" s="539"/>
      <c r="L1811" s="542" t="s">
        <v>88</v>
      </c>
      <c r="M1811" s="543" t="s">
        <v>85</v>
      </c>
      <c r="O1811" s="468"/>
      <c r="P1811" s="501"/>
    </row>
    <row r="1812" spans="2:17" x14ac:dyDescent="0.25">
      <c r="B1812" s="493"/>
      <c r="C1812" s="526">
        <v>1</v>
      </c>
      <c r="D1812" s="494" t="str">
        <f>+'Precios Equipos'!C15</f>
        <v>ITM 2x32A, Caja Moldeada, 50kA en 220VAC, A1N, ABB</v>
      </c>
      <c r="F1812" s="497"/>
      <c r="G1812" s="561">
        <f>VLOOKUP(D1812,'Precios Equipos'!$C$11:$F$208,3,0)</f>
        <v>88</v>
      </c>
      <c r="H1812" s="561">
        <f>G1812*C1812</f>
        <v>88</v>
      </c>
      <c r="I1812" s="1087">
        <f>SUM(H1812:H1820)</f>
        <v>936</v>
      </c>
      <c r="J1812" s="1088">
        <f>+I1812/H1826</f>
        <v>0.85479452054794525</v>
      </c>
      <c r="K1812" s="539"/>
      <c r="L1812" s="544" t="str">
        <f>+'Precios Equipos'!C111</f>
        <v>SISTEMA DE BARRAS 08-10 POLOS</v>
      </c>
      <c r="M1812" s="545">
        <f>IFERROR(VLOOKUP(L1812,'Precios Equipos'!$C$11:$F$208,3,0),0)</f>
        <v>23</v>
      </c>
      <c r="O1812" s="468"/>
      <c r="P1812" s="501"/>
      <c r="Q1812" s="465">
        <f t="shared" ref="Q1812:Q1817" si="189">+C1812*$C$1806</f>
        <v>1</v>
      </c>
    </row>
    <row r="1813" spans="2:17" x14ac:dyDescent="0.25">
      <c r="B1813" s="493"/>
      <c r="C1813" s="526"/>
      <c r="D1813" s="494"/>
      <c r="F1813" s="497"/>
      <c r="G1813" s="561"/>
      <c r="H1813" s="561"/>
      <c r="I1813" s="1087"/>
      <c r="J1813" s="1088"/>
      <c r="K1813" s="539"/>
      <c r="L1813" s="544" t="str">
        <f>+'Precios Equipos'!C132</f>
        <v>CABLEADO 1 DIFERENCIALES, 2P</v>
      </c>
      <c r="M1813" s="545">
        <f>IFERROR(VLOOKUP(L1813,'Precios Equipos'!$C$11:$F$208,3,0),0)</f>
        <v>37</v>
      </c>
      <c r="O1813" s="468"/>
      <c r="P1813" s="501"/>
    </row>
    <row r="1814" spans="2:17" x14ac:dyDescent="0.25">
      <c r="B1814" s="493"/>
      <c r="C1814" s="526"/>
      <c r="D1814" s="620" t="s">
        <v>71</v>
      </c>
      <c r="F1814" s="497"/>
      <c r="G1814" s="561"/>
      <c r="H1814" s="561"/>
      <c r="I1814" s="1087"/>
      <c r="J1814" s="1088"/>
      <c r="K1814" s="539"/>
      <c r="L1814" s="544" t="str">
        <f>+'Precios Equipos'!C140</f>
        <v>Mano de obra 6-10 polos (3-5 ITM)</v>
      </c>
      <c r="M1814" s="545">
        <f>IFERROR(VLOOKUP(L1814,'Precios Equipos'!$C$11:$F$208,3,0),0)</f>
        <v>17</v>
      </c>
      <c r="O1814" s="468"/>
    </row>
    <row r="1815" spans="2:17" x14ac:dyDescent="0.25">
      <c r="B1815" s="493"/>
      <c r="C1815" s="526">
        <v>2</v>
      </c>
      <c r="D1815" s="494" t="str">
        <f>+'Precios Equipos'!C12</f>
        <v>ITM 2x16A, Caja Moldeada, 50kA en 220VAC, A1N, ABB</v>
      </c>
      <c r="F1815" s="497"/>
      <c r="G1815" s="561">
        <f>VLOOKUP(D1815,'Precios Equipos'!$C$11:$F$208,3,0)</f>
        <v>20</v>
      </c>
      <c r="H1815" s="561">
        <f t="shared" ref="H1815:H1816" si="190">G1815*C1815</f>
        <v>40</v>
      </c>
      <c r="I1815" s="1087"/>
      <c r="J1815" s="1088"/>
      <c r="K1815" s="539"/>
      <c r="L1815" s="544" t="str">
        <f>+'Precios Equipos'!C162</f>
        <v>Mano de obra 1-2 Diferenciales</v>
      </c>
      <c r="M1815" s="545">
        <f>IFERROR(VLOOKUP(L1815,'Precios Equipos'!$C$11:$F$208,3,0),0)</f>
        <v>33</v>
      </c>
      <c r="O1815" s="468"/>
      <c r="Q1815" s="465">
        <f t="shared" si="189"/>
        <v>2</v>
      </c>
    </row>
    <row r="1816" spans="2:17" ht="16.5" thickBot="1" x14ac:dyDescent="0.3">
      <c r="B1816" s="493"/>
      <c r="C1816" s="526">
        <v>1</v>
      </c>
      <c r="D1816" s="494" t="str">
        <f>+'Precios Equipos'!C50</f>
        <v>Interruptor Riel Din 2x25A. S202 20kA en 220VAC, ABB</v>
      </c>
      <c r="F1816" s="495"/>
      <c r="G1816" s="561">
        <f>VLOOKUP(D1816,'Precios Equipos'!$C$11:$F$208,3,0)</f>
        <v>263</v>
      </c>
      <c r="H1816" s="561">
        <f t="shared" si="190"/>
        <v>263</v>
      </c>
      <c r="I1816" s="1087"/>
      <c r="J1816" s="1088"/>
      <c r="K1816" s="539"/>
      <c r="L1816" s="544" t="str">
        <f>+'Precios Equipos'!C204</f>
        <v>Diseño Ingenieria Tableros Adosados</v>
      </c>
      <c r="M1816" s="545">
        <f>IFERROR(VLOOKUP(L1816,'Precios Equipos'!$C$11:$F$208,3,0),0)</f>
        <v>33</v>
      </c>
      <c r="O1816" s="468"/>
      <c r="Q1816" s="465">
        <f t="shared" si="189"/>
        <v>1</v>
      </c>
    </row>
    <row r="1817" spans="2:17" ht="16.5" thickBot="1" x14ac:dyDescent="0.3">
      <c r="B1817" s="493"/>
      <c r="C1817" s="526">
        <v>1</v>
      </c>
      <c r="D1817" s="494" t="str">
        <f>+'Precios Equipos'!C61</f>
        <v>Protector de sobretension SPD AC 2P, 1000V AC, CLAMPER/DC SURGE PROTECCION</v>
      </c>
      <c r="F1817" s="495"/>
      <c r="G1817" s="561">
        <f>VLOOKUP(D1817,'Precios Equipos'!$C$11:$F$208,3,0)</f>
        <v>59</v>
      </c>
      <c r="H1817" s="561">
        <f t="shared" ref="H1817" si="191">G1817*C1817</f>
        <v>59</v>
      </c>
      <c r="I1817" s="1087"/>
      <c r="J1817" s="1088"/>
      <c r="K1817" s="539"/>
      <c r="L1817" s="546" t="s">
        <v>89</v>
      </c>
      <c r="M1817" s="560">
        <f>SUM(M1812:M1816)</f>
        <v>143</v>
      </c>
      <c r="O1817" s="468"/>
      <c r="Q1817" s="465">
        <f t="shared" si="189"/>
        <v>1</v>
      </c>
    </row>
    <row r="1818" spans="2:17" x14ac:dyDescent="0.25">
      <c r="B1818" s="493"/>
      <c r="C1818" s="526"/>
      <c r="D1818" s="494"/>
      <c r="F1818" s="495"/>
      <c r="G1818" s="561"/>
      <c r="H1818" s="561"/>
      <c r="I1818" s="1087"/>
      <c r="J1818" s="1088"/>
      <c r="K1818" s="539"/>
      <c r="M1818" s="470"/>
      <c r="O1818" s="468"/>
    </row>
    <row r="1819" spans="2:17" x14ac:dyDescent="0.25">
      <c r="B1819" s="493"/>
      <c r="C1819" s="526"/>
      <c r="D1819" s="620" t="s">
        <v>737</v>
      </c>
      <c r="F1819" s="495"/>
      <c r="G1819" s="561"/>
      <c r="H1819" s="561"/>
      <c r="I1819" s="1087"/>
      <c r="J1819" s="1088"/>
      <c r="K1819" s="539"/>
      <c r="M1819" s="470"/>
      <c r="O1819" s="468"/>
    </row>
    <row r="1820" spans="2:17" x14ac:dyDescent="0.25">
      <c r="B1820" s="493"/>
      <c r="C1820" s="526">
        <v>3</v>
      </c>
      <c r="D1820" s="494" t="str">
        <f>+'Precios Equipos'!C48</f>
        <v>Interruptor Riel Din 2x04A. S200 20kA en 230V en 250VAC, ABB</v>
      </c>
      <c r="F1820" s="495"/>
      <c r="G1820" s="561">
        <f>VLOOKUP(D1820,'Precios Equipos'!$C$11:$F$208,3,0)</f>
        <v>162</v>
      </c>
      <c r="H1820" s="561">
        <f t="shared" ref="H1820" si="192">G1820*C1820</f>
        <v>486</v>
      </c>
      <c r="I1820" s="1087"/>
      <c r="J1820" s="1088"/>
      <c r="K1820" s="539"/>
      <c r="M1820" s="470"/>
      <c r="O1820" s="468"/>
      <c r="Q1820" s="465">
        <f>+C1820*$C$1806</f>
        <v>3</v>
      </c>
    </row>
    <row r="1821" spans="2:17" x14ac:dyDescent="0.25">
      <c r="B1821" s="493"/>
      <c r="C1821" s="526"/>
      <c r="D1821" s="494"/>
      <c r="F1821" s="495"/>
      <c r="G1821" s="561"/>
      <c r="H1821" s="561"/>
      <c r="I1821" s="477"/>
      <c r="K1821" s="539"/>
      <c r="M1821" s="470"/>
      <c r="O1821" s="468"/>
    </row>
    <row r="1822" spans="2:17" x14ac:dyDescent="0.25">
      <c r="B1822" s="493"/>
      <c r="C1822" s="526"/>
      <c r="D1822" s="620" t="s">
        <v>87</v>
      </c>
      <c r="F1822" s="495"/>
      <c r="G1822" s="561"/>
      <c r="H1822" s="561">
        <f>M1817</f>
        <v>143</v>
      </c>
      <c r="I1822" s="561">
        <f>SUM(H1822)</f>
        <v>143</v>
      </c>
      <c r="J1822" s="924">
        <f>+I1822/H1826</f>
        <v>0.13059360730593608</v>
      </c>
      <c r="K1822" s="539"/>
      <c r="M1822" s="470"/>
      <c r="O1822" s="468"/>
    </row>
    <row r="1823" spans="2:17" x14ac:dyDescent="0.25">
      <c r="B1823" s="493"/>
      <c r="C1823" s="526">
        <v>1</v>
      </c>
      <c r="D1823" s="494" t="s">
        <v>49</v>
      </c>
      <c r="F1823" s="495"/>
      <c r="G1823" s="561"/>
      <c r="H1823" s="561">
        <f>$O$153</f>
        <v>0</v>
      </c>
      <c r="I1823" s="1087">
        <f>SUM(H1823:H1824)</f>
        <v>0</v>
      </c>
      <c r="J1823" s="1088">
        <f>+I1823/H1826</f>
        <v>0</v>
      </c>
      <c r="K1823" s="539"/>
      <c r="M1823" s="470"/>
      <c r="O1823" s="468"/>
    </row>
    <row r="1824" spans="2:17" x14ac:dyDescent="0.25">
      <c r="B1824" s="493"/>
      <c r="C1824" s="526">
        <v>1</v>
      </c>
      <c r="D1824" s="494" t="s">
        <v>51</v>
      </c>
      <c r="F1824" s="495"/>
      <c r="G1824" s="561"/>
      <c r="H1824" s="561">
        <f>$O$154</f>
        <v>0</v>
      </c>
      <c r="I1824" s="1087"/>
      <c r="J1824" s="1088"/>
      <c r="K1824" s="539"/>
      <c r="M1824" s="470"/>
      <c r="O1824" s="468"/>
    </row>
    <row r="1825" spans="1:17" x14ac:dyDescent="0.25">
      <c r="B1825" s="493"/>
      <c r="C1825" s="526">
        <v>1</v>
      </c>
      <c r="D1825" s="467" t="s">
        <v>20</v>
      </c>
      <c r="F1825" s="495"/>
      <c r="G1825" s="561"/>
      <c r="H1825" s="561"/>
      <c r="I1825" s="477"/>
      <c r="J1825" s="973"/>
      <c r="K1825" s="539"/>
      <c r="M1825" s="470"/>
      <c r="O1825" s="468"/>
    </row>
    <row r="1826" spans="1:17" x14ac:dyDescent="0.25">
      <c r="B1826" s="493"/>
      <c r="C1826" s="526">
        <v>1</v>
      </c>
      <c r="D1826" s="467" t="s">
        <v>52</v>
      </c>
      <c r="F1826" s="495"/>
      <c r="G1826" s="553" t="s">
        <v>97</v>
      </c>
      <c r="H1826" s="561">
        <f>SUM(H1809:H1825)</f>
        <v>1095</v>
      </c>
      <c r="I1826" s="477"/>
      <c r="J1826" s="973"/>
      <c r="K1826" s="539"/>
      <c r="M1826" s="470"/>
      <c r="O1826" s="468"/>
    </row>
    <row r="1827" spans="1:17" x14ac:dyDescent="0.25">
      <c r="B1827" s="493"/>
      <c r="C1827" s="526">
        <v>1</v>
      </c>
      <c r="D1827" s="467" t="s">
        <v>21</v>
      </c>
      <c r="F1827" s="495"/>
      <c r="G1827" s="553" t="s">
        <v>105</v>
      </c>
      <c r="H1827" s="561">
        <f>H1826*$M$155</f>
        <v>219</v>
      </c>
      <c r="I1827" s="477"/>
      <c r="J1827" s="973"/>
      <c r="K1827" s="539"/>
      <c r="M1827" s="470"/>
      <c r="O1827" s="468"/>
    </row>
    <row r="1828" spans="1:17" x14ac:dyDescent="0.25">
      <c r="B1828" s="521"/>
      <c r="C1828" s="527" t="s">
        <v>17</v>
      </c>
      <c r="D1828" s="522" t="s">
        <v>48</v>
      </c>
      <c r="E1828" s="523"/>
      <c r="F1828" s="524"/>
      <c r="G1828" s="553" t="s">
        <v>452</v>
      </c>
      <c r="H1828" s="561">
        <f>H1826+H1827</f>
        <v>1314</v>
      </c>
      <c r="I1828" s="477"/>
      <c r="J1828" s="973"/>
      <c r="K1828" s="539"/>
      <c r="M1828" s="470"/>
      <c r="O1828" s="468"/>
    </row>
    <row r="1829" spans="1:17" x14ac:dyDescent="0.25">
      <c r="M1829" s="470"/>
      <c r="O1829" s="468"/>
    </row>
    <row r="1830" spans="1:17" x14ac:dyDescent="0.25">
      <c r="B1830" s="514" t="s">
        <v>6</v>
      </c>
      <c r="C1830" s="515" t="s">
        <v>0</v>
      </c>
      <c r="D1830" s="606" t="s">
        <v>8</v>
      </c>
      <c r="E1830" s="516" t="s">
        <v>4</v>
      </c>
      <c r="F1830" s="516" t="s">
        <v>3</v>
      </c>
      <c r="G1830" s="477"/>
      <c r="H1830" s="477"/>
      <c r="I1830" s="477"/>
      <c r="K1830" s="539"/>
      <c r="M1830" s="470"/>
      <c r="O1830" s="468"/>
    </row>
    <row r="1831" spans="1:17" x14ac:dyDescent="0.25">
      <c r="A1831" s="463">
        <v>152</v>
      </c>
      <c r="B1831" s="1077">
        <f>B105</f>
        <v>6.0399999999999991</v>
      </c>
      <c r="C1831" s="1077">
        <f>C105</f>
        <v>1</v>
      </c>
      <c r="D1831" s="1077" t="str">
        <f>D105</f>
        <v>TABLERO TFV-AC - TIPO 04</v>
      </c>
      <c r="E1831" s="518">
        <f>H1853</f>
        <v>1314</v>
      </c>
      <c r="F1831" s="518">
        <f>+E1831*C1831</f>
        <v>1314</v>
      </c>
      <c r="G1831" s="553" t="s">
        <v>450</v>
      </c>
      <c r="H1831" s="553" t="s">
        <v>1</v>
      </c>
      <c r="I1831" s="477"/>
      <c r="K1831" s="539"/>
      <c r="M1831" s="470"/>
      <c r="O1831" s="468"/>
    </row>
    <row r="1832" spans="1:17" x14ac:dyDescent="0.25">
      <c r="B1832" s="1078"/>
      <c r="C1832" s="1078"/>
      <c r="D1832" s="1078"/>
      <c r="E1832" s="520" t="s">
        <v>50</v>
      </c>
      <c r="F1832" s="520" t="s">
        <v>50</v>
      </c>
      <c r="G1832" s="553" t="s">
        <v>50</v>
      </c>
      <c r="H1832" s="553" t="s">
        <v>50</v>
      </c>
      <c r="I1832" s="477"/>
      <c r="K1832" s="539"/>
      <c r="M1832" s="470"/>
      <c r="O1832" s="468"/>
    </row>
    <row r="1833" spans="1:17" x14ac:dyDescent="0.25">
      <c r="B1833" s="493"/>
      <c r="C1833" s="526"/>
      <c r="D1833" s="463"/>
      <c r="E1833" s="491"/>
      <c r="F1833" s="492"/>
      <c r="G1833" s="561"/>
      <c r="H1833" s="561"/>
      <c r="I1833" s="477"/>
      <c r="K1833" s="539"/>
      <c r="M1833" s="470"/>
      <c r="O1833" s="468"/>
    </row>
    <row r="1834" spans="1:17" x14ac:dyDescent="0.25">
      <c r="B1834" s="493"/>
      <c r="C1834" s="526">
        <v>1</v>
      </c>
      <c r="D1834" s="500" t="str">
        <f>+'Precios Equipos'!C178</f>
        <v>Gabinete Adosado 700x500x200mm. (alto x ancho x profundidad) dimensiones aproximadas</v>
      </c>
      <c r="F1834" s="495"/>
      <c r="G1834" s="561">
        <f>VLOOKUP(D1834,'Precios Equipos'!$C$25:$F$208,3,0)</f>
        <v>16</v>
      </c>
      <c r="H1834" s="561">
        <f>G1834*C1834</f>
        <v>16</v>
      </c>
      <c r="I1834" s="561">
        <f>SUM(H1834)</f>
        <v>16</v>
      </c>
      <c r="J1834" s="924">
        <f>+I1834/H1851</f>
        <v>1.4611872146118721E-2</v>
      </c>
      <c r="K1834" s="539"/>
      <c r="M1834" s="470"/>
      <c r="O1834" s="468"/>
      <c r="Q1834" s="465">
        <f>+C1834*$C$1831</f>
        <v>1</v>
      </c>
    </row>
    <row r="1835" spans="1:17" ht="16.5" thickBot="1" x14ac:dyDescent="0.3">
      <c r="B1835" s="493"/>
      <c r="C1835" s="526"/>
      <c r="D1835" s="494"/>
      <c r="F1835" s="495"/>
      <c r="G1835" s="561"/>
      <c r="H1835" s="561"/>
      <c r="I1835" s="477"/>
      <c r="K1835" s="539"/>
      <c r="M1835" s="470"/>
      <c r="O1835" s="468"/>
    </row>
    <row r="1836" spans="1:17" ht="16.5" thickBot="1" x14ac:dyDescent="0.3">
      <c r="B1836" s="493"/>
      <c r="C1836" s="526"/>
      <c r="D1836" s="620" t="s">
        <v>70</v>
      </c>
      <c r="F1836" s="495"/>
      <c r="G1836" s="561"/>
      <c r="H1836" s="561"/>
      <c r="I1836" s="477"/>
      <c r="K1836" s="539"/>
      <c r="L1836" s="540" t="s">
        <v>451</v>
      </c>
      <c r="M1836" s="541"/>
      <c r="O1836" s="468"/>
      <c r="P1836" s="501"/>
    </row>
    <row r="1837" spans="1:17" ht="16.5" thickBot="1" x14ac:dyDescent="0.3">
      <c r="B1837" s="493"/>
      <c r="C1837" s="526">
        <v>1</v>
      </c>
      <c r="D1837" s="494" t="str">
        <f>+'Precios Equipos'!C15</f>
        <v>ITM 2x32A, Caja Moldeada, 50kA en 220VAC, A1N, ABB</v>
      </c>
      <c r="F1837" s="497"/>
      <c r="G1837" s="561">
        <f>VLOOKUP(D1837,'Precios Equipos'!$C$11:$F$208,3,0)</f>
        <v>88</v>
      </c>
      <c r="H1837" s="561">
        <f>G1837*C1837</f>
        <v>88</v>
      </c>
      <c r="I1837" s="1087">
        <f>SUM(H1837:H1842)</f>
        <v>450</v>
      </c>
      <c r="J1837" s="1088">
        <f>+I1837/H1851</f>
        <v>0.41095890410958902</v>
      </c>
      <c r="K1837" s="539"/>
      <c r="L1837" s="542" t="s">
        <v>88</v>
      </c>
      <c r="M1837" s="543" t="s">
        <v>85</v>
      </c>
      <c r="O1837" s="468"/>
      <c r="P1837" s="501"/>
      <c r="Q1837" s="465">
        <f>+C1837*$C$1831</f>
        <v>1</v>
      </c>
    </row>
    <row r="1838" spans="1:17" x14ac:dyDescent="0.25">
      <c r="B1838" s="493"/>
      <c r="C1838" s="526"/>
      <c r="D1838" s="494"/>
      <c r="F1838" s="497"/>
      <c r="G1838" s="561"/>
      <c r="H1838" s="561"/>
      <c r="I1838" s="1087"/>
      <c r="J1838" s="1088"/>
      <c r="K1838" s="539"/>
      <c r="L1838" s="544" t="str">
        <f>+'Precios Equipos'!C111</f>
        <v>SISTEMA DE BARRAS 08-10 POLOS</v>
      </c>
      <c r="M1838" s="545">
        <f>IFERROR(VLOOKUP(L1838,'Precios Equipos'!$C$11:$F$208,3,0),0)</f>
        <v>23</v>
      </c>
      <c r="O1838" s="468"/>
      <c r="P1838" s="501"/>
    </row>
    <row r="1839" spans="1:17" x14ac:dyDescent="0.25">
      <c r="B1839" s="493"/>
      <c r="C1839" s="526"/>
      <c r="D1839" s="620" t="s">
        <v>71</v>
      </c>
      <c r="F1839" s="497"/>
      <c r="G1839" s="561"/>
      <c r="H1839" s="561"/>
      <c r="I1839" s="1087"/>
      <c r="J1839" s="1088"/>
      <c r="K1839" s="539"/>
      <c r="L1839" s="544" t="str">
        <f>+'Precios Equipos'!C132</f>
        <v>CABLEADO 1 DIFERENCIALES, 2P</v>
      </c>
      <c r="M1839" s="545">
        <f>IFERROR(VLOOKUP(L1839,'Precios Equipos'!$C$11:$F$208,3,0),0)</f>
        <v>37</v>
      </c>
      <c r="O1839" s="468"/>
    </row>
    <row r="1840" spans="1:17" x14ac:dyDescent="0.25">
      <c r="B1840" s="493"/>
      <c r="C1840" s="526">
        <v>2</v>
      </c>
      <c r="D1840" s="494" t="str">
        <f>+'Precios Equipos'!C12</f>
        <v>ITM 2x16A, Caja Moldeada, 50kA en 220VAC, A1N, ABB</v>
      </c>
      <c r="F1840" s="497"/>
      <c r="G1840" s="561">
        <f>VLOOKUP(D1840,'Precios Equipos'!$C$11:$F$208,3,0)</f>
        <v>20</v>
      </c>
      <c r="H1840" s="561">
        <f t="shared" ref="H1840" si="193">G1840*C1840</f>
        <v>40</v>
      </c>
      <c r="I1840" s="1087"/>
      <c r="J1840" s="1088"/>
      <c r="K1840" s="539"/>
      <c r="L1840" s="544" t="str">
        <f>+'Precios Equipos'!C140</f>
        <v>Mano de obra 6-10 polos (3-5 ITM)</v>
      </c>
      <c r="M1840" s="545">
        <f>IFERROR(VLOOKUP(L1840,'Precios Equipos'!$C$11:$F$208,3,0),0)</f>
        <v>17</v>
      </c>
      <c r="O1840" s="468"/>
      <c r="Q1840" s="465">
        <f>+C1840*$C$1831</f>
        <v>2</v>
      </c>
    </row>
    <row r="1841" spans="1:17" x14ac:dyDescent="0.25">
      <c r="B1841" s="493"/>
      <c r="C1841" s="526">
        <v>1</v>
      </c>
      <c r="D1841" s="494" t="str">
        <f>+'Precios Equipos'!C50</f>
        <v>Interruptor Riel Din 2x25A. S202 20kA en 220VAC, ABB</v>
      </c>
      <c r="F1841" s="495"/>
      <c r="G1841" s="561">
        <f>VLOOKUP(D1841,'Precios Equipos'!$C$11:$F$208,3,0)</f>
        <v>263</v>
      </c>
      <c r="H1841" s="561">
        <f t="shared" ref="H1841:H1842" si="194">G1841*C1841</f>
        <v>263</v>
      </c>
      <c r="I1841" s="1087"/>
      <c r="J1841" s="1088"/>
      <c r="K1841" s="539"/>
      <c r="L1841" s="544" t="str">
        <f>+'Precios Equipos'!C162</f>
        <v>Mano de obra 1-2 Diferenciales</v>
      </c>
      <c r="M1841" s="545">
        <f>IFERROR(VLOOKUP(L1841,'Precios Equipos'!$C$11:$F$208,3,0),0)</f>
        <v>33</v>
      </c>
      <c r="O1841" s="468"/>
      <c r="Q1841" s="465">
        <f>+C1841*$C$1831</f>
        <v>1</v>
      </c>
    </row>
    <row r="1842" spans="1:17" ht="16.5" thickBot="1" x14ac:dyDescent="0.3">
      <c r="B1842" s="493"/>
      <c r="C1842" s="526">
        <v>1</v>
      </c>
      <c r="D1842" s="494" t="str">
        <f>+'Precios Equipos'!C61</f>
        <v>Protector de sobretension SPD AC 2P, 1000V AC, CLAMPER/DC SURGE PROTECCION</v>
      </c>
      <c r="F1842" s="495"/>
      <c r="G1842" s="561">
        <f>VLOOKUP(D1842,'Precios Equipos'!$C$11:$F$208,3,0)</f>
        <v>59</v>
      </c>
      <c r="H1842" s="561">
        <f t="shared" si="194"/>
        <v>59</v>
      </c>
      <c r="I1842" s="1087"/>
      <c r="J1842" s="1088"/>
      <c r="K1842" s="539"/>
      <c r="L1842" s="544" t="str">
        <f>+'Precios Equipos'!C204</f>
        <v>Diseño Ingenieria Tableros Adosados</v>
      </c>
      <c r="M1842" s="545">
        <f>IFERROR(VLOOKUP(L1842,'Precios Equipos'!$C$11:$F$208,3,0),0)</f>
        <v>33</v>
      </c>
      <c r="O1842" s="468"/>
      <c r="Q1842" s="465">
        <f>+C1842*$C$1831</f>
        <v>1</v>
      </c>
    </row>
    <row r="1843" spans="1:17" ht="16.5" thickBot="1" x14ac:dyDescent="0.3">
      <c r="B1843" s="493"/>
      <c r="C1843" s="526"/>
      <c r="D1843" s="494"/>
      <c r="F1843" s="495"/>
      <c r="G1843" s="561"/>
      <c r="H1843" s="561"/>
      <c r="I1843" s="477"/>
      <c r="K1843" s="539"/>
      <c r="L1843" s="546" t="s">
        <v>89</v>
      </c>
      <c r="M1843" s="560">
        <f>SUM(M1838:M1842)</f>
        <v>143</v>
      </c>
      <c r="O1843" s="468"/>
    </row>
    <row r="1844" spans="1:17" x14ac:dyDescent="0.25">
      <c r="B1844" s="493"/>
      <c r="C1844" s="526"/>
      <c r="D1844" s="620" t="s">
        <v>737</v>
      </c>
      <c r="F1844" s="495"/>
      <c r="G1844" s="561"/>
      <c r="H1844" s="561"/>
      <c r="I1844" s="477"/>
      <c r="K1844" s="539"/>
      <c r="L1844" s="593"/>
      <c r="M1844" s="594"/>
      <c r="O1844" s="468"/>
    </row>
    <row r="1845" spans="1:17" x14ac:dyDescent="0.25">
      <c r="B1845" s="493"/>
      <c r="C1845" s="526">
        <v>3</v>
      </c>
      <c r="D1845" s="494" t="str">
        <f>+'Precios Equipos'!C48</f>
        <v>Interruptor Riel Din 2x04A. S200 20kA en 230V en 250VAC, ABB</v>
      </c>
      <c r="F1845" s="495"/>
      <c r="G1845" s="561">
        <f>VLOOKUP(D1845,'Precios Equipos'!$C$11:$F$208,3,0)</f>
        <v>162</v>
      </c>
      <c r="H1845" s="561">
        <f t="shared" ref="H1845" si="195">G1845*C1845</f>
        <v>486</v>
      </c>
      <c r="I1845" s="561">
        <f>+H1845</f>
        <v>486</v>
      </c>
      <c r="J1845" s="1059">
        <f>+I1845/H1851</f>
        <v>0.44383561643835617</v>
      </c>
      <c r="K1845" s="539"/>
      <c r="L1845" s="593"/>
      <c r="M1845" s="594"/>
      <c r="O1845" s="468"/>
      <c r="Q1845" s="465">
        <f>+C1845*$C$1831</f>
        <v>3</v>
      </c>
    </row>
    <row r="1846" spans="1:17" x14ac:dyDescent="0.25">
      <c r="B1846" s="493"/>
      <c r="C1846" s="526"/>
      <c r="D1846" s="494"/>
      <c r="F1846" s="495"/>
      <c r="G1846" s="561"/>
      <c r="H1846" s="561"/>
      <c r="I1846" s="477"/>
      <c r="K1846" s="539"/>
      <c r="L1846" s="593"/>
      <c r="M1846" s="594"/>
      <c r="O1846" s="468"/>
    </row>
    <row r="1847" spans="1:17" x14ac:dyDescent="0.25">
      <c r="B1847" s="493"/>
      <c r="C1847" s="526"/>
      <c r="D1847" s="620" t="s">
        <v>87</v>
      </c>
      <c r="F1847" s="495"/>
      <c r="G1847" s="561"/>
      <c r="H1847" s="561">
        <f>M1843</f>
        <v>143</v>
      </c>
      <c r="I1847" s="561">
        <f>SUM(H1847)</f>
        <v>143</v>
      </c>
      <c r="J1847" s="924">
        <f>+I1847/H1851</f>
        <v>0.13059360730593608</v>
      </c>
      <c r="K1847" s="539"/>
      <c r="M1847" s="470"/>
      <c r="O1847" s="468"/>
    </row>
    <row r="1848" spans="1:17" x14ac:dyDescent="0.25">
      <c r="B1848" s="493"/>
      <c r="C1848" s="526">
        <v>1</v>
      </c>
      <c r="D1848" s="494" t="s">
        <v>49</v>
      </c>
      <c r="F1848" s="495"/>
      <c r="G1848" s="561"/>
      <c r="H1848" s="561">
        <f>$O$153</f>
        <v>0</v>
      </c>
      <c r="I1848" s="1087">
        <f>SUM(H1848:H1849)</f>
        <v>0</v>
      </c>
      <c r="J1848" s="1088">
        <f>+I1848/H1851</f>
        <v>0</v>
      </c>
      <c r="K1848" s="539"/>
      <c r="M1848" s="470"/>
      <c r="O1848" s="468"/>
    </row>
    <row r="1849" spans="1:17" x14ac:dyDescent="0.25">
      <c r="B1849" s="493"/>
      <c r="C1849" s="526">
        <v>1</v>
      </c>
      <c r="D1849" s="494" t="s">
        <v>51</v>
      </c>
      <c r="F1849" s="495"/>
      <c r="G1849" s="561"/>
      <c r="H1849" s="561">
        <f>$O$154</f>
        <v>0</v>
      </c>
      <c r="I1849" s="1087"/>
      <c r="J1849" s="1088"/>
      <c r="K1849" s="539"/>
      <c r="M1849" s="470"/>
      <c r="O1849" s="468"/>
    </row>
    <row r="1850" spans="1:17" x14ac:dyDescent="0.25">
      <c r="B1850" s="493"/>
      <c r="C1850" s="526">
        <v>1</v>
      </c>
      <c r="D1850" s="467" t="s">
        <v>20</v>
      </c>
      <c r="F1850" s="495"/>
      <c r="G1850" s="561"/>
      <c r="H1850" s="561"/>
      <c r="I1850" s="477"/>
      <c r="J1850" s="973"/>
      <c r="K1850" s="539"/>
      <c r="M1850" s="470"/>
      <c r="O1850" s="468"/>
    </row>
    <row r="1851" spans="1:17" x14ac:dyDescent="0.25">
      <c r="B1851" s="493"/>
      <c r="C1851" s="526">
        <v>1</v>
      </c>
      <c r="D1851" s="467" t="s">
        <v>52</v>
      </c>
      <c r="F1851" s="495"/>
      <c r="G1851" s="553" t="s">
        <v>97</v>
      </c>
      <c r="H1851" s="561">
        <f>SUM(H1834:H1850)</f>
        <v>1095</v>
      </c>
      <c r="I1851" s="477"/>
      <c r="J1851" s="973"/>
      <c r="K1851" s="539"/>
      <c r="M1851" s="470"/>
      <c r="O1851" s="468"/>
    </row>
    <row r="1852" spans="1:17" x14ac:dyDescent="0.25">
      <c r="B1852" s="493"/>
      <c r="C1852" s="526">
        <v>1</v>
      </c>
      <c r="D1852" s="467" t="s">
        <v>21</v>
      </c>
      <c r="F1852" s="495"/>
      <c r="G1852" s="553" t="s">
        <v>105</v>
      </c>
      <c r="H1852" s="561">
        <f>H1851*$M$155</f>
        <v>219</v>
      </c>
      <c r="I1852" s="477"/>
      <c r="J1852" s="973"/>
      <c r="K1852" s="539"/>
      <c r="M1852" s="470"/>
      <c r="O1852" s="468"/>
    </row>
    <row r="1853" spans="1:17" x14ac:dyDescent="0.25">
      <c r="B1853" s="521"/>
      <c r="C1853" s="527" t="s">
        <v>17</v>
      </c>
      <c r="D1853" s="522" t="s">
        <v>48</v>
      </c>
      <c r="E1853" s="523"/>
      <c r="F1853" s="524"/>
      <c r="G1853" s="553" t="s">
        <v>452</v>
      </c>
      <c r="H1853" s="561">
        <f>H1851+H1852</f>
        <v>1314</v>
      </c>
      <c r="I1853" s="477"/>
      <c r="J1853" s="973"/>
      <c r="K1853" s="539"/>
      <c r="M1853" s="470"/>
      <c r="O1853" s="468"/>
    </row>
    <row r="1854" spans="1:17" x14ac:dyDescent="0.25">
      <c r="M1854" s="470"/>
    </row>
    <row r="1855" spans="1:17" x14ac:dyDescent="0.25">
      <c r="B1855" s="514" t="s">
        <v>6</v>
      </c>
      <c r="C1855" s="515" t="s">
        <v>0</v>
      </c>
      <c r="D1855" s="606" t="s">
        <v>8</v>
      </c>
      <c r="E1855" s="516" t="s">
        <v>4</v>
      </c>
      <c r="F1855" s="516" t="s">
        <v>3</v>
      </c>
      <c r="G1855" s="477"/>
      <c r="H1855" s="477"/>
      <c r="I1855" s="477"/>
      <c r="K1855" s="539"/>
      <c r="M1855" s="470"/>
      <c r="O1855" s="468"/>
    </row>
    <row r="1856" spans="1:17" ht="16.5" thickBot="1" x14ac:dyDescent="0.3">
      <c r="A1856" s="463">
        <v>152</v>
      </c>
      <c r="B1856" s="1077">
        <f>B106</f>
        <v>6.0499999999999989</v>
      </c>
      <c r="C1856" s="1077">
        <f>C106</f>
        <v>2</v>
      </c>
      <c r="D1856" s="1077" t="str">
        <f>D106</f>
        <v>TABLERO TFV-AC - TIPO 05</v>
      </c>
      <c r="E1856" s="518">
        <f>H1878</f>
        <v>1314</v>
      </c>
      <c r="F1856" s="518">
        <f>+E1856*C1856</f>
        <v>2628</v>
      </c>
      <c r="G1856" s="553" t="s">
        <v>450</v>
      </c>
      <c r="H1856" s="553" t="s">
        <v>1</v>
      </c>
      <c r="I1856" s="477"/>
      <c r="K1856" s="539"/>
      <c r="M1856" s="470"/>
      <c r="O1856" s="468"/>
    </row>
    <row r="1857" spans="2:17" ht="16.5" thickBot="1" x14ac:dyDescent="0.3">
      <c r="B1857" s="1078"/>
      <c r="C1857" s="1078"/>
      <c r="D1857" s="1078"/>
      <c r="E1857" s="520" t="s">
        <v>50</v>
      </c>
      <c r="F1857" s="520" t="s">
        <v>50</v>
      </c>
      <c r="G1857" s="553" t="s">
        <v>50</v>
      </c>
      <c r="H1857" s="553" t="s">
        <v>50</v>
      </c>
      <c r="I1857" s="477"/>
      <c r="K1857" s="539"/>
      <c r="L1857" s="540" t="s">
        <v>451</v>
      </c>
      <c r="M1857" s="541"/>
      <c r="O1857" s="468"/>
    </row>
    <row r="1858" spans="2:17" ht="16.5" thickBot="1" x14ac:dyDescent="0.3">
      <c r="B1858" s="493"/>
      <c r="C1858" s="526"/>
      <c r="D1858" s="463"/>
      <c r="E1858" s="491"/>
      <c r="F1858" s="492"/>
      <c r="G1858" s="561" t="str">
        <f>IFERROR(VLOOKUP(D1858,'Precios Equipos'!$C$1:$F$5052,3,0),"")</f>
        <v/>
      </c>
      <c r="H1858" s="561" t="str">
        <f t="shared" ref="H1858:H1871" si="196">IFERROR(G1858*C1858,"")</f>
        <v/>
      </c>
      <c r="I1858" s="477"/>
      <c r="K1858" s="539"/>
      <c r="L1858" s="542" t="s">
        <v>88</v>
      </c>
      <c r="M1858" s="543" t="s">
        <v>85</v>
      </c>
      <c r="O1858" s="468"/>
    </row>
    <row r="1859" spans="2:17" x14ac:dyDescent="0.25">
      <c r="B1859" s="493"/>
      <c r="C1859" s="526">
        <v>1</v>
      </c>
      <c r="D1859" s="500" t="str">
        <f>+'Precios Equipos'!C178</f>
        <v>Gabinete Adosado 700x500x200mm. (alto x ancho x profundidad) dimensiones aproximadas</v>
      </c>
      <c r="F1859" s="495"/>
      <c r="G1859" s="561">
        <f>IFERROR(VLOOKUP(D1859,'Precios Equipos'!$C$1:$F$5052,3,0),"")</f>
        <v>16</v>
      </c>
      <c r="H1859" s="561">
        <f t="shared" si="196"/>
        <v>16</v>
      </c>
      <c r="I1859" s="561">
        <f>SUM(H1859)</f>
        <v>16</v>
      </c>
      <c r="J1859" s="924">
        <f>+I1859/H1876</f>
        <v>1.4611872146118721E-2</v>
      </c>
      <c r="K1859" s="539"/>
      <c r="L1859" s="544" t="str">
        <f>+'Precios Equipos'!C111</f>
        <v>SISTEMA DE BARRAS 08-10 POLOS</v>
      </c>
      <c r="M1859" s="545">
        <f>IFERROR(VLOOKUP(L1859,'Precios Equipos'!$C$11:$F$208,3,0),0)</f>
        <v>23</v>
      </c>
      <c r="O1859" s="468"/>
      <c r="Q1859" s="465">
        <f>+C1859*$C$1856</f>
        <v>2</v>
      </c>
    </row>
    <row r="1860" spans="2:17" x14ac:dyDescent="0.25">
      <c r="B1860" s="493"/>
      <c r="C1860" s="526"/>
      <c r="D1860" s="494"/>
      <c r="F1860" s="495"/>
      <c r="G1860" s="561" t="str">
        <f>IFERROR(VLOOKUP(D1860,'Precios Equipos'!$C$1:$F$5052,3,0),"")</f>
        <v/>
      </c>
      <c r="H1860" s="561" t="str">
        <f t="shared" si="196"/>
        <v/>
      </c>
      <c r="I1860" s="477"/>
      <c r="K1860" s="539"/>
      <c r="L1860" s="544" t="str">
        <f>+'Precios Equipos'!C132</f>
        <v>CABLEADO 1 DIFERENCIALES, 2P</v>
      </c>
      <c r="M1860" s="545">
        <f>IFERROR(VLOOKUP(L1860,'Precios Equipos'!$C$11:$F$208,3,0),0)</f>
        <v>37</v>
      </c>
      <c r="O1860" s="468"/>
    </row>
    <row r="1861" spans="2:17" x14ac:dyDescent="0.25">
      <c r="B1861" s="493"/>
      <c r="C1861" s="526"/>
      <c r="D1861" s="620" t="s">
        <v>70</v>
      </c>
      <c r="F1861" s="495"/>
      <c r="G1861" s="561" t="str">
        <f>IFERROR(VLOOKUP(D1861,'Precios Equipos'!$C$1:$F$5052,3,0),"")</f>
        <v/>
      </c>
      <c r="H1861" s="561" t="str">
        <f t="shared" si="196"/>
        <v/>
      </c>
      <c r="I1861" s="477"/>
      <c r="K1861" s="539"/>
      <c r="L1861" s="544" t="str">
        <f>+'Precios Equipos'!C140</f>
        <v>Mano de obra 6-10 polos (3-5 ITM)</v>
      </c>
      <c r="M1861" s="545">
        <f>IFERROR(VLOOKUP(L1861,'Precios Equipos'!$C$11:$F$208,3,0),0)</f>
        <v>17</v>
      </c>
      <c r="O1861" s="468"/>
      <c r="P1861" s="501"/>
    </row>
    <row r="1862" spans="2:17" x14ac:dyDescent="0.25">
      <c r="B1862" s="493"/>
      <c r="C1862" s="526">
        <v>1</v>
      </c>
      <c r="D1862" s="494" t="str">
        <f>+'Precios Equipos'!C15</f>
        <v>ITM 2x32A, Caja Moldeada, 50kA en 220VAC, A1N, ABB</v>
      </c>
      <c r="F1862" s="497"/>
      <c r="G1862" s="561">
        <f>IFERROR(VLOOKUP(D1862,'Precios Equipos'!$C$1:$F$5052,3,0),"")</f>
        <v>88</v>
      </c>
      <c r="H1862" s="561">
        <f t="shared" si="196"/>
        <v>88</v>
      </c>
      <c r="I1862" s="1087">
        <f>SUM(H1862:H1867)</f>
        <v>450</v>
      </c>
      <c r="J1862" s="1088">
        <f>+I1862/H1876</f>
        <v>0.41095890410958902</v>
      </c>
      <c r="K1862" s="539"/>
      <c r="L1862" s="544" t="str">
        <f>+'Precios Equipos'!C162</f>
        <v>Mano de obra 1-2 Diferenciales</v>
      </c>
      <c r="M1862" s="545">
        <f>IFERROR(VLOOKUP(L1862,'Precios Equipos'!$C$11:$F$208,3,0),0)</f>
        <v>33</v>
      </c>
      <c r="O1862" s="468"/>
      <c r="P1862" s="501"/>
      <c r="Q1862" s="465">
        <f>+C1862*$C$1856</f>
        <v>2</v>
      </c>
    </row>
    <row r="1863" spans="2:17" ht="16.5" thickBot="1" x14ac:dyDescent="0.3">
      <c r="B1863" s="493"/>
      <c r="C1863" s="526"/>
      <c r="D1863" s="494"/>
      <c r="F1863" s="497"/>
      <c r="G1863" s="561" t="str">
        <f>IFERROR(VLOOKUP(D1863,'Precios Equipos'!$C$1:$F$5052,3,0),"")</f>
        <v/>
      </c>
      <c r="H1863" s="561" t="str">
        <f t="shared" si="196"/>
        <v/>
      </c>
      <c r="I1863" s="1087"/>
      <c r="J1863" s="1088"/>
      <c r="K1863" s="539"/>
      <c r="L1863" s="544" t="str">
        <f>+'Precios Equipos'!C204</f>
        <v>Diseño Ingenieria Tableros Adosados</v>
      </c>
      <c r="M1863" s="545">
        <f>IFERROR(VLOOKUP(L1863,'Precios Equipos'!$C$11:$F$208,3,0),0)</f>
        <v>33</v>
      </c>
      <c r="O1863" s="468"/>
      <c r="P1863" s="501"/>
    </row>
    <row r="1864" spans="2:17" ht="16.5" thickBot="1" x14ac:dyDescent="0.3">
      <c r="B1864" s="493"/>
      <c r="C1864" s="526"/>
      <c r="D1864" s="620" t="s">
        <v>71</v>
      </c>
      <c r="F1864" s="497"/>
      <c r="G1864" s="561" t="str">
        <f>IFERROR(VLOOKUP(D1864,'Precios Equipos'!$C$1:$F$5052,3,0),"")</f>
        <v/>
      </c>
      <c r="H1864" s="561" t="str">
        <f t="shared" si="196"/>
        <v/>
      </c>
      <c r="I1864" s="1087"/>
      <c r="J1864" s="1088"/>
      <c r="K1864" s="539"/>
      <c r="L1864" s="546" t="s">
        <v>89</v>
      </c>
      <c r="M1864" s="560">
        <f>SUM(M1859:M1863)</f>
        <v>143</v>
      </c>
      <c r="O1864" s="468"/>
    </row>
    <row r="1865" spans="2:17" x14ac:dyDescent="0.25">
      <c r="B1865" s="493"/>
      <c r="C1865" s="526">
        <v>2</v>
      </c>
      <c r="D1865" s="494" t="str">
        <f>+'Precios Equipos'!C12</f>
        <v>ITM 2x16A, Caja Moldeada, 50kA en 220VAC, A1N, ABB</v>
      </c>
      <c r="F1865" s="497"/>
      <c r="G1865" s="561">
        <f>IFERROR(VLOOKUP(D1865,'Precios Equipos'!$C$1:$F$5052,3,0),"")</f>
        <v>20</v>
      </c>
      <c r="H1865" s="561">
        <f t="shared" si="196"/>
        <v>40</v>
      </c>
      <c r="I1865" s="1087"/>
      <c r="J1865" s="1088"/>
      <c r="K1865" s="539"/>
      <c r="O1865" s="468"/>
      <c r="Q1865" s="465">
        <f>+C1865*$C$1856</f>
        <v>4</v>
      </c>
    </row>
    <row r="1866" spans="2:17" x14ac:dyDescent="0.25">
      <c r="B1866" s="493"/>
      <c r="C1866" s="526">
        <v>1</v>
      </c>
      <c r="D1866" s="494" t="str">
        <f>+'Precios Equipos'!C50</f>
        <v>Interruptor Riel Din 2x25A. S202 20kA en 220VAC, ABB</v>
      </c>
      <c r="F1866" s="495"/>
      <c r="G1866" s="561">
        <f>IFERROR(VLOOKUP(D1866,'Precios Equipos'!$C$1:$F$5052,3,0),"")</f>
        <v>263</v>
      </c>
      <c r="H1866" s="561">
        <f t="shared" si="196"/>
        <v>263</v>
      </c>
      <c r="I1866" s="1087"/>
      <c r="J1866" s="1088"/>
      <c r="K1866" s="539"/>
      <c r="O1866" s="468"/>
      <c r="Q1866" s="465">
        <f>+C1866*$C$1856</f>
        <v>2</v>
      </c>
    </row>
    <row r="1867" spans="2:17" x14ac:dyDescent="0.25">
      <c r="B1867" s="493"/>
      <c r="C1867" s="526">
        <v>1</v>
      </c>
      <c r="D1867" s="494" t="str">
        <f>+'Precios Equipos'!C61</f>
        <v>Protector de sobretension SPD AC 2P, 1000V AC, CLAMPER/DC SURGE PROTECCION</v>
      </c>
      <c r="F1867" s="495"/>
      <c r="G1867" s="561">
        <f>IFERROR(VLOOKUP(D1867,'Precios Equipos'!$C$1:$F$5052,3,0),"")</f>
        <v>59</v>
      </c>
      <c r="H1867" s="561">
        <f t="shared" si="196"/>
        <v>59</v>
      </c>
      <c r="I1867" s="1087"/>
      <c r="J1867" s="1088"/>
      <c r="K1867" s="539"/>
      <c r="O1867" s="468"/>
      <c r="Q1867" s="465">
        <f>+C1867*$C$1856</f>
        <v>2</v>
      </c>
    </row>
    <row r="1868" spans="2:17" x14ac:dyDescent="0.25">
      <c r="B1868" s="493"/>
      <c r="C1868" s="526"/>
      <c r="D1868" s="494"/>
      <c r="F1868" s="495"/>
      <c r="G1868" s="561" t="str">
        <f>IFERROR(VLOOKUP(D1868,'Precios Equipos'!$C$1:$F$5052,3,0),"")</f>
        <v/>
      </c>
      <c r="H1868" s="561" t="str">
        <f t="shared" si="196"/>
        <v/>
      </c>
      <c r="I1868" s="477"/>
      <c r="K1868" s="539"/>
      <c r="O1868" s="468"/>
    </row>
    <row r="1869" spans="2:17" x14ac:dyDescent="0.25">
      <c r="B1869" s="493"/>
      <c r="C1869" s="526"/>
      <c r="D1869" s="620" t="s">
        <v>737</v>
      </c>
      <c r="F1869" s="495"/>
      <c r="G1869" s="561" t="str">
        <f>IFERROR(VLOOKUP(D1869,'Precios Equipos'!$C$1:$F$5052,3,0),"")</f>
        <v/>
      </c>
      <c r="H1869" s="561" t="str">
        <f t="shared" si="196"/>
        <v/>
      </c>
      <c r="I1869" s="477"/>
      <c r="K1869" s="539"/>
      <c r="O1869" s="468"/>
    </row>
    <row r="1870" spans="2:17" x14ac:dyDescent="0.25">
      <c r="B1870" s="493"/>
      <c r="C1870" s="526">
        <v>3</v>
      </c>
      <c r="D1870" s="494" t="str">
        <f>+'Precios Equipos'!C48</f>
        <v>Interruptor Riel Din 2x04A. S200 20kA en 230V en 250VAC, ABB</v>
      </c>
      <c r="F1870" s="495"/>
      <c r="G1870" s="561">
        <f>IFERROR(VLOOKUP(D1870,'Precios Equipos'!$C$1:$F$5052,3,0),"")</f>
        <v>162</v>
      </c>
      <c r="H1870" s="561">
        <f t="shared" si="196"/>
        <v>486</v>
      </c>
      <c r="I1870" s="561">
        <f>+H1870</f>
        <v>486</v>
      </c>
      <c r="J1870" s="1059">
        <f>+I1870/H1876</f>
        <v>0.44383561643835617</v>
      </c>
      <c r="K1870" s="539"/>
      <c r="O1870" s="468"/>
      <c r="Q1870" s="465">
        <f>+C1870*$C$1856</f>
        <v>6</v>
      </c>
    </row>
    <row r="1871" spans="2:17" x14ac:dyDescent="0.25">
      <c r="B1871" s="493"/>
      <c r="C1871" s="526"/>
      <c r="D1871" s="494"/>
      <c r="F1871" s="495"/>
      <c r="G1871" s="561" t="str">
        <f>IFERROR(VLOOKUP(D1871,'Precios Equipos'!$C$1:$F$5052,3,0),"")</f>
        <v/>
      </c>
      <c r="H1871" s="561" t="str">
        <f t="shared" si="196"/>
        <v/>
      </c>
      <c r="I1871" s="477"/>
      <c r="K1871" s="539"/>
      <c r="O1871" s="468"/>
    </row>
    <row r="1872" spans="2:17" x14ac:dyDescent="0.25">
      <c r="B1872" s="493"/>
      <c r="C1872" s="526"/>
      <c r="D1872" s="620" t="s">
        <v>87</v>
      </c>
      <c r="F1872" s="495"/>
      <c r="G1872" s="561"/>
      <c r="H1872" s="561">
        <f>M1864</f>
        <v>143</v>
      </c>
      <c r="I1872" s="561">
        <f>SUM(H1872)</f>
        <v>143</v>
      </c>
      <c r="J1872" s="924">
        <f>+I1872/H1876</f>
        <v>0.13059360730593608</v>
      </c>
      <c r="K1872" s="539"/>
      <c r="O1872" s="468"/>
    </row>
    <row r="1873" spans="1:17" x14ac:dyDescent="0.25">
      <c r="B1873" s="493"/>
      <c r="C1873" s="526">
        <v>1</v>
      </c>
      <c r="D1873" s="494" t="s">
        <v>49</v>
      </c>
      <c r="F1873" s="495"/>
      <c r="G1873" s="561"/>
      <c r="H1873" s="561">
        <f>$O$153</f>
        <v>0</v>
      </c>
      <c r="I1873" s="1087">
        <f>SUM(H1873:H1874)</f>
        <v>0</v>
      </c>
      <c r="J1873" s="1088">
        <f>+I1873/H1876</f>
        <v>0</v>
      </c>
      <c r="K1873" s="539"/>
      <c r="O1873" s="468"/>
    </row>
    <row r="1874" spans="1:17" x14ac:dyDescent="0.25">
      <c r="B1874" s="493"/>
      <c r="C1874" s="526">
        <v>1</v>
      </c>
      <c r="D1874" s="494" t="s">
        <v>51</v>
      </c>
      <c r="F1874" s="495"/>
      <c r="G1874" s="561"/>
      <c r="H1874" s="561">
        <f>$O$154</f>
        <v>0</v>
      </c>
      <c r="I1874" s="1087"/>
      <c r="J1874" s="1088"/>
      <c r="K1874" s="539"/>
      <c r="M1874" s="470"/>
      <c r="O1874" s="468"/>
    </row>
    <row r="1875" spans="1:17" x14ac:dyDescent="0.25">
      <c r="B1875" s="493"/>
      <c r="C1875" s="526">
        <v>1</v>
      </c>
      <c r="D1875" s="467" t="s">
        <v>20</v>
      </c>
      <c r="F1875" s="495"/>
      <c r="G1875" s="561"/>
      <c r="H1875" s="561"/>
      <c r="I1875" s="477"/>
      <c r="J1875" s="973"/>
      <c r="K1875" s="539"/>
      <c r="M1875" s="470"/>
      <c r="O1875" s="468"/>
    </row>
    <row r="1876" spans="1:17" x14ac:dyDescent="0.25">
      <c r="B1876" s="493"/>
      <c r="C1876" s="526">
        <v>1</v>
      </c>
      <c r="D1876" s="467" t="s">
        <v>52</v>
      </c>
      <c r="F1876" s="495"/>
      <c r="G1876" s="553" t="s">
        <v>97</v>
      </c>
      <c r="H1876" s="561">
        <f>SUM(H1859:H1875)</f>
        <v>1095</v>
      </c>
      <c r="I1876" s="477"/>
      <c r="J1876" s="973"/>
      <c r="K1876" s="539"/>
      <c r="M1876" s="470"/>
      <c r="O1876" s="468"/>
    </row>
    <row r="1877" spans="1:17" x14ac:dyDescent="0.25">
      <c r="B1877" s="493"/>
      <c r="C1877" s="526">
        <v>1</v>
      </c>
      <c r="D1877" s="467" t="s">
        <v>21</v>
      </c>
      <c r="F1877" s="495"/>
      <c r="G1877" s="553" t="s">
        <v>105</v>
      </c>
      <c r="H1877" s="561">
        <f>H1876*$M$155</f>
        <v>219</v>
      </c>
      <c r="I1877" s="477"/>
      <c r="J1877" s="973"/>
      <c r="K1877" s="539"/>
      <c r="M1877" s="470"/>
      <c r="O1877" s="468"/>
    </row>
    <row r="1878" spans="1:17" x14ac:dyDescent="0.25">
      <c r="B1878" s="521"/>
      <c r="C1878" s="527" t="s">
        <v>17</v>
      </c>
      <c r="D1878" s="522" t="s">
        <v>48</v>
      </c>
      <c r="E1878" s="523"/>
      <c r="F1878" s="524"/>
      <c r="G1878" s="553" t="s">
        <v>452</v>
      </c>
      <c r="H1878" s="561">
        <f>H1876+H1877</f>
        <v>1314</v>
      </c>
      <c r="I1878" s="477"/>
      <c r="J1878" s="973"/>
      <c r="K1878" s="539"/>
      <c r="M1878" s="470"/>
      <c r="O1878" s="468"/>
    </row>
    <row r="1879" spans="1:17" x14ac:dyDescent="0.25">
      <c r="M1879" s="470"/>
    </row>
    <row r="1880" spans="1:17" x14ac:dyDescent="0.25">
      <c r="B1880" s="514" t="s">
        <v>6</v>
      </c>
      <c r="C1880" s="515" t="s">
        <v>0</v>
      </c>
      <c r="D1880" s="606" t="s">
        <v>8</v>
      </c>
      <c r="E1880" s="516" t="s">
        <v>4</v>
      </c>
      <c r="F1880" s="516" t="s">
        <v>3</v>
      </c>
      <c r="G1880" s="477"/>
      <c r="H1880" s="477"/>
      <c r="I1880" s="477"/>
      <c r="K1880" s="539"/>
      <c r="M1880" s="470"/>
      <c r="O1880" s="468"/>
    </row>
    <row r="1881" spans="1:17" x14ac:dyDescent="0.25">
      <c r="A1881" s="463">
        <v>152</v>
      </c>
      <c r="B1881" s="1077">
        <f>B107</f>
        <v>6.0599999999999987</v>
      </c>
      <c r="C1881" s="1077">
        <f>C107</f>
        <v>3</v>
      </c>
      <c r="D1881" s="1077" t="str">
        <f>D107</f>
        <v>TABLERO TFV-AC - TIPO 06</v>
      </c>
      <c r="E1881" s="518">
        <f>H1903</f>
        <v>1435.2</v>
      </c>
      <c r="F1881" s="518">
        <f>+E1881*C1881</f>
        <v>4305.6000000000004</v>
      </c>
      <c r="G1881" s="553" t="s">
        <v>450</v>
      </c>
      <c r="H1881" s="553" t="s">
        <v>1</v>
      </c>
      <c r="I1881" s="477"/>
      <c r="K1881" s="539"/>
      <c r="M1881" s="470"/>
      <c r="O1881" s="468"/>
    </row>
    <row r="1882" spans="1:17" x14ac:dyDescent="0.25">
      <c r="B1882" s="1078"/>
      <c r="C1882" s="1078"/>
      <c r="D1882" s="1078"/>
      <c r="E1882" s="520" t="s">
        <v>50</v>
      </c>
      <c r="F1882" s="520" t="s">
        <v>50</v>
      </c>
      <c r="G1882" s="553" t="s">
        <v>50</v>
      </c>
      <c r="H1882" s="553" t="s">
        <v>50</v>
      </c>
      <c r="I1882" s="477"/>
      <c r="K1882" s="539"/>
      <c r="M1882" s="470"/>
      <c r="O1882" s="468"/>
    </row>
    <row r="1883" spans="1:17" x14ac:dyDescent="0.25">
      <c r="B1883" s="493"/>
      <c r="C1883" s="526"/>
      <c r="D1883" s="463"/>
      <c r="E1883" s="491"/>
      <c r="F1883" s="492"/>
      <c r="G1883" s="561" t="str">
        <f>IFERROR(VLOOKUP(D1883,'Precios Equipos'!$C$1:$F$5052,3,0),"")</f>
        <v/>
      </c>
      <c r="H1883" s="561" t="str">
        <f t="shared" ref="H1883:H1896" si="197">IFERROR(G1883*C1883,"")</f>
        <v/>
      </c>
      <c r="I1883" s="477"/>
      <c r="K1883" s="539"/>
      <c r="M1883" s="470"/>
      <c r="O1883" s="468"/>
    </row>
    <row r="1884" spans="1:17" x14ac:dyDescent="0.25">
      <c r="B1884" s="493"/>
      <c r="C1884" s="526">
        <v>1</v>
      </c>
      <c r="D1884" s="500" t="str">
        <f>+'Precios Equipos'!C178</f>
        <v>Gabinete Adosado 700x500x200mm. (alto x ancho x profundidad) dimensiones aproximadas</v>
      </c>
      <c r="F1884" s="495"/>
      <c r="G1884" s="561">
        <f>IFERROR(VLOOKUP(D1884,'Precios Equipos'!$C$1:$F$5052,3,0),"")</f>
        <v>16</v>
      </c>
      <c r="H1884" s="561">
        <f t="shared" si="197"/>
        <v>16</v>
      </c>
      <c r="I1884" s="561">
        <f>SUM(H1884)</f>
        <v>16</v>
      </c>
      <c r="J1884" s="924">
        <f>+I1884/H1901</f>
        <v>1.3377926421404682E-2</v>
      </c>
      <c r="K1884" s="539"/>
      <c r="M1884" s="470"/>
      <c r="O1884" s="468"/>
      <c r="Q1884" s="465">
        <f>+C1884*$C$1881</f>
        <v>3</v>
      </c>
    </row>
    <row r="1885" spans="1:17" ht="16.5" thickBot="1" x14ac:dyDescent="0.3">
      <c r="B1885" s="493"/>
      <c r="C1885" s="526"/>
      <c r="D1885" s="494"/>
      <c r="F1885" s="495"/>
      <c r="G1885" s="561" t="str">
        <f>IFERROR(VLOOKUP(D1885,'Precios Equipos'!$C$1:$F$5052,3,0),"")</f>
        <v/>
      </c>
      <c r="H1885" s="561" t="str">
        <f t="shared" si="197"/>
        <v/>
      </c>
      <c r="I1885" s="477"/>
      <c r="K1885" s="539"/>
      <c r="M1885" s="470"/>
      <c r="O1885" s="468"/>
    </row>
    <row r="1886" spans="1:17" ht="16.5" thickBot="1" x14ac:dyDescent="0.3">
      <c r="B1886" s="493"/>
      <c r="C1886" s="526"/>
      <c r="D1886" s="709" t="s">
        <v>70</v>
      </c>
      <c r="F1886" s="495"/>
      <c r="G1886" s="561" t="str">
        <f>IFERROR(VLOOKUP(D1886,'Precios Equipos'!$C$1:$F$5052,3,0),"")</f>
        <v/>
      </c>
      <c r="H1886" s="561" t="str">
        <f t="shared" si="197"/>
        <v/>
      </c>
      <c r="I1886" s="477"/>
      <c r="K1886" s="539"/>
      <c r="L1886" s="540" t="s">
        <v>451</v>
      </c>
      <c r="M1886" s="541"/>
      <c r="O1886" s="468"/>
      <c r="P1886" s="501"/>
    </row>
    <row r="1887" spans="1:17" ht="16.5" thickBot="1" x14ac:dyDescent="0.3">
      <c r="B1887" s="493"/>
      <c r="C1887" s="526">
        <v>1</v>
      </c>
      <c r="D1887" s="494" t="str">
        <f>+'Precios Equipos'!C40</f>
        <v>ITM 2x50A, Caja Moldeada, 50kA en 220V, A1N, ABB, DC</v>
      </c>
      <c r="F1887" s="497"/>
      <c r="G1887" s="561">
        <f>IFERROR(VLOOKUP(D1887,'Precios Equipos'!$C$1:$F$5052,3,0),"")</f>
        <v>9</v>
      </c>
      <c r="H1887" s="561">
        <f t="shared" si="197"/>
        <v>9</v>
      </c>
      <c r="I1887" s="1087">
        <f>SUM(H1887:H1892)</f>
        <v>551</v>
      </c>
      <c r="J1887" s="1088">
        <f>+I1887/H1901</f>
        <v>0.46070234113712377</v>
      </c>
      <c r="K1887" s="539"/>
      <c r="L1887" s="542" t="s">
        <v>88</v>
      </c>
      <c r="M1887" s="543" t="s">
        <v>85</v>
      </c>
      <c r="O1887" s="468"/>
      <c r="P1887" s="501"/>
      <c r="Q1887" s="465">
        <f>+C1887*$C$1881</f>
        <v>3</v>
      </c>
    </row>
    <row r="1888" spans="1:17" x14ac:dyDescent="0.25">
      <c r="B1888" s="493"/>
      <c r="C1888" s="526"/>
      <c r="D1888" s="494"/>
      <c r="F1888" s="497"/>
      <c r="G1888" s="561" t="str">
        <f>IFERROR(VLOOKUP(D1888,'Precios Equipos'!$C$1:$F$5052,3,0),"")</f>
        <v/>
      </c>
      <c r="H1888" s="561" t="str">
        <f t="shared" si="197"/>
        <v/>
      </c>
      <c r="I1888" s="1087"/>
      <c r="J1888" s="1088"/>
      <c r="K1888" s="539"/>
      <c r="L1888" s="544" t="str">
        <f>+'Precios Equipos'!C111</f>
        <v>SISTEMA DE BARRAS 08-10 POLOS</v>
      </c>
      <c r="M1888" s="545">
        <f>IFERROR(VLOOKUP(L1888,'Precios Equipos'!$C$11:$F$208,3,0),0)</f>
        <v>23</v>
      </c>
      <c r="O1888" s="468"/>
      <c r="P1888" s="501"/>
    </row>
    <row r="1889" spans="2:17" x14ac:dyDescent="0.25">
      <c r="B1889" s="493"/>
      <c r="C1889" s="526"/>
      <c r="D1889" s="620" t="s">
        <v>71</v>
      </c>
      <c r="F1889" s="497"/>
      <c r="G1889" s="561" t="str">
        <f>IFERROR(VLOOKUP(D1889,'Precios Equipos'!$C$1:$F$5052,3,0),"")</f>
        <v/>
      </c>
      <c r="H1889" s="561" t="str">
        <f t="shared" si="197"/>
        <v/>
      </c>
      <c r="I1889" s="1087"/>
      <c r="J1889" s="1088"/>
      <c r="K1889" s="539"/>
      <c r="L1889" s="544" t="str">
        <f>+'Precios Equipos'!C132</f>
        <v>CABLEADO 1 DIFERENCIALES, 2P</v>
      </c>
      <c r="M1889" s="545">
        <f>IFERROR(VLOOKUP(L1889,'Precios Equipos'!$C$11:$F$208,3,0),0)</f>
        <v>37</v>
      </c>
      <c r="O1889" s="468"/>
    </row>
    <row r="1890" spans="2:17" x14ac:dyDescent="0.25">
      <c r="B1890" s="493"/>
      <c r="C1890" s="526">
        <v>2</v>
      </c>
      <c r="D1890" s="494" t="str">
        <f>+'Precios Equipos'!C14</f>
        <v>ITM 2x25A, Caja Moldeada, 50kA en 220VAC, A1N, ABB</v>
      </c>
      <c r="F1890" s="497"/>
      <c r="G1890" s="561">
        <f>IFERROR(VLOOKUP(D1890,'Precios Equipos'!$C$1:$F$5052,3,0),"")</f>
        <v>110</v>
      </c>
      <c r="H1890" s="561">
        <f t="shared" si="197"/>
        <v>220</v>
      </c>
      <c r="I1890" s="1087"/>
      <c r="J1890" s="1088"/>
      <c r="K1890" s="539"/>
      <c r="L1890" s="544" t="str">
        <f>+'Precios Equipos'!C140</f>
        <v>Mano de obra 6-10 polos (3-5 ITM)</v>
      </c>
      <c r="M1890" s="545">
        <f>IFERROR(VLOOKUP(L1890,'Precios Equipos'!$C$11:$F$208,3,0),0)</f>
        <v>17</v>
      </c>
      <c r="O1890" s="468"/>
      <c r="Q1890" s="465">
        <f>+C1890*$C$1881</f>
        <v>6</v>
      </c>
    </row>
    <row r="1891" spans="2:17" x14ac:dyDescent="0.25">
      <c r="B1891" s="493"/>
      <c r="C1891" s="526">
        <v>1</v>
      </c>
      <c r="D1891" s="494" t="str">
        <f>+'Precios Equipos'!C50</f>
        <v>Interruptor Riel Din 2x25A. S202 20kA en 220VAC, ABB</v>
      </c>
      <c r="F1891" s="495"/>
      <c r="G1891" s="561">
        <f>IFERROR(VLOOKUP(D1891,'Precios Equipos'!$C$1:$F$5052,3,0),"")</f>
        <v>263</v>
      </c>
      <c r="H1891" s="561">
        <f t="shared" si="197"/>
        <v>263</v>
      </c>
      <c r="I1891" s="1087"/>
      <c r="J1891" s="1088"/>
      <c r="K1891" s="539"/>
      <c r="L1891" s="544" t="str">
        <f>+'Precios Equipos'!C162</f>
        <v>Mano de obra 1-2 Diferenciales</v>
      </c>
      <c r="M1891" s="545">
        <f>IFERROR(VLOOKUP(L1891,'Precios Equipos'!$C$11:$F$208,3,0),0)</f>
        <v>33</v>
      </c>
      <c r="O1891" s="468"/>
      <c r="Q1891" s="465">
        <f t="shared" ref="Q1891:Q1892" si="198">+C1891*$C$1881</f>
        <v>3</v>
      </c>
    </row>
    <row r="1892" spans="2:17" ht="16.5" thickBot="1" x14ac:dyDescent="0.3">
      <c r="B1892" s="493"/>
      <c r="C1892" s="526">
        <v>1</v>
      </c>
      <c r="D1892" s="494" t="str">
        <f>+'Precios Equipos'!C61</f>
        <v>Protector de sobretension SPD AC 2P, 1000V AC, CLAMPER/DC SURGE PROTECCION</v>
      </c>
      <c r="F1892" s="495"/>
      <c r="G1892" s="561">
        <f>IFERROR(VLOOKUP(D1892,'Precios Equipos'!$C$1:$F$5052,3,0),"")</f>
        <v>59</v>
      </c>
      <c r="H1892" s="561">
        <f t="shared" si="197"/>
        <v>59</v>
      </c>
      <c r="I1892" s="1087"/>
      <c r="J1892" s="1088"/>
      <c r="K1892" s="539"/>
      <c r="L1892" s="544" t="str">
        <f>+'Precios Equipos'!C204</f>
        <v>Diseño Ingenieria Tableros Adosados</v>
      </c>
      <c r="M1892" s="545">
        <f>IFERROR(VLOOKUP(L1892,'Precios Equipos'!$C$11:$F$208,3,0),0)</f>
        <v>33</v>
      </c>
      <c r="O1892" s="468"/>
      <c r="Q1892" s="465">
        <f t="shared" si="198"/>
        <v>3</v>
      </c>
    </row>
    <row r="1893" spans="2:17" ht="16.5" thickBot="1" x14ac:dyDescent="0.3">
      <c r="B1893" s="493"/>
      <c r="C1893" s="526"/>
      <c r="D1893" s="494"/>
      <c r="F1893" s="495"/>
      <c r="G1893" s="561" t="str">
        <f>IFERROR(VLOOKUP(D1893,'Precios Equipos'!$C$1:$F$5052,3,0),"")</f>
        <v/>
      </c>
      <c r="H1893" s="561" t="str">
        <f t="shared" si="197"/>
        <v/>
      </c>
      <c r="I1893" s="477"/>
      <c r="K1893" s="539"/>
      <c r="L1893" s="546" t="s">
        <v>89</v>
      </c>
      <c r="M1893" s="560">
        <f>SUM(M1888:M1892)</f>
        <v>143</v>
      </c>
      <c r="O1893" s="468"/>
    </row>
    <row r="1894" spans="2:17" x14ac:dyDescent="0.25">
      <c r="B1894" s="493"/>
      <c r="C1894" s="526"/>
      <c r="D1894" s="620" t="s">
        <v>737</v>
      </c>
      <c r="F1894" s="495"/>
      <c r="G1894" s="561" t="str">
        <f>IFERROR(VLOOKUP(D1894,'Precios Equipos'!$C$1:$F$5052,3,0),"")</f>
        <v/>
      </c>
      <c r="H1894" s="561" t="str">
        <f t="shared" si="197"/>
        <v/>
      </c>
      <c r="I1894" s="477"/>
      <c r="K1894" s="539"/>
      <c r="L1894" s="593"/>
      <c r="M1894" s="594"/>
      <c r="O1894" s="468"/>
    </row>
    <row r="1895" spans="2:17" x14ac:dyDescent="0.25">
      <c r="B1895" s="493"/>
      <c r="C1895" s="526">
        <v>3</v>
      </c>
      <c r="D1895" s="494" t="str">
        <f>+'Precios Equipos'!C48</f>
        <v>Interruptor Riel Din 2x04A. S200 20kA en 230V en 250VAC, ABB</v>
      </c>
      <c r="F1895" s="495"/>
      <c r="G1895" s="561">
        <f>IFERROR(VLOOKUP(D1895,'Precios Equipos'!$C$1:$F$5052,3,0),"")</f>
        <v>162</v>
      </c>
      <c r="H1895" s="561">
        <f t="shared" si="197"/>
        <v>486</v>
      </c>
      <c r="I1895" s="561">
        <f>+H1895</f>
        <v>486</v>
      </c>
      <c r="J1895" s="1059">
        <f>+I1895/H1901</f>
        <v>0.40635451505016723</v>
      </c>
      <c r="K1895" s="539"/>
      <c r="L1895" s="593"/>
      <c r="M1895" s="594"/>
      <c r="O1895" s="468"/>
      <c r="Q1895" s="465">
        <f>+C1895*$C$1881</f>
        <v>9</v>
      </c>
    </row>
    <row r="1896" spans="2:17" x14ac:dyDescent="0.25">
      <c r="B1896" s="493"/>
      <c r="C1896" s="526"/>
      <c r="D1896" s="494"/>
      <c r="F1896" s="495"/>
      <c r="G1896" s="561" t="str">
        <f>IFERROR(VLOOKUP(D1896,'Precios Equipos'!$C$1:$F$5052,3,0),"")</f>
        <v/>
      </c>
      <c r="H1896" s="561" t="str">
        <f t="shared" si="197"/>
        <v/>
      </c>
      <c r="I1896" s="477"/>
      <c r="K1896" s="539"/>
      <c r="L1896" s="593"/>
      <c r="M1896" s="594"/>
      <c r="O1896" s="468"/>
    </row>
    <row r="1897" spans="2:17" x14ac:dyDescent="0.25">
      <c r="B1897" s="493"/>
      <c r="C1897" s="526"/>
      <c r="D1897" s="620" t="s">
        <v>87</v>
      </c>
      <c r="F1897" s="495"/>
      <c r="G1897" s="561"/>
      <c r="H1897" s="561">
        <f>M1893</f>
        <v>143</v>
      </c>
      <c r="I1897" s="561">
        <f>SUM(H1897)</f>
        <v>143</v>
      </c>
      <c r="J1897" s="924">
        <f>+I1897/H1901</f>
        <v>0.11956521739130435</v>
      </c>
      <c r="K1897" s="539"/>
      <c r="M1897" s="470"/>
      <c r="O1897" s="468"/>
    </row>
    <row r="1898" spans="2:17" x14ac:dyDescent="0.25">
      <c r="B1898" s="493"/>
      <c r="C1898" s="526">
        <v>1</v>
      </c>
      <c r="D1898" s="494" t="s">
        <v>49</v>
      </c>
      <c r="F1898" s="495"/>
      <c r="G1898" s="561"/>
      <c r="H1898" s="561">
        <f>$O$153</f>
        <v>0</v>
      </c>
      <c r="I1898" s="1087">
        <f>SUM(H1898:H1899)</f>
        <v>0</v>
      </c>
      <c r="J1898" s="1088">
        <f>+I1898/H1901</f>
        <v>0</v>
      </c>
      <c r="K1898" s="539"/>
      <c r="M1898" s="470"/>
      <c r="O1898" s="468"/>
    </row>
    <row r="1899" spans="2:17" x14ac:dyDescent="0.25">
      <c r="B1899" s="493"/>
      <c r="C1899" s="526">
        <v>1</v>
      </c>
      <c r="D1899" s="494" t="s">
        <v>51</v>
      </c>
      <c r="F1899" s="495"/>
      <c r="G1899" s="561"/>
      <c r="H1899" s="561">
        <f>$O$154</f>
        <v>0</v>
      </c>
      <c r="I1899" s="1087"/>
      <c r="J1899" s="1088"/>
      <c r="K1899" s="539"/>
      <c r="M1899" s="470"/>
      <c r="O1899" s="468"/>
    </row>
    <row r="1900" spans="2:17" x14ac:dyDescent="0.25">
      <c r="B1900" s="493"/>
      <c r="C1900" s="526">
        <v>1</v>
      </c>
      <c r="D1900" s="467" t="s">
        <v>20</v>
      </c>
      <c r="F1900" s="495"/>
      <c r="G1900" s="561"/>
      <c r="H1900" s="561"/>
      <c r="I1900" s="477"/>
      <c r="J1900" s="973"/>
      <c r="K1900" s="539"/>
      <c r="M1900" s="470"/>
      <c r="O1900" s="468"/>
    </row>
    <row r="1901" spans="2:17" x14ac:dyDescent="0.25">
      <c r="B1901" s="493"/>
      <c r="C1901" s="526">
        <v>1</v>
      </c>
      <c r="D1901" s="467" t="s">
        <v>52</v>
      </c>
      <c r="F1901" s="495"/>
      <c r="G1901" s="553" t="s">
        <v>97</v>
      </c>
      <c r="H1901" s="561">
        <f>SUM(H1884:H1900)</f>
        <v>1196</v>
      </c>
      <c r="I1901" s="477"/>
      <c r="J1901" s="973"/>
      <c r="K1901" s="539"/>
      <c r="M1901" s="470"/>
      <c r="O1901" s="468"/>
    </row>
    <row r="1902" spans="2:17" x14ac:dyDescent="0.25">
      <c r="B1902" s="493"/>
      <c r="C1902" s="526">
        <v>1</v>
      </c>
      <c r="D1902" s="467" t="s">
        <v>21</v>
      </c>
      <c r="F1902" s="495"/>
      <c r="G1902" s="553" t="s">
        <v>105</v>
      </c>
      <c r="H1902" s="561">
        <f>H1901*$M$155</f>
        <v>239.20000000000002</v>
      </c>
      <c r="I1902" s="477"/>
      <c r="J1902" s="973"/>
      <c r="K1902" s="539"/>
      <c r="M1902" s="470"/>
      <c r="O1902" s="468"/>
    </row>
    <row r="1903" spans="2:17" x14ac:dyDescent="0.25">
      <c r="B1903" s="521"/>
      <c r="C1903" s="527" t="s">
        <v>17</v>
      </c>
      <c r="D1903" s="522" t="s">
        <v>48</v>
      </c>
      <c r="E1903" s="523"/>
      <c r="F1903" s="524"/>
      <c r="G1903" s="553" t="s">
        <v>452</v>
      </c>
      <c r="H1903" s="561">
        <f>H1901+H1902</f>
        <v>1435.2</v>
      </c>
      <c r="I1903" s="477"/>
      <c r="J1903" s="973"/>
      <c r="K1903" s="539"/>
      <c r="M1903" s="470"/>
      <c r="O1903" s="468"/>
    </row>
    <row r="1904" spans="2:17" x14ac:dyDescent="0.25">
      <c r="M1904" s="470"/>
    </row>
    <row r="1905" spans="1:17" x14ac:dyDescent="0.25">
      <c r="B1905" s="514" t="s">
        <v>6</v>
      </c>
      <c r="C1905" s="515" t="s">
        <v>0</v>
      </c>
      <c r="D1905" s="606" t="s">
        <v>8</v>
      </c>
      <c r="E1905" s="516" t="s">
        <v>4</v>
      </c>
      <c r="F1905" s="516" t="s">
        <v>3</v>
      </c>
      <c r="G1905" s="477"/>
      <c r="H1905" s="477"/>
      <c r="I1905" s="477"/>
      <c r="K1905" s="539"/>
      <c r="M1905" s="470"/>
      <c r="O1905" s="468"/>
    </row>
    <row r="1906" spans="1:17" x14ac:dyDescent="0.25">
      <c r="A1906" s="463">
        <v>152</v>
      </c>
      <c r="B1906" s="1077">
        <f>B108</f>
        <v>6.0699999999999985</v>
      </c>
      <c r="C1906" s="1077">
        <f>C108</f>
        <v>3</v>
      </c>
      <c r="D1906" s="1077" t="str">
        <f>D108</f>
        <v>TABLERO TFV-AC - TIPO 07</v>
      </c>
      <c r="E1906" s="518">
        <f>H1928</f>
        <v>1400.4</v>
      </c>
      <c r="F1906" s="518">
        <f>+E1906*C1906</f>
        <v>4201.2000000000007</v>
      </c>
      <c r="G1906" s="553" t="s">
        <v>450</v>
      </c>
      <c r="H1906" s="553" t="s">
        <v>1</v>
      </c>
      <c r="I1906" s="477"/>
      <c r="K1906" s="539"/>
      <c r="M1906" s="470"/>
      <c r="O1906" s="468"/>
    </row>
    <row r="1907" spans="1:17" x14ac:dyDescent="0.25">
      <c r="B1907" s="1078"/>
      <c r="C1907" s="1078"/>
      <c r="D1907" s="1078"/>
      <c r="E1907" s="520" t="s">
        <v>50</v>
      </c>
      <c r="F1907" s="520" t="s">
        <v>50</v>
      </c>
      <c r="G1907" s="553" t="s">
        <v>50</v>
      </c>
      <c r="H1907" s="553" t="s">
        <v>50</v>
      </c>
      <c r="I1907" s="477"/>
      <c r="K1907" s="539"/>
      <c r="M1907" s="470"/>
      <c r="O1907" s="468"/>
    </row>
    <row r="1908" spans="1:17" ht="16.5" thickBot="1" x14ac:dyDescent="0.3">
      <c r="B1908" s="493"/>
      <c r="C1908" s="526"/>
      <c r="D1908" s="463"/>
      <c r="E1908" s="491"/>
      <c r="F1908" s="492"/>
      <c r="G1908" s="561" t="str">
        <f>IFERROR(VLOOKUP(D1908,'Precios Equipos'!$C$1:$F$5052,3,0),"")</f>
        <v/>
      </c>
      <c r="H1908" s="561" t="str">
        <f t="shared" ref="H1908:H1921" si="199">IFERROR(G1908*C1908,"")</f>
        <v/>
      </c>
      <c r="I1908" s="477"/>
      <c r="K1908" s="539"/>
      <c r="M1908" s="470"/>
      <c r="O1908" s="468"/>
    </row>
    <row r="1909" spans="1:17" ht="16.5" thickBot="1" x14ac:dyDescent="0.3">
      <c r="B1909" s="493"/>
      <c r="C1909" s="526">
        <v>1</v>
      </c>
      <c r="D1909" s="500" t="str">
        <f>+'Precios Equipos'!C178</f>
        <v>Gabinete Adosado 700x500x200mm. (alto x ancho x profundidad) dimensiones aproximadas</v>
      </c>
      <c r="F1909" s="495"/>
      <c r="G1909" s="561">
        <f>IFERROR(VLOOKUP(D1909,'Precios Equipos'!$C$1:$F$5052,3,0),"")</f>
        <v>16</v>
      </c>
      <c r="H1909" s="561">
        <f t="shared" si="199"/>
        <v>16</v>
      </c>
      <c r="I1909" s="561">
        <f>SUM(H1909)</f>
        <v>16</v>
      </c>
      <c r="J1909" s="924">
        <f>+I1909/H1926</f>
        <v>1.3710368466152529E-2</v>
      </c>
      <c r="K1909" s="539"/>
      <c r="L1909" s="540" t="s">
        <v>451</v>
      </c>
      <c r="M1909" s="541"/>
      <c r="O1909" s="468"/>
      <c r="Q1909" s="465">
        <f>+C1909*$C$1906</f>
        <v>3</v>
      </c>
    </row>
    <row r="1910" spans="1:17" ht="16.5" thickBot="1" x14ac:dyDescent="0.3">
      <c r="B1910" s="493"/>
      <c r="C1910" s="526"/>
      <c r="D1910" s="494"/>
      <c r="F1910" s="495"/>
      <c r="G1910" s="561" t="str">
        <f>IFERROR(VLOOKUP(D1910,'Precios Equipos'!$C$1:$F$5052,3,0),"")</f>
        <v/>
      </c>
      <c r="H1910" s="561" t="str">
        <f t="shared" si="199"/>
        <v/>
      </c>
      <c r="I1910" s="477"/>
      <c r="K1910" s="539"/>
      <c r="L1910" s="542" t="s">
        <v>88</v>
      </c>
      <c r="M1910" s="543" t="s">
        <v>85</v>
      </c>
      <c r="O1910" s="468"/>
    </row>
    <row r="1911" spans="1:17" x14ac:dyDescent="0.25">
      <c r="B1911" s="493"/>
      <c r="C1911" s="526"/>
      <c r="D1911" s="620" t="s">
        <v>70</v>
      </c>
      <c r="F1911" s="495"/>
      <c r="G1911" s="561" t="str">
        <f>IFERROR(VLOOKUP(D1911,'Precios Equipos'!$C$1:$F$5052,3,0),"")</f>
        <v/>
      </c>
      <c r="H1911" s="561" t="str">
        <f t="shared" si="199"/>
        <v/>
      </c>
      <c r="I1911" s="477"/>
      <c r="K1911" s="539"/>
      <c r="L1911" s="544" t="str">
        <f>+'Precios Equipos'!C111</f>
        <v>SISTEMA DE BARRAS 08-10 POLOS</v>
      </c>
      <c r="M1911" s="545">
        <f>IFERROR(VLOOKUP(L1911,'Precios Equipos'!$C$11:$F$208,3,0),0)</f>
        <v>23</v>
      </c>
      <c r="O1911" s="468"/>
      <c r="P1911" s="501"/>
    </row>
    <row r="1912" spans="1:17" x14ac:dyDescent="0.25">
      <c r="B1912" s="493"/>
      <c r="C1912" s="526">
        <v>1</v>
      </c>
      <c r="D1912" s="494" t="str">
        <f>+'Precios Equipos'!C41</f>
        <v>ITM 2x63A, Caja Moldeada 63A, 50kA en 220V, A1N/P, ABB, DC</v>
      </c>
      <c r="F1912" s="497"/>
      <c r="G1912" s="561">
        <f>IFERROR(VLOOKUP(D1912,'Precios Equipos'!$C$1:$F$5052,3,0),"")</f>
        <v>24</v>
      </c>
      <c r="H1912" s="561">
        <f t="shared" si="199"/>
        <v>24</v>
      </c>
      <c r="I1912" s="1087">
        <f>SUM(H1912:H1917)</f>
        <v>522</v>
      </c>
      <c r="J1912" s="1088">
        <f>+I1912/H1926</f>
        <v>0.4473007712082262</v>
      </c>
      <c r="K1912" s="539"/>
      <c r="L1912" s="544" t="str">
        <f>+'Precios Equipos'!C132</f>
        <v>CABLEADO 1 DIFERENCIALES, 2P</v>
      </c>
      <c r="M1912" s="545">
        <f>IFERROR(VLOOKUP(L1912,'Precios Equipos'!$C$11:$F$208,3,0),0)</f>
        <v>37</v>
      </c>
      <c r="O1912" s="468"/>
      <c r="P1912" s="501"/>
      <c r="Q1912" s="465">
        <f>+C1912*$C$1906</f>
        <v>3</v>
      </c>
    </row>
    <row r="1913" spans="1:17" x14ac:dyDescent="0.25">
      <c r="B1913" s="493"/>
      <c r="C1913" s="526"/>
      <c r="D1913" s="494"/>
      <c r="F1913" s="497"/>
      <c r="G1913" s="561" t="str">
        <f>IFERROR(VLOOKUP(D1913,'Precios Equipos'!$C$1:$F$5052,3,0),"")</f>
        <v/>
      </c>
      <c r="H1913" s="561" t="str">
        <f t="shared" si="199"/>
        <v/>
      </c>
      <c r="I1913" s="1087"/>
      <c r="J1913" s="1088"/>
      <c r="K1913" s="539"/>
      <c r="L1913" s="544" t="str">
        <f>+'Precios Equipos'!C140</f>
        <v>Mano de obra 6-10 polos (3-5 ITM)</v>
      </c>
      <c r="M1913" s="545">
        <f>IFERROR(VLOOKUP(L1913,'Precios Equipos'!$C$11:$F$208,3,0),0)</f>
        <v>17</v>
      </c>
      <c r="O1913" s="468"/>
      <c r="P1913" s="501"/>
    </row>
    <row r="1914" spans="1:17" x14ac:dyDescent="0.25">
      <c r="B1914" s="493"/>
      <c r="C1914" s="526"/>
      <c r="D1914" s="620" t="s">
        <v>71</v>
      </c>
      <c r="F1914" s="497"/>
      <c r="G1914" s="561" t="str">
        <f>IFERROR(VLOOKUP(D1914,'Precios Equipos'!$C$1:$F$5052,3,0),"")</f>
        <v/>
      </c>
      <c r="H1914" s="561" t="str">
        <f t="shared" si="199"/>
        <v/>
      </c>
      <c r="I1914" s="1087"/>
      <c r="J1914" s="1088"/>
      <c r="K1914" s="539"/>
      <c r="L1914" s="544" t="str">
        <f>+'Precios Equipos'!C162</f>
        <v>Mano de obra 1-2 Diferenciales</v>
      </c>
      <c r="M1914" s="545">
        <f>IFERROR(VLOOKUP(L1914,'Precios Equipos'!$C$11:$F$208,3,0),0)</f>
        <v>33</v>
      </c>
      <c r="O1914" s="468"/>
    </row>
    <row r="1915" spans="1:17" ht="16.5" thickBot="1" x14ac:dyDescent="0.3">
      <c r="B1915" s="493"/>
      <c r="C1915" s="526">
        <v>2</v>
      </c>
      <c r="D1915" s="494" t="str">
        <f>+'Precios Equipos'!C15</f>
        <v>ITM 2x32A, Caja Moldeada, 50kA en 220VAC, A1N, ABB</v>
      </c>
      <c r="F1915" s="497"/>
      <c r="G1915" s="561">
        <f>IFERROR(VLOOKUP(D1915,'Precios Equipos'!$C$1:$F$5052,3,0),"")</f>
        <v>88</v>
      </c>
      <c r="H1915" s="561">
        <f t="shared" si="199"/>
        <v>176</v>
      </c>
      <c r="I1915" s="1087"/>
      <c r="J1915" s="1088"/>
      <c r="K1915" s="539"/>
      <c r="L1915" s="544" t="str">
        <f>+'Precios Equipos'!C204</f>
        <v>Diseño Ingenieria Tableros Adosados</v>
      </c>
      <c r="M1915" s="545">
        <f>IFERROR(VLOOKUP(L1915,'Precios Equipos'!$C$11:$F$208,3,0),0)</f>
        <v>33</v>
      </c>
      <c r="O1915" s="468"/>
      <c r="Q1915" s="465">
        <f>+C1915*$C$1906</f>
        <v>6</v>
      </c>
    </row>
    <row r="1916" spans="1:17" ht="16.5" thickBot="1" x14ac:dyDescent="0.3">
      <c r="B1916" s="493"/>
      <c r="C1916" s="526">
        <v>1</v>
      </c>
      <c r="D1916" s="494" t="str">
        <f>+'Precios Equipos'!C50</f>
        <v>Interruptor Riel Din 2x25A. S202 20kA en 220VAC, ABB</v>
      </c>
      <c r="F1916" s="495"/>
      <c r="G1916" s="561">
        <f>IFERROR(VLOOKUP(D1916,'Precios Equipos'!$C$1:$F$5052,3,0),"")</f>
        <v>263</v>
      </c>
      <c r="H1916" s="561">
        <f t="shared" si="199"/>
        <v>263</v>
      </c>
      <c r="I1916" s="1087"/>
      <c r="J1916" s="1088"/>
      <c r="K1916" s="539"/>
      <c r="L1916" s="546" t="s">
        <v>89</v>
      </c>
      <c r="M1916" s="560">
        <f>SUM(M1911:M1915)</f>
        <v>143</v>
      </c>
      <c r="O1916" s="468"/>
      <c r="Q1916" s="465">
        <f t="shared" ref="Q1916:Q1917" si="200">+C1916*$C$1906</f>
        <v>3</v>
      </c>
    </row>
    <row r="1917" spans="1:17" x14ac:dyDescent="0.25">
      <c r="B1917" s="493"/>
      <c r="C1917" s="526">
        <v>1</v>
      </c>
      <c r="D1917" s="494" t="str">
        <f>+'Precios Equipos'!C61</f>
        <v>Protector de sobretension SPD AC 2P, 1000V AC, CLAMPER/DC SURGE PROTECCION</v>
      </c>
      <c r="F1917" s="495"/>
      <c r="G1917" s="561">
        <f>IFERROR(VLOOKUP(D1917,'Precios Equipos'!$C$1:$F$5052,3,0),"")</f>
        <v>59</v>
      </c>
      <c r="H1917" s="561">
        <f t="shared" si="199"/>
        <v>59</v>
      </c>
      <c r="I1917" s="1087"/>
      <c r="J1917" s="1088"/>
      <c r="K1917" s="539"/>
      <c r="M1917" s="470"/>
      <c r="O1917" s="468"/>
      <c r="Q1917" s="465">
        <f t="shared" si="200"/>
        <v>3</v>
      </c>
    </row>
    <row r="1918" spans="1:17" x14ac:dyDescent="0.25">
      <c r="B1918" s="493"/>
      <c r="C1918" s="526"/>
      <c r="D1918" s="494"/>
      <c r="F1918" s="495"/>
      <c r="G1918" s="561" t="str">
        <f>IFERROR(VLOOKUP(D1918,'Precios Equipos'!$C$1:$F$5052,3,0),"")</f>
        <v/>
      </c>
      <c r="H1918" s="561" t="str">
        <f t="shared" si="199"/>
        <v/>
      </c>
      <c r="I1918" s="477"/>
      <c r="J1918" s="973"/>
      <c r="K1918" s="539"/>
      <c r="M1918" s="470"/>
      <c r="O1918" s="468"/>
    </row>
    <row r="1919" spans="1:17" x14ac:dyDescent="0.25">
      <c r="B1919" s="493"/>
      <c r="C1919" s="526"/>
      <c r="D1919" s="620" t="s">
        <v>737</v>
      </c>
      <c r="F1919" s="495"/>
      <c r="G1919" s="561" t="str">
        <f>IFERROR(VLOOKUP(D1919,'Precios Equipos'!$C$1:$F$5052,3,0),"")</f>
        <v/>
      </c>
      <c r="H1919" s="561" t="str">
        <f t="shared" si="199"/>
        <v/>
      </c>
      <c r="I1919" s="477"/>
      <c r="J1919" s="973"/>
      <c r="K1919" s="539"/>
      <c r="M1919" s="470"/>
      <c r="O1919" s="468"/>
    </row>
    <row r="1920" spans="1:17" x14ac:dyDescent="0.25">
      <c r="B1920" s="493"/>
      <c r="C1920" s="526">
        <v>3</v>
      </c>
      <c r="D1920" s="494" t="str">
        <f>+'Precios Equipos'!C48</f>
        <v>Interruptor Riel Din 2x04A. S200 20kA en 230V en 250VAC, ABB</v>
      </c>
      <c r="F1920" s="495"/>
      <c r="G1920" s="561">
        <f>IFERROR(VLOOKUP(D1920,'Precios Equipos'!$C$1:$F$5052,3,0),"")</f>
        <v>162</v>
      </c>
      <c r="H1920" s="561">
        <f t="shared" si="199"/>
        <v>486</v>
      </c>
      <c r="I1920" s="726">
        <f>+H1920</f>
        <v>486</v>
      </c>
      <c r="J1920" s="924">
        <f>+I1920/H1926</f>
        <v>0.41645244215938304</v>
      </c>
      <c r="K1920" s="539"/>
      <c r="M1920" s="470"/>
      <c r="O1920" s="468"/>
      <c r="Q1920" s="465">
        <f>+C1920*$C$1906</f>
        <v>9</v>
      </c>
    </row>
    <row r="1921" spans="1:17" x14ac:dyDescent="0.25">
      <c r="B1921" s="493"/>
      <c r="C1921" s="526"/>
      <c r="D1921" s="494"/>
      <c r="F1921" s="495"/>
      <c r="G1921" s="561" t="str">
        <f>IFERROR(VLOOKUP(D1921,'Precios Equipos'!$C$1:$F$5052,3,0),"")</f>
        <v/>
      </c>
      <c r="H1921" s="561" t="str">
        <f t="shared" si="199"/>
        <v/>
      </c>
      <c r="I1921" s="477"/>
      <c r="K1921" s="539"/>
      <c r="M1921" s="470"/>
      <c r="O1921" s="468"/>
    </row>
    <row r="1922" spans="1:17" x14ac:dyDescent="0.25">
      <c r="B1922" s="493"/>
      <c r="C1922" s="526"/>
      <c r="D1922" s="620" t="s">
        <v>87</v>
      </c>
      <c r="F1922" s="495"/>
      <c r="G1922" s="561"/>
      <c r="H1922" s="561">
        <f>M1916</f>
        <v>143</v>
      </c>
      <c r="I1922" s="561">
        <f>SUM(H1922)</f>
        <v>143</v>
      </c>
      <c r="J1922" s="924">
        <f>+I1922/H1926</f>
        <v>0.12253641816623821</v>
      </c>
      <c r="K1922" s="539"/>
      <c r="M1922" s="470"/>
      <c r="O1922" s="468"/>
    </row>
    <row r="1923" spans="1:17" x14ac:dyDescent="0.25">
      <c r="B1923" s="493"/>
      <c r="C1923" s="526">
        <v>1</v>
      </c>
      <c r="D1923" s="494" t="s">
        <v>49</v>
      </c>
      <c r="F1923" s="495"/>
      <c r="G1923" s="561"/>
      <c r="H1923" s="561">
        <f>$O$153</f>
        <v>0</v>
      </c>
      <c r="I1923" s="1087">
        <f>SUM(H1923:H1924)</f>
        <v>0</v>
      </c>
      <c r="J1923" s="1088">
        <f>+I1923/H1926</f>
        <v>0</v>
      </c>
      <c r="K1923" s="539"/>
      <c r="M1923" s="470"/>
      <c r="O1923" s="468"/>
    </row>
    <row r="1924" spans="1:17" x14ac:dyDescent="0.25">
      <c r="B1924" s="493"/>
      <c r="C1924" s="526">
        <v>1</v>
      </c>
      <c r="D1924" s="494" t="s">
        <v>51</v>
      </c>
      <c r="F1924" s="495"/>
      <c r="G1924" s="561"/>
      <c r="H1924" s="561">
        <f>$O$154</f>
        <v>0</v>
      </c>
      <c r="I1924" s="1087"/>
      <c r="J1924" s="1088"/>
      <c r="K1924" s="539"/>
      <c r="M1924" s="470"/>
      <c r="O1924" s="468"/>
    </row>
    <row r="1925" spans="1:17" x14ac:dyDescent="0.25">
      <c r="B1925" s="493"/>
      <c r="C1925" s="526">
        <v>1</v>
      </c>
      <c r="D1925" s="467" t="s">
        <v>20</v>
      </c>
      <c r="F1925" s="495"/>
      <c r="G1925" s="561"/>
      <c r="H1925" s="561"/>
      <c r="I1925" s="477"/>
      <c r="J1925" s="973"/>
      <c r="K1925" s="539"/>
      <c r="M1925" s="470"/>
      <c r="O1925" s="468"/>
    </row>
    <row r="1926" spans="1:17" x14ac:dyDescent="0.25">
      <c r="B1926" s="493"/>
      <c r="C1926" s="526">
        <v>1</v>
      </c>
      <c r="D1926" s="467" t="s">
        <v>52</v>
      </c>
      <c r="F1926" s="495"/>
      <c r="G1926" s="553" t="s">
        <v>97</v>
      </c>
      <c r="H1926" s="561">
        <f>SUM(H1909:H1925)</f>
        <v>1167</v>
      </c>
      <c r="I1926" s="477"/>
      <c r="J1926" s="973"/>
      <c r="K1926" s="539"/>
      <c r="M1926" s="470"/>
      <c r="O1926" s="468"/>
    </row>
    <row r="1927" spans="1:17" x14ac:dyDescent="0.25">
      <c r="B1927" s="493"/>
      <c r="C1927" s="526">
        <v>1</v>
      </c>
      <c r="D1927" s="467" t="s">
        <v>21</v>
      </c>
      <c r="F1927" s="495"/>
      <c r="G1927" s="553" t="s">
        <v>105</v>
      </c>
      <c r="H1927" s="561">
        <f>H1926*$M$155</f>
        <v>233.4</v>
      </c>
      <c r="I1927" s="477"/>
      <c r="J1927" s="973"/>
      <c r="K1927" s="539"/>
      <c r="M1927" s="470"/>
      <c r="O1927" s="468"/>
    </row>
    <row r="1928" spans="1:17" x14ac:dyDescent="0.25">
      <c r="B1928" s="521"/>
      <c r="C1928" s="527" t="s">
        <v>17</v>
      </c>
      <c r="D1928" s="522" t="s">
        <v>48</v>
      </c>
      <c r="E1928" s="523"/>
      <c r="F1928" s="524"/>
      <c r="G1928" s="553" t="s">
        <v>452</v>
      </c>
      <c r="H1928" s="561">
        <f>H1926+H1927</f>
        <v>1400.4</v>
      </c>
      <c r="I1928" s="477"/>
      <c r="J1928" s="973"/>
      <c r="K1928" s="539"/>
      <c r="M1928" s="470"/>
      <c r="O1928" s="468"/>
    </row>
    <row r="1929" spans="1:17" ht="16.5" thickBot="1" x14ac:dyDescent="0.3">
      <c r="M1929" s="470"/>
      <c r="O1929" s="468"/>
    </row>
    <row r="1930" spans="1:17" ht="16.5" thickBot="1" x14ac:dyDescent="0.3">
      <c r="B1930" s="514" t="s">
        <v>6</v>
      </c>
      <c r="C1930" s="515" t="s">
        <v>0</v>
      </c>
      <c r="D1930" s="606" t="s">
        <v>8</v>
      </c>
      <c r="E1930" s="516" t="s">
        <v>4</v>
      </c>
      <c r="F1930" s="516" t="s">
        <v>3</v>
      </c>
      <c r="G1930" s="477"/>
      <c r="H1930" s="477"/>
      <c r="I1930" s="477"/>
      <c r="K1930" s="539"/>
      <c r="L1930" s="540" t="s">
        <v>451</v>
      </c>
      <c r="M1930" s="541"/>
      <c r="O1930" s="468"/>
    </row>
    <row r="1931" spans="1:17" ht="16.5" thickBot="1" x14ac:dyDescent="0.3">
      <c r="A1931" s="463">
        <v>152</v>
      </c>
      <c r="B1931" s="1077">
        <f>B109</f>
        <v>6.0799999999999983</v>
      </c>
      <c r="C1931" s="1077">
        <f>C109</f>
        <v>1</v>
      </c>
      <c r="D1931" s="1077" t="str">
        <f>D109</f>
        <v>TABLERO TFV-AC - TIPO 08</v>
      </c>
      <c r="E1931" s="518">
        <f>H1953</f>
        <v>1546.8</v>
      </c>
      <c r="F1931" s="518">
        <f>+E1931*C1931</f>
        <v>1546.8</v>
      </c>
      <c r="G1931" s="553" t="s">
        <v>450</v>
      </c>
      <c r="H1931" s="553" t="s">
        <v>1</v>
      </c>
      <c r="I1931" s="477"/>
      <c r="K1931" s="539"/>
      <c r="L1931" s="542" t="s">
        <v>88</v>
      </c>
      <c r="M1931" s="543" t="s">
        <v>85</v>
      </c>
      <c r="O1931" s="468"/>
    </row>
    <row r="1932" spans="1:17" x14ac:dyDescent="0.25">
      <c r="B1932" s="1078"/>
      <c r="C1932" s="1078"/>
      <c r="D1932" s="1078"/>
      <c r="E1932" s="520" t="s">
        <v>50</v>
      </c>
      <c r="F1932" s="520" t="s">
        <v>50</v>
      </c>
      <c r="G1932" s="553" t="s">
        <v>50</v>
      </c>
      <c r="H1932" s="553" t="s">
        <v>50</v>
      </c>
      <c r="I1932" s="477"/>
      <c r="K1932" s="539"/>
      <c r="L1932" s="544" t="str">
        <f>+'Precios Equipos'!C127</f>
        <v>COBRE TABLERO TFV-AC 08, 09, 10, 11</v>
      </c>
      <c r="M1932" s="545">
        <f>IFERROR(VLOOKUP(L1932,'Precios Equipos'!$C$11:$F$208,3,0),0)</f>
        <v>6</v>
      </c>
      <c r="O1932" s="468"/>
    </row>
    <row r="1933" spans="1:17" x14ac:dyDescent="0.25">
      <c r="B1933" s="493"/>
      <c r="C1933" s="526"/>
      <c r="D1933" s="463"/>
      <c r="E1933" s="491"/>
      <c r="F1933" s="492"/>
      <c r="G1933" s="561" t="str">
        <f>IFERROR(VLOOKUP(D1933,'Precios Equipos'!$C$1:$F$5052,3,0),"")</f>
        <v/>
      </c>
      <c r="H1933" s="561" t="str">
        <f t="shared" ref="H1933:H1946" si="201">IFERROR(G1933*C1933,"")</f>
        <v/>
      </c>
      <c r="I1933" s="477"/>
      <c r="K1933" s="539"/>
      <c r="L1933" s="544" t="str">
        <f>+'Precios Equipos'!C132</f>
        <v>CABLEADO 1 DIFERENCIALES, 2P</v>
      </c>
      <c r="M1933" s="545">
        <f>IFERROR(VLOOKUP(L1933,'Precios Equipos'!$C$11:$F$208,3,0),0)</f>
        <v>37</v>
      </c>
      <c r="O1933" s="468"/>
    </row>
    <row r="1934" spans="1:17" x14ac:dyDescent="0.25">
      <c r="B1934" s="493"/>
      <c r="C1934" s="526">
        <v>1</v>
      </c>
      <c r="D1934" s="500" t="str">
        <f>+'Precios Equipos'!$C$182</f>
        <v>Gabinete Adosado 900x700x200mm. (alto x ancho x profundidad) dimensiones aproximadas</v>
      </c>
      <c r="F1934" s="495"/>
      <c r="G1934" s="561">
        <f>IFERROR(VLOOKUP(D1934,'Precios Equipos'!$C$1:$F$5052,3,0),"")</f>
        <v>38</v>
      </c>
      <c r="H1934" s="561">
        <f t="shared" si="201"/>
        <v>38</v>
      </c>
      <c r="I1934" s="561">
        <f>SUM(H1934)</f>
        <v>38</v>
      </c>
      <c r="J1934" s="924">
        <f>+I1934/H1951</f>
        <v>2.9480217222653218E-2</v>
      </c>
      <c r="K1934" s="539"/>
      <c r="L1934" s="544" t="str">
        <f>+'Precios Equipos'!C140</f>
        <v>Mano de obra 6-10 polos (3-5 ITM)</v>
      </c>
      <c r="M1934" s="545">
        <f>IFERROR(VLOOKUP(L1934,'Precios Equipos'!$C$11:$F$208,3,0),0)</f>
        <v>17</v>
      </c>
      <c r="O1934" s="468"/>
      <c r="Q1934" s="465">
        <f>+C1934*$C$1931</f>
        <v>1</v>
      </c>
    </row>
    <row r="1935" spans="1:17" x14ac:dyDescent="0.25">
      <c r="B1935" s="493"/>
      <c r="C1935" s="526"/>
      <c r="D1935" s="494"/>
      <c r="F1935" s="495"/>
      <c r="G1935" s="561" t="str">
        <f>IFERROR(VLOOKUP(D1935,'Precios Equipos'!$C$1:$F$5052,3,0),"")</f>
        <v/>
      </c>
      <c r="H1935" s="561" t="str">
        <f t="shared" si="201"/>
        <v/>
      </c>
      <c r="I1935" s="477"/>
      <c r="K1935" s="539"/>
      <c r="L1935" s="544" t="str">
        <f>+'Precios Equipos'!C162</f>
        <v>Mano de obra 1-2 Diferenciales</v>
      </c>
      <c r="M1935" s="545">
        <f>IFERROR(VLOOKUP(L1935,'Precios Equipos'!$C$11:$F$208,3,0),0)</f>
        <v>33</v>
      </c>
      <c r="O1935" s="468"/>
    </row>
    <row r="1936" spans="1:17" ht="16.5" thickBot="1" x14ac:dyDescent="0.3">
      <c r="B1936" s="493"/>
      <c r="C1936" s="526"/>
      <c r="D1936" s="620" t="s">
        <v>70</v>
      </c>
      <c r="F1936" s="495"/>
      <c r="G1936" s="561" t="str">
        <f>IFERROR(VLOOKUP(D1936,'Precios Equipos'!$C$1:$F$5052,3,0),"")</f>
        <v/>
      </c>
      <c r="H1936" s="561" t="str">
        <f t="shared" si="201"/>
        <v/>
      </c>
      <c r="I1936" s="477"/>
      <c r="K1936" s="539"/>
      <c r="L1936" s="544" t="str">
        <f>+'Precios Equipos'!C204</f>
        <v>Diseño Ingenieria Tableros Adosados</v>
      </c>
      <c r="M1936" s="545">
        <f>IFERROR(VLOOKUP(L1936,'Precios Equipos'!$C$11:$F$208,3,0),0)</f>
        <v>33</v>
      </c>
      <c r="O1936" s="468"/>
      <c r="P1936" s="501"/>
    </row>
    <row r="1937" spans="2:17" ht="16.5" thickBot="1" x14ac:dyDescent="0.3">
      <c r="B1937" s="493"/>
      <c r="C1937" s="526">
        <v>1</v>
      </c>
      <c r="D1937" s="494" t="str">
        <f>+'Precios Equipos'!C19</f>
        <v>ITM 3x25A, Caja Moldeada (17.5-25)A, 25kA en 380VAC, XT1C, ABB</v>
      </c>
      <c r="F1937" s="497"/>
      <c r="G1937" s="561">
        <f>IFERROR(VLOOKUP(D1937,'Precios Equipos'!$C$1:$F$5052,3,0),"")</f>
        <v>8</v>
      </c>
      <c r="H1937" s="561">
        <f t="shared" si="201"/>
        <v>8</v>
      </c>
      <c r="I1937" s="1087">
        <f>SUM(H1937:H1942)</f>
        <v>639</v>
      </c>
      <c r="J1937" s="1088">
        <f>+I1937/H1951</f>
        <v>0.49573312645461598</v>
      </c>
      <c r="K1937" s="539"/>
      <c r="L1937" s="546" t="s">
        <v>89</v>
      </c>
      <c r="M1937" s="560">
        <f>SUM(M1932:M1936)</f>
        <v>126</v>
      </c>
      <c r="O1937" s="468"/>
      <c r="P1937" s="501"/>
      <c r="Q1937" s="465">
        <f>+C1937*$C$1931</f>
        <v>1</v>
      </c>
    </row>
    <row r="1938" spans="2:17" x14ac:dyDescent="0.25">
      <c r="B1938" s="493"/>
      <c r="C1938" s="526"/>
      <c r="D1938" s="494"/>
      <c r="F1938" s="497"/>
      <c r="G1938" s="561" t="str">
        <f>IFERROR(VLOOKUP(D1938,'Precios Equipos'!$C$1:$F$5052,3,0),"")</f>
        <v/>
      </c>
      <c r="H1938" s="561" t="str">
        <f t="shared" si="201"/>
        <v/>
      </c>
      <c r="I1938" s="1087"/>
      <c r="J1938" s="1088"/>
      <c r="K1938" s="539"/>
      <c r="M1938" s="470"/>
      <c r="O1938" s="468"/>
      <c r="P1938" s="501"/>
    </row>
    <row r="1939" spans="2:17" x14ac:dyDescent="0.25">
      <c r="B1939" s="493"/>
      <c r="C1939" s="526"/>
      <c r="D1939" s="620" t="s">
        <v>71</v>
      </c>
      <c r="F1939" s="497"/>
      <c r="G1939" s="561" t="str">
        <f>IFERROR(VLOOKUP(D1939,'Precios Equipos'!$C$1:$F$5052,3,0),"")</f>
        <v/>
      </c>
      <c r="H1939" s="561" t="str">
        <f t="shared" si="201"/>
        <v/>
      </c>
      <c r="I1939" s="1087"/>
      <c r="J1939" s="1088"/>
      <c r="K1939" s="539"/>
      <c r="M1939" s="470"/>
      <c r="O1939" s="468"/>
    </row>
    <row r="1940" spans="2:17" x14ac:dyDescent="0.25">
      <c r="B1940" s="493"/>
      <c r="C1940" s="526">
        <v>3</v>
      </c>
      <c r="D1940" s="494" t="str">
        <f>+'Precios Equipos'!C14</f>
        <v>ITM 2x25A, Caja Moldeada, 50kA en 220VAC, A1N, ABB</v>
      </c>
      <c r="F1940" s="497"/>
      <c r="G1940" s="561">
        <f>IFERROR(VLOOKUP(D1940,'Precios Equipos'!$C$1:$F$5052,3,0),"")</f>
        <v>110</v>
      </c>
      <c r="H1940" s="561">
        <f t="shared" si="201"/>
        <v>330</v>
      </c>
      <c r="I1940" s="1087"/>
      <c r="J1940" s="1088"/>
      <c r="K1940" s="539"/>
      <c r="L1940" s="489"/>
      <c r="M1940" s="499"/>
      <c r="O1940" s="468"/>
      <c r="Q1940" s="465">
        <f>+C1940*$C$1931</f>
        <v>3</v>
      </c>
    </row>
    <row r="1941" spans="2:17" x14ac:dyDescent="0.25">
      <c r="B1941" s="493"/>
      <c r="C1941" s="526">
        <v>1</v>
      </c>
      <c r="D1941" s="494" t="str">
        <f>+'Precios Equipos'!C50</f>
        <v>Interruptor Riel Din 2x25A. S202 20kA en 220VAC, ABB</v>
      </c>
      <c r="F1941" s="495"/>
      <c r="G1941" s="561">
        <f>IFERROR(VLOOKUP(D1941,'Precios Equipos'!$C$1:$F$5052,3,0),"")</f>
        <v>263</v>
      </c>
      <c r="H1941" s="561">
        <f t="shared" si="201"/>
        <v>263</v>
      </c>
      <c r="I1941" s="1087"/>
      <c r="J1941" s="1088"/>
      <c r="K1941" s="539"/>
      <c r="L1941" s="489"/>
      <c r="M1941" s="499"/>
      <c r="O1941" s="468"/>
      <c r="Q1941" s="465">
        <f t="shared" ref="Q1941:Q1942" si="202">+C1941*$C$1931</f>
        <v>1</v>
      </c>
    </row>
    <row r="1942" spans="2:17" x14ac:dyDescent="0.25">
      <c r="B1942" s="493"/>
      <c r="C1942" s="526">
        <v>1</v>
      </c>
      <c r="D1942" s="494" t="str">
        <f>+'Precios Equipos'!C63</f>
        <v>Protector de sobretension SPD AC 3P+N, 230/400V, 1.5kV, 40kA</v>
      </c>
      <c r="F1942" s="495"/>
      <c r="G1942" s="561">
        <f>IFERROR(VLOOKUP(D1942,'Precios Equipos'!$C$1:$F$5052,3,0),"")</f>
        <v>38</v>
      </c>
      <c r="H1942" s="561">
        <f t="shared" si="201"/>
        <v>38</v>
      </c>
      <c r="I1942" s="1087"/>
      <c r="J1942" s="1088"/>
      <c r="K1942" s="539"/>
      <c r="M1942" s="470"/>
      <c r="O1942" s="468"/>
      <c r="Q1942" s="465">
        <f t="shared" si="202"/>
        <v>1</v>
      </c>
    </row>
    <row r="1943" spans="2:17" x14ac:dyDescent="0.25">
      <c r="B1943" s="493"/>
      <c r="C1943" s="526"/>
      <c r="D1943" s="494"/>
      <c r="F1943" s="495"/>
      <c r="G1943" s="561" t="str">
        <f>IFERROR(VLOOKUP(D1943,'Precios Equipos'!$C$1:$F$5052,3,0),"")</f>
        <v/>
      </c>
      <c r="H1943" s="561" t="str">
        <f t="shared" si="201"/>
        <v/>
      </c>
      <c r="I1943" s="477"/>
      <c r="K1943" s="539"/>
      <c r="M1943" s="470"/>
      <c r="O1943" s="468"/>
    </row>
    <row r="1944" spans="2:17" x14ac:dyDescent="0.25">
      <c r="B1944" s="493"/>
      <c r="C1944" s="526"/>
      <c r="D1944" s="620" t="s">
        <v>737</v>
      </c>
      <c r="F1944" s="495"/>
      <c r="G1944" s="561" t="str">
        <f>IFERROR(VLOOKUP(D1944,'Precios Equipos'!$C$1:$F$5052,3,0),"")</f>
        <v/>
      </c>
      <c r="H1944" s="561" t="str">
        <f t="shared" si="201"/>
        <v/>
      </c>
      <c r="I1944" s="477"/>
      <c r="K1944" s="539"/>
      <c r="M1944" s="470"/>
      <c r="O1944" s="468"/>
    </row>
    <row r="1945" spans="2:17" x14ac:dyDescent="0.25">
      <c r="B1945" s="493"/>
      <c r="C1945" s="526">
        <v>3</v>
      </c>
      <c r="D1945" s="494" t="str">
        <f>+'Precios Equipos'!C48</f>
        <v>Interruptor Riel Din 2x04A. S200 20kA en 230V en 250VAC, ABB</v>
      </c>
      <c r="F1945" s="495"/>
      <c r="G1945" s="561">
        <f>IFERROR(VLOOKUP(D1945,'Precios Equipos'!$C$1:$F$5052,3,0),"")</f>
        <v>162</v>
      </c>
      <c r="H1945" s="561">
        <f t="shared" si="201"/>
        <v>486</v>
      </c>
      <c r="I1945" s="726">
        <f>+H1945</f>
        <v>486</v>
      </c>
      <c r="J1945" s="924">
        <f>+I1945/H1951</f>
        <v>0.37703646237393329</v>
      </c>
      <c r="K1945" s="539"/>
      <c r="M1945" s="470"/>
      <c r="O1945" s="468"/>
      <c r="Q1945" s="465">
        <f>+C1945*$C$1931</f>
        <v>3</v>
      </c>
    </row>
    <row r="1946" spans="2:17" x14ac:dyDescent="0.25">
      <c r="B1946" s="493"/>
      <c r="C1946" s="526"/>
      <c r="D1946" s="494"/>
      <c r="F1946" s="495"/>
      <c r="G1946" s="561" t="str">
        <f>IFERROR(VLOOKUP(D1946,'Precios Equipos'!$C$1:$F$5052,3,0),"")</f>
        <v/>
      </c>
      <c r="H1946" s="561" t="str">
        <f t="shared" si="201"/>
        <v/>
      </c>
      <c r="I1946" s="477"/>
      <c r="K1946" s="539"/>
      <c r="M1946" s="470"/>
      <c r="O1946" s="468"/>
    </row>
    <row r="1947" spans="2:17" x14ac:dyDescent="0.25">
      <c r="B1947" s="493"/>
      <c r="C1947" s="526"/>
      <c r="D1947" s="620" t="s">
        <v>87</v>
      </c>
      <c r="F1947" s="495"/>
      <c r="G1947" s="561"/>
      <c r="H1947" s="561">
        <f>M1937</f>
        <v>126</v>
      </c>
      <c r="I1947" s="561">
        <f>SUM(H1947)</f>
        <v>126</v>
      </c>
      <c r="J1947" s="924">
        <f>+I1947/H1951</f>
        <v>9.7750193948797512E-2</v>
      </c>
      <c r="K1947" s="539"/>
      <c r="M1947" s="470"/>
      <c r="O1947" s="468"/>
    </row>
    <row r="1948" spans="2:17" x14ac:dyDescent="0.25">
      <c r="B1948" s="493"/>
      <c r="C1948" s="526">
        <v>1</v>
      </c>
      <c r="D1948" s="494" t="s">
        <v>49</v>
      </c>
      <c r="F1948" s="495"/>
      <c r="G1948" s="561"/>
      <c r="H1948" s="561">
        <f>$O$153</f>
        <v>0</v>
      </c>
      <c r="I1948" s="1087">
        <f>SUM(H1948:H1949)</f>
        <v>0</v>
      </c>
      <c r="J1948" s="1088">
        <f>+I1948/H1951</f>
        <v>0</v>
      </c>
      <c r="K1948" s="539"/>
      <c r="M1948" s="470"/>
      <c r="O1948" s="468"/>
    </row>
    <row r="1949" spans="2:17" x14ac:dyDescent="0.25">
      <c r="B1949" s="493"/>
      <c r="C1949" s="526">
        <v>1</v>
      </c>
      <c r="D1949" s="494" t="s">
        <v>51</v>
      </c>
      <c r="F1949" s="495"/>
      <c r="G1949" s="561"/>
      <c r="H1949" s="561">
        <f>$O$154</f>
        <v>0</v>
      </c>
      <c r="I1949" s="1087"/>
      <c r="J1949" s="1088"/>
      <c r="K1949" s="539"/>
      <c r="M1949" s="470"/>
      <c r="O1949" s="468"/>
    </row>
    <row r="1950" spans="2:17" x14ac:dyDescent="0.25">
      <c r="B1950" s="493"/>
      <c r="C1950" s="526">
        <v>1</v>
      </c>
      <c r="D1950" s="467" t="s">
        <v>20</v>
      </c>
      <c r="F1950" s="495"/>
      <c r="G1950" s="561"/>
      <c r="H1950" s="561"/>
      <c r="I1950" s="477"/>
      <c r="J1950" s="973"/>
      <c r="K1950" s="539"/>
      <c r="M1950" s="470"/>
      <c r="O1950" s="468"/>
    </row>
    <row r="1951" spans="2:17" x14ac:dyDescent="0.25">
      <c r="B1951" s="493"/>
      <c r="C1951" s="526">
        <v>1</v>
      </c>
      <c r="D1951" s="467" t="s">
        <v>52</v>
      </c>
      <c r="F1951" s="495"/>
      <c r="G1951" s="553" t="s">
        <v>97</v>
      </c>
      <c r="H1951" s="561">
        <f>SUM(H1934:H1950)</f>
        <v>1289</v>
      </c>
      <c r="I1951" s="477"/>
      <c r="J1951" s="973"/>
      <c r="K1951" s="539"/>
      <c r="M1951" s="470"/>
      <c r="O1951" s="468"/>
    </row>
    <row r="1952" spans="2:17" x14ac:dyDescent="0.25">
      <c r="B1952" s="493"/>
      <c r="C1952" s="526">
        <v>1</v>
      </c>
      <c r="D1952" s="467" t="s">
        <v>21</v>
      </c>
      <c r="F1952" s="495"/>
      <c r="G1952" s="553" t="s">
        <v>105</v>
      </c>
      <c r="H1952" s="561">
        <f>H1951*$M$155</f>
        <v>257.8</v>
      </c>
      <c r="I1952" s="477"/>
      <c r="J1952" s="973"/>
      <c r="K1952" s="539"/>
      <c r="M1952" s="470"/>
      <c r="O1952" s="468"/>
    </row>
    <row r="1953" spans="1:17" x14ac:dyDescent="0.25">
      <c r="B1953" s="521"/>
      <c r="C1953" s="527" t="s">
        <v>17</v>
      </c>
      <c r="D1953" s="522" t="s">
        <v>48</v>
      </c>
      <c r="E1953" s="523"/>
      <c r="F1953" s="524"/>
      <c r="G1953" s="553" t="s">
        <v>452</v>
      </c>
      <c r="H1953" s="561">
        <f>H1951+H1952</f>
        <v>1546.8</v>
      </c>
      <c r="I1953" s="477"/>
      <c r="J1953" s="973"/>
      <c r="K1953" s="539"/>
      <c r="M1953" s="470"/>
      <c r="O1953" s="468"/>
    </row>
    <row r="1954" spans="1:17" ht="16.5" thickBot="1" x14ac:dyDescent="0.3">
      <c r="M1954" s="470"/>
      <c r="O1954" s="468"/>
    </row>
    <row r="1955" spans="1:17" ht="16.5" thickBot="1" x14ac:dyDescent="0.3">
      <c r="B1955" s="514" t="s">
        <v>6</v>
      </c>
      <c r="C1955" s="515" t="s">
        <v>0</v>
      </c>
      <c r="D1955" s="606" t="s">
        <v>8</v>
      </c>
      <c r="E1955" s="516" t="s">
        <v>4</v>
      </c>
      <c r="F1955" s="516" t="s">
        <v>3</v>
      </c>
      <c r="G1955" s="477"/>
      <c r="H1955" s="477"/>
      <c r="I1955" s="477"/>
      <c r="K1955" s="539"/>
      <c r="L1955" s="540" t="s">
        <v>451</v>
      </c>
      <c r="M1955" s="541"/>
      <c r="O1955" s="468"/>
    </row>
    <row r="1956" spans="1:17" ht="16.5" thickBot="1" x14ac:dyDescent="0.3">
      <c r="A1956" s="463">
        <v>152</v>
      </c>
      <c r="B1956" s="1077">
        <f>B110</f>
        <v>6.0899999999999981</v>
      </c>
      <c r="C1956" s="1077">
        <f>C110</f>
        <v>3</v>
      </c>
      <c r="D1956" s="1077" t="str">
        <f>D110</f>
        <v>TABLERO TFV-AC - TIPO 09</v>
      </c>
      <c r="E1956" s="518">
        <f>H1978</f>
        <v>1546.8</v>
      </c>
      <c r="F1956" s="518">
        <f>+E1956*C1956</f>
        <v>4640.3999999999996</v>
      </c>
      <c r="G1956" s="553" t="s">
        <v>450</v>
      </c>
      <c r="H1956" s="553" t="s">
        <v>1</v>
      </c>
      <c r="I1956" s="477"/>
      <c r="K1956" s="539"/>
      <c r="L1956" s="542" t="s">
        <v>88</v>
      </c>
      <c r="M1956" s="543" t="s">
        <v>85</v>
      </c>
      <c r="O1956" s="468"/>
    </row>
    <row r="1957" spans="1:17" x14ac:dyDescent="0.25">
      <c r="B1957" s="1078"/>
      <c r="C1957" s="1078"/>
      <c r="D1957" s="1078"/>
      <c r="E1957" s="520" t="s">
        <v>50</v>
      </c>
      <c r="F1957" s="520" t="s">
        <v>50</v>
      </c>
      <c r="G1957" s="553" t="s">
        <v>50</v>
      </c>
      <c r="H1957" s="553" t="s">
        <v>50</v>
      </c>
      <c r="I1957" s="477"/>
      <c r="K1957" s="539"/>
      <c r="L1957" s="544" t="str">
        <f>+'Precios Equipos'!C127</f>
        <v>COBRE TABLERO TFV-AC 08, 09, 10, 11</v>
      </c>
      <c r="M1957" s="545">
        <f>IFERROR(VLOOKUP(L1957,'Precios Equipos'!$C$11:$F$208,3,0),0)</f>
        <v>6</v>
      </c>
      <c r="O1957" s="468"/>
    </row>
    <row r="1958" spans="1:17" x14ac:dyDescent="0.25">
      <c r="B1958" s="493"/>
      <c r="C1958" s="526"/>
      <c r="D1958" s="463"/>
      <c r="E1958" s="491"/>
      <c r="F1958" s="492"/>
      <c r="G1958" s="561" t="str">
        <f>IFERROR(VLOOKUP(D1958,'Precios Equipos'!$C$1:$F$5052,3,0),"")</f>
        <v/>
      </c>
      <c r="H1958" s="561" t="str">
        <f t="shared" ref="H1958:H1971" si="203">IFERROR(G1958*C1958,"")</f>
        <v/>
      </c>
      <c r="I1958" s="477"/>
      <c r="K1958" s="539"/>
      <c r="L1958" s="544" t="str">
        <f>+'Precios Equipos'!C132</f>
        <v>CABLEADO 1 DIFERENCIALES, 2P</v>
      </c>
      <c r="M1958" s="545">
        <f>IFERROR(VLOOKUP(L1958,'Precios Equipos'!$C$11:$F$208,3,0),0)</f>
        <v>37</v>
      </c>
      <c r="O1958" s="468"/>
    </row>
    <row r="1959" spans="1:17" x14ac:dyDescent="0.25">
      <c r="B1959" s="493"/>
      <c r="C1959" s="526">
        <v>1</v>
      </c>
      <c r="D1959" s="500" t="str">
        <f>+'Precios Equipos'!$C$182</f>
        <v>Gabinete Adosado 900x700x200mm. (alto x ancho x profundidad) dimensiones aproximadas</v>
      </c>
      <c r="F1959" s="495"/>
      <c r="G1959" s="561">
        <f>IFERROR(VLOOKUP(D1959,'Precios Equipos'!$C$1:$F$5052,3,0),"")</f>
        <v>38</v>
      </c>
      <c r="H1959" s="561">
        <f t="shared" si="203"/>
        <v>38</v>
      </c>
      <c r="I1959" s="561">
        <f>SUM(H1959)</f>
        <v>38</v>
      </c>
      <c r="J1959" s="924">
        <f>+I1959/H1976</f>
        <v>2.9480217222653218E-2</v>
      </c>
      <c r="K1959" s="539"/>
      <c r="L1959" s="544" t="str">
        <f>+'Precios Equipos'!C140</f>
        <v>Mano de obra 6-10 polos (3-5 ITM)</v>
      </c>
      <c r="M1959" s="545">
        <f>IFERROR(VLOOKUP(L1959,'Precios Equipos'!$C$11:$F$208,3,0),0)</f>
        <v>17</v>
      </c>
      <c r="O1959" s="468"/>
      <c r="Q1959" s="465">
        <f>+C1959*$C$1956</f>
        <v>3</v>
      </c>
    </row>
    <row r="1960" spans="1:17" x14ac:dyDescent="0.25">
      <c r="B1960" s="493"/>
      <c r="C1960" s="526"/>
      <c r="D1960" s="494"/>
      <c r="F1960" s="495"/>
      <c r="G1960" s="561" t="str">
        <f>IFERROR(VLOOKUP(D1960,'Precios Equipos'!$C$1:$F$5052,3,0),"")</f>
        <v/>
      </c>
      <c r="H1960" s="561" t="str">
        <f t="shared" si="203"/>
        <v/>
      </c>
      <c r="I1960" s="477"/>
      <c r="K1960" s="539"/>
      <c r="L1960" s="544" t="str">
        <f>+'Precios Equipos'!C162</f>
        <v>Mano de obra 1-2 Diferenciales</v>
      </c>
      <c r="M1960" s="545">
        <f>IFERROR(VLOOKUP(L1960,'Precios Equipos'!$C$11:$F$208,3,0),0)</f>
        <v>33</v>
      </c>
      <c r="O1960" s="468"/>
    </row>
    <row r="1961" spans="1:17" ht="16.5" thickBot="1" x14ac:dyDescent="0.3">
      <c r="B1961" s="493"/>
      <c r="C1961" s="526"/>
      <c r="D1961" s="620" t="s">
        <v>70</v>
      </c>
      <c r="F1961" s="495"/>
      <c r="G1961" s="561" t="str">
        <f>IFERROR(VLOOKUP(D1961,'Precios Equipos'!$C$1:$F$5052,3,0),"")</f>
        <v/>
      </c>
      <c r="H1961" s="561" t="str">
        <f t="shared" si="203"/>
        <v/>
      </c>
      <c r="I1961" s="477"/>
      <c r="K1961" s="539"/>
      <c r="L1961" s="544" t="str">
        <f>+'Precios Equipos'!C204</f>
        <v>Diseño Ingenieria Tableros Adosados</v>
      </c>
      <c r="M1961" s="545">
        <f>IFERROR(VLOOKUP(L1961,'Precios Equipos'!$C$11:$F$208,3,0),0)</f>
        <v>33</v>
      </c>
      <c r="O1961" s="468"/>
      <c r="P1961" s="501"/>
    </row>
    <row r="1962" spans="1:17" ht="16.5" thickBot="1" x14ac:dyDescent="0.3">
      <c r="B1962" s="493"/>
      <c r="C1962" s="526">
        <v>1</v>
      </c>
      <c r="D1962" s="494" t="str">
        <f>+'Precios Equipos'!C19</f>
        <v>ITM 3x25A, Caja Moldeada (17.5-25)A, 25kA en 380VAC, XT1C, ABB</v>
      </c>
      <c r="F1962" s="497"/>
      <c r="G1962" s="561">
        <f>IFERROR(VLOOKUP(D1962,'Precios Equipos'!$C$1:$F$5052,3,0),"")</f>
        <v>8</v>
      </c>
      <c r="H1962" s="561">
        <f t="shared" si="203"/>
        <v>8</v>
      </c>
      <c r="I1962" s="1087">
        <f>SUM(H1962:H1967)</f>
        <v>639</v>
      </c>
      <c r="J1962" s="1088">
        <f>+I1962/H1976</f>
        <v>0.49573312645461598</v>
      </c>
      <c r="K1962" s="539"/>
      <c r="L1962" s="546" t="s">
        <v>89</v>
      </c>
      <c r="M1962" s="560">
        <f>SUM(M1957:M1961)</f>
        <v>126</v>
      </c>
      <c r="O1962" s="468"/>
      <c r="P1962" s="501"/>
      <c r="Q1962" s="465">
        <f>+C1962*$C$1956</f>
        <v>3</v>
      </c>
    </row>
    <row r="1963" spans="1:17" x14ac:dyDescent="0.25">
      <c r="B1963" s="493"/>
      <c r="C1963" s="526"/>
      <c r="D1963" s="494"/>
      <c r="F1963" s="497"/>
      <c r="G1963" s="561" t="str">
        <f>IFERROR(VLOOKUP(D1963,'Precios Equipos'!$C$1:$F$5052,3,0),"")</f>
        <v/>
      </c>
      <c r="H1963" s="561" t="str">
        <f t="shared" si="203"/>
        <v/>
      </c>
      <c r="I1963" s="1087"/>
      <c r="J1963" s="1088"/>
      <c r="K1963" s="539"/>
      <c r="M1963" s="470"/>
      <c r="O1963" s="468"/>
      <c r="P1963" s="501"/>
    </row>
    <row r="1964" spans="1:17" x14ac:dyDescent="0.25">
      <c r="B1964" s="493"/>
      <c r="C1964" s="526"/>
      <c r="D1964" s="620" t="s">
        <v>71</v>
      </c>
      <c r="F1964" s="497"/>
      <c r="G1964" s="561" t="str">
        <f>IFERROR(VLOOKUP(D1964,'Precios Equipos'!$C$1:$F$5052,3,0),"")</f>
        <v/>
      </c>
      <c r="H1964" s="561" t="str">
        <f t="shared" si="203"/>
        <v/>
      </c>
      <c r="I1964" s="1087"/>
      <c r="J1964" s="1088"/>
      <c r="K1964" s="539"/>
      <c r="L1964" s="489"/>
      <c r="M1964" s="499"/>
      <c r="O1964" s="468"/>
    </row>
    <row r="1965" spans="1:17" x14ac:dyDescent="0.25">
      <c r="B1965" s="493"/>
      <c r="C1965" s="526">
        <v>3</v>
      </c>
      <c r="D1965" s="494" t="str">
        <f>+'Precios Equipos'!C14</f>
        <v>ITM 2x25A, Caja Moldeada, 50kA en 220VAC, A1N, ABB</v>
      </c>
      <c r="F1965" s="497"/>
      <c r="G1965" s="561">
        <f>IFERROR(VLOOKUP(D1965,'Precios Equipos'!$C$1:$F$5052,3,0),"")</f>
        <v>110</v>
      </c>
      <c r="H1965" s="561">
        <f t="shared" si="203"/>
        <v>330</v>
      </c>
      <c r="I1965" s="1087"/>
      <c r="J1965" s="1088"/>
      <c r="K1965" s="539"/>
      <c r="L1965" s="489"/>
      <c r="M1965" s="499"/>
      <c r="O1965" s="468"/>
      <c r="Q1965" s="465">
        <f>+C1965*$C$1956</f>
        <v>9</v>
      </c>
    </row>
    <row r="1966" spans="1:17" x14ac:dyDescent="0.25">
      <c r="B1966" s="493"/>
      <c r="C1966" s="526">
        <v>1</v>
      </c>
      <c r="D1966" s="494" t="str">
        <f>+'Precios Equipos'!C50</f>
        <v>Interruptor Riel Din 2x25A. S202 20kA en 220VAC, ABB</v>
      </c>
      <c r="F1966" s="495"/>
      <c r="G1966" s="561">
        <f>IFERROR(VLOOKUP(D1966,'Precios Equipos'!$C$1:$F$5052,3,0),"")</f>
        <v>263</v>
      </c>
      <c r="H1966" s="561">
        <f t="shared" si="203"/>
        <v>263</v>
      </c>
      <c r="I1966" s="1087"/>
      <c r="J1966" s="1088"/>
      <c r="K1966" s="539"/>
      <c r="L1966" s="489"/>
      <c r="M1966" s="499"/>
      <c r="O1966" s="468"/>
      <c r="Q1966" s="465">
        <f t="shared" ref="Q1966:Q1967" si="204">+C1966*$C$1956</f>
        <v>3</v>
      </c>
    </row>
    <row r="1967" spans="1:17" x14ac:dyDescent="0.25">
      <c r="B1967" s="493"/>
      <c r="C1967" s="526">
        <v>1</v>
      </c>
      <c r="D1967" s="494" t="str">
        <f>+'Precios Equipos'!C63</f>
        <v>Protector de sobretension SPD AC 3P+N, 230/400V, 1.5kV, 40kA</v>
      </c>
      <c r="F1967" s="495"/>
      <c r="G1967" s="561">
        <f>IFERROR(VLOOKUP(D1967,'Precios Equipos'!$C$1:$F$5052,3,0),"")</f>
        <v>38</v>
      </c>
      <c r="H1967" s="561">
        <f t="shared" si="203"/>
        <v>38</v>
      </c>
      <c r="I1967" s="1087"/>
      <c r="J1967" s="1088"/>
      <c r="K1967" s="539"/>
      <c r="M1967" s="470"/>
      <c r="O1967" s="468"/>
      <c r="Q1967" s="465">
        <f t="shared" si="204"/>
        <v>3</v>
      </c>
    </row>
    <row r="1968" spans="1:17" x14ac:dyDescent="0.25">
      <c r="B1968" s="493"/>
      <c r="C1968" s="526"/>
      <c r="D1968" s="494"/>
      <c r="F1968" s="495"/>
      <c r="G1968" s="561" t="str">
        <f>IFERROR(VLOOKUP(D1968,'Precios Equipos'!$C$1:$F$5052,3,0),"")</f>
        <v/>
      </c>
      <c r="H1968" s="561" t="str">
        <f t="shared" si="203"/>
        <v/>
      </c>
      <c r="I1968" s="477"/>
      <c r="K1968" s="539"/>
      <c r="M1968" s="470"/>
      <c r="O1968" s="468"/>
    </row>
    <row r="1969" spans="1:17" x14ac:dyDescent="0.25">
      <c r="B1969" s="493"/>
      <c r="C1969" s="526"/>
      <c r="D1969" s="620" t="s">
        <v>737</v>
      </c>
      <c r="F1969" s="495"/>
      <c r="G1969" s="561" t="str">
        <f>IFERROR(VLOOKUP(D1969,'Precios Equipos'!$C$1:$F$5052,3,0),"")</f>
        <v/>
      </c>
      <c r="H1969" s="561" t="str">
        <f t="shared" si="203"/>
        <v/>
      </c>
      <c r="I1969" s="477"/>
      <c r="K1969" s="539"/>
      <c r="M1969" s="470"/>
      <c r="O1969" s="468"/>
    </row>
    <row r="1970" spans="1:17" x14ac:dyDescent="0.25">
      <c r="B1970" s="493"/>
      <c r="C1970" s="526">
        <v>3</v>
      </c>
      <c r="D1970" s="494" t="str">
        <f>+'Precios Equipos'!C48</f>
        <v>Interruptor Riel Din 2x04A. S200 20kA en 230V en 250VAC, ABB</v>
      </c>
      <c r="F1970" s="495"/>
      <c r="G1970" s="561">
        <f>IFERROR(VLOOKUP(D1970,'Precios Equipos'!$C$1:$F$5052,3,0),"")</f>
        <v>162</v>
      </c>
      <c r="H1970" s="561">
        <f t="shared" si="203"/>
        <v>486</v>
      </c>
      <c r="I1970" s="726">
        <f>+H1970</f>
        <v>486</v>
      </c>
      <c r="J1970" s="924">
        <f>+I1970/H1976</f>
        <v>0.37703646237393329</v>
      </c>
      <c r="K1970" s="539"/>
      <c r="M1970" s="470"/>
      <c r="O1970" s="468"/>
      <c r="Q1970" s="465">
        <f>+C1970*$C$1956</f>
        <v>9</v>
      </c>
    </row>
    <row r="1971" spans="1:17" x14ac:dyDescent="0.25">
      <c r="B1971" s="493"/>
      <c r="C1971" s="526"/>
      <c r="D1971" s="494"/>
      <c r="F1971" s="495"/>
      <c r="G1971" s="561" t="str">
        <f>IFERROR(VLOOKUP(D1971,'Precios Equipos'!$C$1:$F$5052,3,0),"")</f>
        <v/>
      </c>
      <c r="H1971" s="561" t="str">
        <f t="shared" si="203"/>
        <v/>
      </c>
      <c r="I1971" s="477"/>
      <c r="K1971" s="539"/>
      <c r="M1971" s="470"/>
      <c r="O1971" s="468"/>
    </row>
    <row r="1972" spans="1:17" x14ac:dyDescent="0.25">
      <c r="B1972" s="493"/>
      <c r="C1972" s="526"/>
      <c r="D1972" s="620" t="s">
        <v>87</v>
      </c>
      <c r="F1972" s="495"/>
      <c r="G1972" s="561"/>
      <c r="H1972" s="561">
        <f>M1962</f>
        <v>126</v>
      </c>
      <c r="I1972" s="561">
        <f>SUM(H1972)</f>
        <v>126</v>
      </c>
      <c r="J1972" s="924">
        <f>+I1972/H1976</f>
        <v>9.7750193948797512E-2</v>
      </c>
      <c r="K1972" s="539"/>
      <c r="M1972" s="470"/>
      <c r="O1972" s="468"/>
    </row>
    <row r="1973" spans="1:17" x14ac:dyDescent="0.25">
      <c r="B1973" s="493"/>
      <c r="C1973" s="526">
        <v>1</v>
      </c>
      <c r="D1973" s="494" t="s">
        <v>49</v>
      </c>
      <c r="F1973" s="495"/>
      <c r="G1973" s="561"/>
      <c r="H1973" s="561">
        <f>$O$153</f>
        <v>0</v>
      </c>
      <c r="I1973" s="1087">
        <f>SUM(H1973:H1974)</f>
        <v>0</v>
      </c>
      <c r="J1973" s="1088">
        <f>+I1973/H1976</f>
        <v>0</v>
      </c>
      <c r="K1973" s="539"/>
      <c r="M1973" s="470"/>
      <c r="O1973" s="468"/>
    </row>
    <row r="1974" spans="1:17" x14ac:dyDescent="0.25">
      <c r="B1974" s="493"/>
      <c r="C1974" s="526">
        <v>1</v>
      </c>
      <c r="D1974" s="494" t="s">
        <v>51</v>
      </c>
      <c r="F1974" s="495"/>
      <c r="G1974" s="561"/>
      <c r="H1974" s="561">
        <f>$O$154</f>
        <v>0</v>
      </c>
      <c r="I1974" s="1087"/>
      <c r="J1974" s="1088"/>
      <c r="K1974" s="539"/>
      <c r="M1974" s="470"/>
      <c r="O1974" s="468"/>
    </row>
    <row r="1975" spans="1:17" x14ac:dyDescent="0.25">
      <c r="B1975" s="493"/>
      <c r="C1975" s="526">
        <v>1</v>
      </c>
      <c r="D1975" s="467" t="s">
        <v>20</v>
      </c>
      <c r="F1975" s="495"/>
      <c r="G1975" s="561"/>
      <c r="H1975" s="561"/>
      <c r="I1975" s="477"/>
      <c r="J1975" s="973"/>
      <c r="K1975" s="539"/>
      <c r="M1975" s="470"/>
      <c r="O1975" s="468"/>
    </row>
    <row r="1976" spans="1:17" x14ac:dyDescent="0.25">
      <c r="B1976" s="493"/>
      <c r="C1976" s="526">
        <v>1</v>
      </c>
      <c r="D1976" s="467" t="s">
        <v>52</v>
      </c>
      <c r="F1976" s="495"/>
      <c r="G1976" s="553" t="s">
        <v>97</v>
      </c>
      <c r="H1976" s="561">
        <f>SUM(H1959:H1975)</f>
        <v>1289</v>
      </c>
      <c r="I1976" s="477"/>
      <c r="J1976" s="973"/>
      <c r="K1976" s="539"/>
      <c r="M1976" s="470"/>
      <c r="O1976" s="468"/>
    </row>
    <row r="1977" spans="1:17" x14ac:dyDescent="0.25">
      <c r="B1977" s="493"/>
      <c r="C1977" s="526">
        <v>1</v>
      </c>
      <c r="D1977" s="467" t="s">
        <v>21</v>
      </c>
      <c r="F1977" s="495"/>
      <c r="G1977" s="553" t="s">
        <v>105</v>
      </c>
      <c r="H1977" s="561">
        <f>H1976*$M$155</f>
        <v>257.8</v>
      </c>
      <c r="I1977" s="477"/>
      <c r="J1977" s="973"/>
      <c r="K1977" s="539"/>
      <c r="M1977" s="470"/>
      <c r="O1977" s="468"/>
    </row>
    <row r="1978" spans="1:17" x14ac:dyDescent="0.25">
      <c r="B1978" s="521"/>
      <c r="C1978" s="527" t="s">
        <v>17</v>
      </c>
      <c r="D1978" s="522" t="s">
        <v>48</v>
      </c>
      <c r="E1978" s="523"/>
      <c r="F1978" s="524"/>
      <c r="G1978" s="553" t="s">
        <v>452</v>
      </c>
      <c r="H1978" s="561">
        <f>H1976+H1977</f>
        <v>1546.8</v>
      </c>
      <c r="I1978" s="477"/>
      <c r="J1978" s="973"/>
      <c r="K1978" s="539"/>
      <c r="M1978" s="470"/>
      <c r="O1978" s="468"/>
    </row>
    <row r="1979" spans="1:17" ht="16.5" thickBot="1" x14ac:dyDescent="0.3">
      <c r="M1979" s="470"/>
      <c r="O1979" s="468"/>
    </row>
    <row r="1980" spans="1:17" ht="16.5" thickBot="1" x14ac:dyDescent="0.3">
      <c r="B1980" s="514" t="s">
        <v>6</v>
      </c>
      <c r="C1980" s="515" t="s">
        <v>0</v>
      </c>
      <c r="D1980" s="606" t="s">
        <v>8</v>
      </c>
      <c r="E1980" s="516" t="s">
        <v>4</v>
      </c>
      <c r="F1980" s="516" t="s">
        <v>3</v>
      </c>
      <c r="G1980" s="477"/>
      <c r="H1980" s="477"/>
      <c r="I1980" s="477"/>
      <c r="K1980" s="539"/>
      <c r="L1980" s="540" t="s">
        <v>451</v>
      </c>
      <c r="M1980" s="541"/>
      <c r="O1980" s="468"/>
    </row>
    <row r="1981" spans="1:17" ht="16.5" thickBot="1" x14ac:dyDescent="0.3">
      <c r="A1981" s="463">
        <v>152</v>
      </c>
      <c r="B1981" s="1077">
        <f>B111</f>
        <v>6.0999999999999979</v>
      </c>
      <c r="C1981" s="1077">
        <f>C111</f>
        <v>1</v>
      </c>
      <c r="D1981" s="1077" t="str">
        <f>D111</f>
        <v>TABLERO TFV-AC - TIPO 09.1</v>
      </c>
      <c r="E1981" s="518">
        <f>H2003</f>
        <v>2348.4</v>
      </c>
      <c r="F1981" s="518">
        <f>+E1981*C1981</f>
        <v>2348.4</v>
      </c>
      <c r="G1981" s="553" t="s">
        <v>450</v>
      </c>
      <c r="H1981" s="553" t="s">
        <v>1</v>
      </c>
      <c r="I1981" s="477"/>
      <c r="K1981" s="539"/>
      <c r="L1981" s="542" t="s">
        <v>88</v>
      </c>
      <c r="M1981" s="543" t="s">
        <v>85</v>
      </c>
      <c r="O1981" s="468"/>
    </row>
    <row r="1982" spans="1:17" x14ac:dyDescent="0.25">
      <c r="B1982" s="1078"/>
      <c r="C1982" s="1078"/>
      <c r="D1982" s="1078"/>
      <c r="E1982" s="520" t="s">
        <v>50</v>
      </c>
      <c r="F1982" s="520" t="s">
        <v>50</v>
      </c>
      <c r="G1982" s="553" t="s">
        <v>50</v>
      </c>
      <c r="H1982" s="553" t="s">
        <v>50</v>
      </c>
      <c r="I1982" s="477"/>
      <c r="K1982" s="539"/>
      <c r="L1982" s="544" t="str">
        <f>+'Precios Equipos'!C127</f>
        <v>COBRE TABLERO TFV-AC 08, 09, 10, 11</v>
      </c>
      <c r="M1982" s="545">
        <f>IFERROR(VLOOKUP(L1982,'Precios Equipos'!$C$11:$F$208,3,0),0)</f>
        <v>6</v>
      </c>
      <c r="O1982" s="468"/>
    </row>
    <row r="1983" spans="1:17" x14ac:dyDescent="0.25">
      <c r="B1983" s="493"/>
      <c r="C1983" s="526"/>
      <c r="D1983" s="463"/>
      <c r="E1983" s="491"/>
      <c r="F1983" s="492"/>
      <c r="G1983" s="561" t="str">
        <f>IFERROR(VLOOKUP(D1983,'Precios Equipos'!$C$1:$F$5052,3,0),"")</f>
        <v/>
      </c>
      <c r="H1983" s="561" t="str">
        <f t="shared" ref="H1983:H1996" si="205">IFERROR(G1983*C1983,"")</f>
        <v/>
      </c>
      <c r="I1983" s="477"/>
      <c r="K1983" s="539"/>
      <c r="L1983" s="544" t="str">
        <f>+'Precios Equipos'!C132</f>
        <v>CABLEADO 1 DIFERENCIALES, 2P</v>
      </c>
      <c r="M1983" s="545">
        <f>IFERROR(VLOOKUP(L1983,'Precios Equipos'!$C$11:$F$208,3,0),0)</f>
        <v>37</v>
      </c>
      <c r="O1983" s="468"/>
    </row>
    <row r="1984" spans="1:17" x14ac:dyDescent="0.25">
      <c r="B1984" s="493"/>
      <c r="C1984" s="526">
        <v>1</v>
      </c>
      <c r="D1984" s="500" t="str">
        <f>+'Precios Equipos'!$C$182</f>
        <v>Gabinete Adosado 900x700x200mm. (alto x ancho x profundidad) dimensiones aproximadas</v>
      </c>
      <c r="F1984" s="495"/>
      <c r="G1984" s="561">
        <f>IFERROR(VLOOKUP(D1984,'Precios Equipos'!$C$1:$F$5052,3,0),"")</f>
        <v>38</v>
      </c>
      <c r="H1984" s="561">
        <f t="shared" si="205"/>
        <v>38</v>
      </c>
      <c r="I1984" s="561">
        <f>SUM(H1984)</f>
        <v>38</v>
      </c>
      <c r="J1984" s="924">
        <f>+I1984/H2001</f>
        <v>1.9417475728155338E-2</v>
      </c>
      <c r="K1984" s="539"/>
      <c r="L1984" s="544" t="str">
        <f>+'Precios Equipos'!C140</f>
        <v>Mano de obra 6-10 polos (3-5 ITM)</v>
      </c>
      <c r="M1984" s="545">
        <f>IFERROR(VLOOKUP(L1984,'Precios Equipos'!$C$11:$F$208,3,0),0)</f>
        <v>17</v>
      </c>
      <c r="O1984" s="468"/>
      <c r="Q1984" s="465">
        <f>+C1984*$C$1981</f>
        <v>1</v>
      </c>
    </row>
    <row r="1985" spans="2:17" x14ac:dyDescent="0.25">
      <c r="B1985" s="493"/>
      <c r="C1985" s="526"/>
      <c r="D1985" s="494"/>
      <c r="F1985" s="495"/>
      <c r="G1985" s="561" t="str">
        <f>IFERROR(VLOOKUP(D1985,'Precios Equipos'!$C$1:$F$5052,3,0),"")</f>
        <v/>
      </c>
      <c r="H1985" s="561" t="str">
        <f t="shared" si="205"/>
        <v/>
      </c>
      <c r="I1985" s="477"/>
      <c r="K1985" s="539"/>
      <c r="L1985" s="544" t="str">
        <f>+'Precios Equipos'!C162</f>
        <v>Mano de obra 1-2 Diferenciales</v>
      </c>
      <c r="M1985" s="545">
        <f>IFERROR(VLOOKUP(L1985,'Precios Equipos'!$C$11:$F$208,3,0),0)</f>
        <v>33</v>
      </c>
      <c r="O1985" s="468"/>
    </row>
    <row r="1986" spans="2:17" ht="16.5" thickBot="1" x14ac:dyDescent="0.3">
      <c r="B1986" s="493"/>
      <c r="C1986" s="526"/>
      <c r="D1986" s="620" t="s">
        <v>70</v>
      </c>
      <c r="F1986" s="495"/>
      <c r="G1986" s="561" t="str">
        <f>IFERROR(VLOOKUP(D1986,'Precios Equipos'!$C$1:$F$5052,3,0),"")</f>
        <v/>
      </c>
      <c r="H1986" s="561" t="str">
        <f t="shared" si="205"/>
        <v/>
      </c>
      <c r="I1986" s="477"/>
      <c r="K1986" s="539"/>
      <c r="L1986" s="544" t="str">
        <f>+'Precios Equipos'!C204</f>
        <v>Diseño Ingenieria Tableros Adosados</v>
      </c>
      <c r="M1986" s="545">
        <f>IFERROR(VLOOKUP(L1986,'Precios Equipos'!$C$11:$F$208,3,0),0)</f>
        <v>33</v>
      </c>
      <c r="O1986" s="468"/>
      <c r="P1986" s="501"/>
    </row>
    <row r="1987" spans="2:17" ht="16.5" thickBot="1" x14ac:dyDescent="0.3">
      <c r="B1987" s="493"/>
      <c r="C1987" s="526">
        <v>2</v>
      </c>
      <c r="D1987" s="494" t="str">
        <f>+'Precios Equipos'!C19</f>
        <v>ITM 3x25A, Caja Moldeada (17.5-25)A, 25kA en 380VAC, XT1C, ABB</v>
      </c>
      <c r="F1987" s="497"/>
      <c r="G1987" s="561">
        <f>IFERROR(VLOOKUP(D1987,'Precios Equipos'!$C$1:$F$5052,3,0),"")</f>
        <v>8</v>
      </c>
      <c r="H1987" s="561">
        <f t="shared" si="205"/>
        <v>16</v>
      </c>
      <c r="I1987" s="1087">
        <f>SUM(H1987:H1992)</f>
        <v>1307</v>
      </c>
      <c r="J1987" s="1088">
        <f>+I1987/H2001</f>
        <v>0.66785896780786924</v>
      </c>
      <c r="K1987" s="539"/>
      <c r="L1987" s="546" t="s">
        <v>89</v>
      </c>
      <c r="M1987" s="560">
        <f>SUM(M1982:M1986)</f>
        <v>126</v>
      </c>
      <c r="O1987" s="468"/>
      <c r="P1987" s="501"/>
      <c r="Q1987" s="465">
        <f>+C1987*$C$1981</f>
        <v>2</v>
      </c>
    </row>
    <row r="1988" spans="2:17" x14ac:dyDescent="0.25">
      <c r="B1988" s="493"/>
      <c r="C1988" s="526"/>
      <c r="D1988" s="494"/>
      <c r="F1988" s="497"/>
      <c r="G1988" s="561" t="str">
        <f>IFERROR(VLOOKUP(D1988,'Precios Equipos'!$C$1:$F$5052,3,0),"")</f>
        <v/>
      </c>
      <c r="H1988" s="561" t="str">
        <f t="shared" si="205"/>
        <v/>
      </c>
      <c r="I1988" s="1087"/>
      <c r="J1988" s="1088"/>
      <c r="K1988" s="539"/>
      <c r="M1988" s="470"/>
      <c r="O1988" s="468"/>
      <c r="P1988" s="501"/>
    </row>
    <row r="1989" spans="2:17" x14ac:dyDescent="0.25">
      <c r="B1989" s="493"/>
      <c r="C1989" s="526"/>
      <c r="D1989" s="620" t="s">
        <v>71</v>
      </c>
      <c r="F1989" s="497"/>
      <c r="G1989" s="561" t="str">
        <f>IFERROR(VLOOKUP(D1989,'Precios Equipos'!$C$1:$F$5052,3,0),"")</f>
        <v/>
      </c>
      <c r="H1989" s="561" t="str">
        <f t="shared" si="205"/>
        <v/>
      </c>
      <c r="I1989" s="1087"/>
      <c r="J1989" s="1088"/>
      <c r="K1989" s="539"/>
      <c r="M1989" s="470"/>
      <c r="O1989" s="468"/>
    </row>
    <row r="1990" spans="2:17" x14ac:dyDescent="0.25">
      <c r="B1990" s="493"/>
      <c r="C1990" s="526">
        <v>9</v>
      </c>
      <c r="D1990" s="494" t="str">
        <f>+'Precios Equipos'!C14</f>
        <v>ITM 2x25A, Caja Moldeada, 50kA en 220VAC, A1N, ABB</v>
      </c>
      <c r="F1990" s="497"/>
      <c r="G1990" s="561">
        <f>IFERROR(VLOOKUP(D1990,'Precios Equipos'!$C$1:$F$5052,3,0),"")</f>
        <v>110</v>
      </c>
      <c r="H1990" s="561">
        <f t="shared" si="205"/>
        <v>990</v>
      </c>
      <c r="I1990" s="1087"/>
      <c r="J1990" s="1088"/>
      <c r="K1990" s="539"/>
      <c r="L1990" s="489"/>
      <c r="M1990" s="499"/>
      <c r="O1990" s="468"/>
      <c r="Q1990" s="465">
        <f>+C1990*$C$1981</f>
        <v>9</v>
      </c>
    </row>
    <row r="1991" spans="2:17" x14ac:dyDescent="0.25">
      <c r="B1991" s="493"/>
      <c r="C1991" s="526">
        <v>1</v>
      </c>
      <c r="D1991" s="494" t="str">
        <f>+'Precios Equipos'!C50</f>
        <v>Interruptor Riel Din 2x25A. S202 20kA en 220VAC, ABB</v>
      </c>
      <c r="F1991" s="495"/>
      <c r="G1991" s="561">
        <f>IFERROR(VLOOKUP(D1991,'Precios Equipos'!$C$1:$F$5052,3,0),"")</f>
        <v>263</v>
      </c>
      <c r="H1991" s="561">
        <f t="shared" si="205"/>
        <v>263</v>
      </c>
      <c r="I1991" s="1087"/>
      <c r="J1991" s="1088"/>
      <c r="K1991" s="539"/>
      <c r="L1991" s="489"/>
      <c r="M1991" s="499"/>
      <c r="O1991" s="468"/>
      <c r="Q1991" s="465">
        <f t="shared" ref="Q1991:Q1995" si="206">+C1991*$C$1981</f>
        <v>1</v>
      </c>
    </row>
    <row r="1992" spans="2:17" x14ac:dyDescent="0.25">
      <c r="B1992" s="493"/>
      <c r="C1992" s="526">
        <v>1</v>
      </c>
      <c r="D1992" s="494" t="str">
        <f>+'Precios Equipos'!$C$63</f>
        <v>Protector de sobretension SPD AC 3P+N, 230/400V, 1.5kV, 40kA</v>
      </c>
      <c r="F1992" s="495"/>
      <c r="G1992" s="561">
        <f>IFERROR(VLOOKUP(D1992,'Precios Equipos'!$C$1:$F$5052,3,0),"")</f>
        <v>38</v>
      </c>
      <c r="H1992" s="561">
        <f t="shared" si="205"/>
        <v>38</v>
      </c>
      <c r="I1992" s="1087"/>
      <c r="J1992" s="1088"/>
      <c r="K1992" s="539"/>
      <c r="M1992" s="470"/>
      <c r="O1992" s="468"/>
      <c r="Q1992" s="465">
        <f t="shared" si="206"/>
        <v>1</v>
      </c>
    </row>
    <row r="1993" spans="2:17" x14ac:dyDescent="0.25">
      <c r="B1993" s="493"/>
      <c r="C1993" s="526"/>
      <c r="D1993" s="494"/>
      <c r="F1993" s="495"/>
      <c r="G1993" s="561" t="str">
        <f>IFERROR(VLOOKUP(D1993,'Precios Equipos'!$C$1:$F$5052,3,0),"")</f>
        <v/>
      </c>
      <c r="H1993" s="561" t="str">
        <f t="shared" si="205"/>
        <v/>
      </c>
      <c r="I1993" s="477"/>
      <c r="K1993" s="539"/>
      <c r="M1993" s="470"/>
      <c r="O1993" s="468"/>
    </row>
    <row r="1994" spans="2:17" x14ac:dyDescent="0.25">
      <c r="B1994" s="493"/>
      <c r="C1994" s="526"/>
      <c r="D1994" s="620" t="s">
        <v>737</v>
      </c>
      <c r="F1994" s="495"/>
      <c r="G1994" s="561" t="str">
        <f>IFERROR(VLOOKUP(D1994,'Precios Equipos'!$C$1:$F$5052,3,0),"")</f>
        <v/>
      </c>
      <c r="H1994" s="561" t="str">
        <f t="shared" si="205"/>
        <v/>
      </c>
      <c r="I1994" s="477"/>
      <c r="K1994" s="539"/>
      <c r="M1994" s="470"/>
      <c r="O1994" s="468"/>
    </row>
    <row r="1995" spans="2:17" x14ac:dyDescent="0.25">
      <c r="B1995" s="493"/>
      <c r="C1995" s="526">
        <v>3</v>
      </c>
      <c r="D1995" s="494" t="str">
        <f>+'Precios Equipos'!C48</f>
        <v>Interruptor Riel Din 2x04A. S200 20kA en 230V en 250VAC, ABB</v>
      </c>
      <c r="F1995" s="495"/>
      <c r="G1995" s="561">
        <f>IFERROR(VLOOKUP(D1995,'Precios Equipos'!$C$1:$F$5052,3,0),"")</f>
        <v>162</v>
      </c>
      <c r="H1995" s="561">
        <f t="shared" si="205"/>
        <v>486</v>
      </c>
      <c r="I1995" s="477"/>
      <c r="K1995" s="539"/>
      <c r="M1995" s="470"/>
      <c r="O1995" s="468"/>
      <c r="Q1995" s="465">
        <f t="shared" si="206"/>
        <v>3</v>
      </c>
    </row>
    <row r="1996" spans="2:17" x14ac:dyDescent="0.25">
      <c r="B1996" s="493"/>
      <c r="C1996" s="526"/>
      <c r="D1996" s="494"/>
      <c r="F1996" s="495"/>
      <c r="G1996" s="561" t="str">
        <f>IFERROR(VLOOKUP(D1996,'Precios Equipos'!$C$1:$F$5052,3,0),"")</f>
        <v/>
      </c>
      <c r="H1996" s="561" t="str">
        <f t="shared" si="205"/>
        <v/>
      </c>
      <c r="I1996" s="477"/>
      <c r="K1996" s="539"/>
      <c r="M1996" s="470"/>
      <c r="O1996" s="468"/>
    </row>
    <row r="1997" spans="2:17" x14ac:dyDescent="0.25">
      <c r="B1997" s="493"/>
      <c r="C1997" s="526"/>
      <c r="D1997" s="620" t="s">
        <v>87</v>
      </c>
      <c r="F1997" s="495"/>
      <c r="G1997" s="561"/>
      <c r="H1997" s="561">
        <f>M1987</f>
        <v>126</v>
      </c>
      <c r="I1997" s="561">
        <f>SUM(H1997)</f>
        <v>126</v>
      </c>
      <c r="J1997" s="924">
        <f>+I1997/H2001</f>
        <v>6.4384261624936129E-2</v>
      </c>
      <c r="K1997" s="539"/>
      <c r="M1997" s="470"/>
      <c r="O1997" s="468"/>
    </row>
    <row r="1998" spans="2:17" x14ac:dyDescent="0.25">
      <c r="B1998" s="493"/>
      <c r="C1998" s="526">
        <v>1</v>
      </c>
      <c r="D1998" s="494" t="s">
        <v>49</v>
      </c>
      <c r="F1998" s="495"/>
      <c r="G1998" s="561"/>
      <c r="H1998" s="561">
        <f>$O$153</f>
        <v>0</v>
      </c>
      <c r="I1998" s="1087">
        <f>SUM(H1998:H1999)</f>
        <v>0</v>
      </c>
      <c r="J1998" s="1088">
        <f>+I1998/H2001</f>
        <v>0</v>
      </c>
      <c r="K1998" s="539"/>
      <c r="M1998" s="470"/>
      <c r="O1998" s="468"/>
    </row>
    <row r="1999" spans="2:17" x14ac:dyDescent="0.25">
      <c r="B1999" s="493"/>
      <c r="C1999" s="526">
        <v>1</v>
      </c>
      <c r="D1999" s="494" t="s">
        <v>51</v>
      </c>
      <c r="F1999" s="495"/>
      <c r="G1999" s="561"/>
      <c r="H1999" s="561">
        <f>$O$154</f>
        <v>0</v>
      </c>
      <c r="I1999" s="1087"/>
      <c r="J1999" s="1088"/>
      <c r="K1999" s="539"/>
      <c r="M1999" s="470"/>
      <c r="O1999" s="468"/>
    </row>
    <row r="2000" spans="2:17" x14ac:dyDescent="0.25">
      <c r="B2000" s="493"/>
      <c r="C2000" s="526">
        <v>1</v>
      </c>
      <c r="D2000" s="467" t="s">
        <v>20</v>
      </c>
      <c r="F2000" s="495"/>
      <c r="G2000" s="561"/>
      <c r="H2000" s="561"/>
      <c r="I2000" s="477"/>
      <c r="J2000" s="973"/>
      <c r="K2000" s="539"/>
      <c r="M2000" s="470"/>
      <c r="O2000" s="468"/>
    </row>
    <row r="2001" spans="1:17" x14ac:dyDescent="0.25">
      <c r="B2001" s="493"/>
      <c r="C2001" s="526">
        <v>1</v>
      </c>
      <c r="D2001" s="467" t="s">
        <v>52</v>
      </c>
      <c r="F2001" s="495"/>
      <c r="G2001" s="553" t="s">
        <v>97</v>
      </c>
      <c r="H2001" s="561">
        <f>SUM(H1984:H2000)</f>
        <v>1957</v>
      </c>
      <c r="I2001" s="477"/>
      <c r="J2001" s="973"/>
      <c r="K2001" s="539"/>
      <c r="M2001" s="470"/>
      <c r="O2001" s="468"/>
    </row>
    <row r="2002" spans="1:17" x14ac:dyDescent="0.25">
      <c r="B2002" s="493"/>
      <c r="C2002" s="526">
        <v>1</v>
      </c>
      <c r="D2002" s="467" t="s">
        <v>21</v>
      </c>
      <c r="F2002" s="495"/>
      <c r="G2002" s="553" t="s">
        <v>105</v>
      </c>
      <c r="H2002" s="561">
        <f>H2001*$M$155</f>
        <v>391.40000000000003</v>
      </c>
      <c r="I2002" s="477"/>
      <c r="J2002" s="973"/>
      <c r="K2002" s="539"/>
      <c r="M2002" s="470"/>
      <c r="O2002" s="468"/>
    </row>
    <row r="2003" spans="1:17" x14ac:dyDescent="0.25">
      <c r="B2003" s="521"/>
      <c r="C2003" s="527" t="s">
        <v>17</v>
      </c>
      <c r="D2003" s="522" t="s">
        <v>48</v>
      </c>
      <c r="E2003" s="523"/>
      <c r="F2003" s="524"/>
      <c r="G2003" s="553" t="s">
        <v>452</v>
      </c>
      <c r="H2003" s="561">
        <f>H2001+H2002</f>
        <v>2348.4</v>
      </c>
      <c r="I2003" s="477"/>
      <c r="J2003" s="973"/>
      <c r="K2003" s="539"/>
      <c r="M2003" s="470"/>
      <c r="O2003" s="468"/>
    </row>
    <row r="2004" spans="1:17" x14ac:dyDescent="0.25">
      <c r="M2004" s="470"/>
    </row>
    <row r="2005" spans="1:17" x14ac:dyDescent="0.25">
      <c r="B2005" s="514" t="s">
        <v>6</v>
      </c>
      <c r="C2005" s="515" t="s">
        <v>0</v>
      </c>
      <c r="D2005" s="606" t="s">
        <v>8</v>
      </c>
      <c r="E2005" s="516" t="s">
        <v>4</v>
      </c>
      <c r="F2005" s="516" t="s">
        <v>3</v>
      </c>
      <c r="G2005" s="477"/>
      <c r="H2005" s="477"/>
      <c r="I2005" s="477"/>
      <c r="K2005" s="539"/>
      <c r="M2005" s="470"/>
      <c r="O2005" s="468"/>
    </row>
    <row r="2006" spans="1:17" ht="16.5" thickBot="1" x14ac:dyDescent="0.3">
      <c r="A2006" s="463">
        <v>152</v>
      </c>
      <c r="B2006" s="1077">
        <f>B112</f>
        <v>6.1099999999999977</v>
      </c>
      <c r="C2006" s="1077">
        <f>C112</f>
        <v>2</v>
      </c>
      <c r="D2006" s="1077" t="str">
        <f>D112</f>
        <v>TABLERO TFV-AC - TIPO 10</v>
      </c>
      <c r="E2006" s="518">
        <f>H2028</f>
        <v>1477.2</v>
      </c>
      <c r="F2006" s="518">
        <f>+E2006*C2006</f>
        <v>2954.4</v>
      </c>
      <c r="G2006" s="553" t="s">
        <v>450</v>
      </c>
      <c r="H2006" s="553" t="s">
        <v>1</v>
      </c>
      <c r="I2006" s="477"/>
      <c r="K2006" s="539"/>
      <c r="M2006" s="470"/>
      <c r="O2006" s="468"/>
    </row>
    <row r="2007" spans="1:17" ht="16.5" thickBot="1" x14ac:dyDescent="0.3">
      <c r="B2007" s="1078"/>
      <c r="C2007" s="1078"/>
      <c r="D2007" s="1078"/>
      <c r="E2007" s="520" t="s">
        <v>50</v>
      </c>
      <c r="F2007" s="520" t="s">
        <v>50</v>
      </c>
      <c r="G2007" s="553" t="s">
        <v>50</v>
      </c>
      <c r="H2007" s="553" t="s">
        <v>50</v>
      </c>
      <c r="I2007" s="477"/>
      <c r="K2007" s="539"/>
      <c r="L2007" s="540" t="s">
        <v>451</v>
      </c>
      <c r="M2007" s="541"/>
      <c r="O2007" s="468"/>
    </row>
    <row r="2008" spans="1:17" ht="16.5" thickBot="1" x14ac:dyDescent="0.3">
      <c r="B2008" s="493"/>
      <c r="C2008" s="526"/>
      <c r="D2008" s="463"/>
      <c r="E2008" s="491"/>
      <c r="F2008" s="492"/>
      <c r="G2008" s="561" t="str">
        <f>IFERROR(VLOOKUP(D2008,'Precios Equipos'!$C$1:$F$5052,3,0),"")</f>
        <v/>
      </c>
      <c r="H2008" s="561" t="str">
        <f t="shared" ref="H2008:H2021" si="207">IFERROR(G2008*C2008,"")</f>
        <v/>
      </c>
      <c r="I2008" s="477"/>
      <c r="K2008" s="539"/>
      <c r="L2008" s="542" t="s">
        <v>88</v>
      </c>
      <c r="M2008" s="543" t="s">
        <v>85</v>
      </c>
      <c r="O2008" s="468"/>
    </row>
    <row r="2009" spans="1:17" x14ac:dyDescent="0.25">
      <c r="B2009" s="493"/>
      <c r="C2009" s="526">
        <v>1</v>
      </c>
      <c r="D2009" s="500" t="str">
        <f>+'Precios Equipos'!$C$182</f>
        <v>Gabinete Adosado 900x700x200mm. (alto x ancho x profundidad) dimensiones aproximadas</v>
      </c>
      <c r="F2009" s="495"/>
      <c r="G2009" s="561">
        <f>IFERROR(VLOOKUP(D2009,'Precios Equipos'!$C$1:$F$5052,3,0),"")</f>
        <v>38</v>
      </c>
      <c r="H2009" s="561">
        <f t="shared" si="207"/>
        <v>38</v>
      </c>
      <c r="I2009" s="561">
        <f>SUM(H2009)</f>
        <v>38</v>
      </c>
      <c r="J2009" s="924">
        <f>+I2009/H2026</f>
        <v>3.0869212022745736E-2</v>
      </c>
      <c r="K2009" s="539"/>
      <c r="L2009" s="544" t="str">
        <f>+'Precios Equipos'!C127</f>
        <v>COBRE TABLERO TFV-AC 08, 09, 10, 11</v>
      </c>
      <c r="M2009" s="545">
        <f>IFERROR(VLOOKUP(L2009,'Precios Equipos'!$C$11:$F$208,3,0),0)</f>
        <v>6</v>
      </c>
      <c r="O2009" s="468"/>
      <c r="Q2009" s="465">
        <f>+C2009*$C$2006</f>
        <v>2</v>
      </c>
    </row>
    <row r="2010" spans="1:17" x14ac:dyDescent="0.25">
      <c r="B2010" s="493"/>
      <c r="C2010" s="526"/>
      <c r="D2010" s="494"/>
      <c r="F2010" s="495"/>
      <c r="G2010" s="561" t="str">
        <f>IFERROR(VLOOKUP(D2010,'Precios Equipos'!$C$1:$F$5052,3,0),"")</f>
        <v/>
      </c>
      <c r="H2010" s="561" t="str">
        <f t="shared" si="207"/>
        <v/>
      </c>
      <c r="I2010" s="477"/>
      <c r="K2010" s="539"/>
      <c r="L2010" s="544" t="str">
        <f>+'Precios Equipos'!C132</f>
        <v>CABLEADO 1 DIFERENCIALES, 2P</v>
      </c>
      <c r="M2010" s="545">
        <f>IFERROR(VLOOKUP(L2010,'Precios Equipos'!$C$11:$F$208,3,0),0)</f>
        <v>37</v>
      </c>
      <c r="O2010" s="468"/>
    </row>
    <row r="2011" spans="1:17" x14ac:dyDescent="0.25">
      <c r="B2011" s="493"/>
      <c r="C2011" s="526"/>
      <c r="D2011" s="620" t="s">
        <v>70</v>
      </c>
      <c r="F2011" s="495"/>
      <c r="G2011" s="561" t="str">
        <f>IFERROR(VLOOKUP(D2011,'Precios Equipos'!$C$1:$F$5052,3,0),"")</f>
        <v/>
      </c>
      <c r="H2011" s="561" t="str">
        <f t="shared" si="207"/>
        <v/>
      </c>
      <c r="I2011" s="477"/>
      <c r="K2011" s="539"/>
      <c r="L2011" s="544" t="str">
        <f>+'Precios Equipos'!C140</f>
        <v>Mano de obra 6-10 polos (3-5 ITM)</v>
      </c>
      <c r="M2011" s="545">
        <f>IFERROR(VLOOKUP(L2011,'Precios Equipos'!$C$11:$F$208,3,0),0)</f>
        <v>17</v>
      </c>
      <c r="O2011" s="468"/>
      <c r="P2011" s="501"/>
    </row>
    <row r="2012" spans="1:17" x14ac:dyDescent="0.25">
      <c r="B2012" s="493"/>
      <c r="C2012" s="526">
        <v>1</v>
      </c>
      <c r="D2012" s="494" t="str">
        <f>+'Precios Equipos'!C20</f>
        <v>ITM 3x32A, Caja Moldeada (22.4-32)A, 25kA en 380VAC, XT1C, ABB</v>
      </c>
      <c r="F2012" s="497"/>
      <c r="G2012" s="561">
        <f>IFERROR(VLOOKUP(D2012,'Precios Equipos'!$C$1:$F$5052,3,0),"")</f>
        <v>16</v>
      </c>
      <c r="H2012" s="561">
        <f t="shared" si="207"/>
        <v>16</v>
      </c>
      <c r="I2012" s="1087">
        <f>SUM(H2012:H2017)</f>
        <v>581</v>
      </c>
      <c r="J2012" s="1088">
        <f>+I2012/H2026</f>
        <v>0.47197400487408608</v>
      </c>
      <c r="K2012" s="539"/>
      <c r="L2012" s="544" t="str">
        <f>+'Precios Equipos'!C162</f>
        <v>Mano de obra 1-2 Diferenciales</v>
      </c>
      <c r="M2012" s="545">
        <f>IFERROR(VLOOKUP(L2012,'Precios Equipos'!$C$11:$F$208,3,0),0)</f>
        <v>33</v>
      </c>
      <c r="O2012" s="468"/>
      <c r="P2012" s="501"/>
      <c r="Q2012" s="465">
        <f>+C2012*$C$2006</f>
        <v>2</v>
      </c>
    </row>
    <row r="2013" spans="1:17" ht="16.5" thickBot="1" x14ac:dyDescent="0.3">
      <c r="B2013" s="493"/>
      <c r="C2013" s="526"/>
      <c r="D2013" s="494"/>
      <c r="F2013" s="497"/>
      <c r="G2013" s="561" t="str">
        <f>IFERROR(VLOOKUP(D2013,'Precios Equipos'!$C$1:$F$5052,3,0),"")</f>
        <v/>
      </c>
      <c r="H2013" s="561" t="str">
        <f t="shared" si="207"/>
        <v/>
      </c>
      <c r="I2013" s="1087"/>
      <c r="J2013" s="1088"/>
      <c r="K2013" s="539"/>
      <c r="L2013" s="544" t="str">
        <f>+'Precios Equipos'!C204</f>
        <v>Diseño Ingenieria Tableros Adosados</v>
      </c>
      <c r="M2013" s="545">
        <f>IFERROR(VLOOKUP(L2013,'Precios Equipos'!$C$11:$F$208,3,0),0)</f>
        <v>33</v>
      </c>
      <c r="O2013" s="468"/>
      <c r="P2013" s="501"/>
    </row>
    <row r="2014" spans="1:17" ht="16.5" thickBot="1" x14ac:dyDescent="0.3">
      <c r="B2014" s="493"/>
      <c r="C2014" s="526"/>
      <c r="D2014" s="620" t="s">
        <v>71</v>
      </c>
      <c r="F2014" s="497"/>
      <c r="G2014" s="561" t="str">
        <f>IFERROR(VLOOKUP(D2014,'Precios Equipos'!$C$1:$F$5052,3,0),"")</f>
        <v/>
      </c>
      <c r="H2014" s="561" t="str">
        <f t="shared" si="207"/>
        <v/>
      </c>
      <c r="I2014" s="1087"/>
      <c r="J2014" s="1088"/>
      <c r="K2014" s="539"/>
      <c r="L2014" s="546" t="s">
        <v>89</v>
      </c>
      <c r="M2014" s="560">
        <f>SUM(M2009:M2013)</f>
        <v>126</v>
      </c>
      <c r="O2014" s="468"/>
    </row>
    <row r="2015" spans="1:17" x14ac:dyDescent="0.25">
      <c r="B2015" s="493"/>
      <c r="C2015" s="526">
        <v>3</v>
      </c>
      <c r="D2015" s="494" t="str">
        <f>+'Precios Equipos'!C15</f>
        <v>ITM 2x32A, Caja Moldeada, 50kA en 220VAC, A1N, ABB</v>
      </c>
      <c r="F2015" s="497"/>
      <c r="G2015" s="561">
        <f>IFERROR(VLOOKUP(D2015,'Precios Equipos'!$C$1:$F$5052,3,0),"")</f>
        <v>88</v>
      </c>
      <c r="H2015" s="561">
        <f t="shared" si="207"/>
        <v>264</v>
      </c>
      <c r="I2015" s="1087"/>
      <c r="J2015" s="1088"/>
      <c r="K2015" s="539"/>
      <c r="L2015" s="489"/>
      <c r="M2015" s="499"/>
      <c r="O2015" s="468"/>
      <c r="Q2015" s="465">
        <f>+C2015*$C$2006</f>
        <v>6</v>
      </c>
    </row>
    <row r="2016" spans="1:17" x14ac:dyDescent="0.25">
      <c r="B2016" s="493"/>
      <c r="C2016" s="526">
        <v>1</v>
      </c>
      <c r="D2016" s="494" t="str">
        <f>+'Precios Equipos'!C50</f>
        <v>Interruptor Riel Din 2x25A. S202 20kA en 220VAC, ABB</v>
      </c>
      <c r="F2016" s="495"/>
      <c r="G2016" s="561">
        <f>IFERROR(VLOOKUP(D2016,'Precios Equipos'!$C$1:$F$5052,3,0),"")</f>
        <v>263</v>
      </c>
      <c r="H2016" s="561">
        <f t="shared" si="207"/>
        <v>263</v>
      </c>
      <c r="I2016" s="1087"/>
      <c r="J2016" s="1088"/>
      <c r="K2016" s="539"/>
      <c r="L2016" s="489"/>
      <c r="M2016" s="499"/>
      <c r="O2016" s="468"/>
      <c r="Q2016" s="465">
        <f>+C2016*$C$2006</f>
        <v>2</v>
      </c>
    </row>
    <row r="2017" spans="1:17" x14ac:dyDescent="0.25">
      <c r="B2017" s="493"/>
      <c r="C2017" s="526">
        <v>1</v>
      </c>
      <c r="D2017" s="494" t="str">
        <f>+'Precios Equipos'!$C$63</f>
        <v>Protector de sobretension SPD AC 3P+N, 230/400V, 1.5kV, 40kA</v>
      </c>
      <c r="F2017" s="495"/>
      <c r="G2017" s="561">
        <f>IFERROR(VLOOKUP(D2017,'Precios Equipos'!$C$1:$F$5052,3,0),"")</f>
        <v>38</v>
      </c>
      <c r="H2017" s="561">
        <f t="shared" si="207"/>
        <v>38</v>
      </c>
      <c r="I2017" s="1087"/>
      <c r="J2017" s="1088"/>
      <c r="K2017" s="539"/>
      <c r="M2017" s="470"/>
      <c r="O2017" s="468"/>
      <c r="Q2017" s="465">
        <f>+C2017*$C$2006</f>
        <v>2</v>
      </c>
    </row>
    <row r="2018" spans="1:17" x14ac:dyDescent="0.25">
      <c r="B2018" s="493"/>
      <c r="C2018" s="526"/>
      <c r="D2018" s="494"/>
      <c r="F2018" s="495"/>
      <c r="G2018" s="561" t="str">
        <f>IFERROR(VLOOKUP(D2018,'Precios Equipos'!$C$1:$F$5052,3,0),"")</f>
        <v/>
      </c>
      <c r="H2018" s="561" t="str">
        <f t="shared" si="207"/>
        <v/>
      </c>
      <c r="I2018" s="477"/>
      <c r="K2018" s="539"/>
      <c r="M2018" s="470"/>
      <c r="O2018" s="468"/>
    </row>
    <row r="2019" spans="1:17" x14ac:dyDescent="0.25">
      <c r="B2019" s="493"/>
      <c r="C2019" s="526"/>
      <c r="D2019" s="620" t="s">
        <v>737</v>
      </c>
      <c r="F2019" s="495"/>
      <c r="G2019" s="561" t="str">
        <f>IFERROR(VLOOKUP(D2019,'Precios Equipos'!$C$1:$F$5052,3,0),"")</f>
        <v/>
      </c>
      <c r="H2019" s="561" t="str">
        <f t="shared" si="207"/>
        <v/>
      </c>
      <c r="I2019" s="477"/>
      <c r="K2019" s="539"/>
      <c r="M2019" s="470"/>
      <c r="O2019" s="468"/>
    </row>
    <row r="2020" spans="1:17" x14ac:dyDescent="0.25">
      <c r="B2020" s="493"/>
      <c r="C2020" s="526">
        <v>3</v>
      </c>
      <c r="D2020" s="494" t="str">
        <f>+'Precios Equipos'!C48</f>
        <v>Interruptor Riel Din 2x04A. S200 20kA en 230V en 250VAC, ABB</v>
      </c>
      <c r="F2020" s="495"/>
      <c r="G2020" s="561">
        <f>IFERROR(VLOOKUP(D2020,'Precios Equipos'!$C$1:$F$5052,3,0),"")</f>
        <v>162</v>
      </c>
      <c r="H2020" s="561">
        <f t="shared" si="207"/>
        <v>486</v>
      </c>
      <c r="I2020" s="477"/>
      <c r="K2020" s="539"/>
      <c r="M2020" s="470"/>
      <c r="O2020" s="468"/>
      <c r="Q2020" s="465">
        <f>+C2020*$C$2006</f>
        <v>6</v>
      </c>
    </row>
    <row r="2021" spans="1:17" x14ac:dyDescent="0.25">
      <c r="B2021" s="493"/>
      <c r="C2021" s="526"/>
      <c r="D2021" s="494"/>
      <c r="F2021" s="495"/>
      <c r="G2021" s="561" t="str">
        <f>IFERROR(VLOOKUP(D2021,'Precios Equipos'!$C$1:$F$5052,3,0),"")</f>
        <v/>
      </c>
      <c r="H2021" s="561" t="str">
        <f t="shared" si="207"/>
        <v/>
      </c>
      <c r="I2021" s="477"/>
      <c r="K2021" s="539"/>
      <c r="M2021" s="470"/>
      <c r="O2021" s="468"/>
    </row>
    <row r="2022" spans="1:17" x14ac:dyDescent="0.25">
      <c r="B2022" s="493"/>
      <c r="C2022" s="526"/>
      <c r="D2022" s="620" t="s">
        <v>87</v>
      </c>
      <c r="F2022" s="495"/>
      <c r="G2022" s="561"/>
      <c r="H2022" s="561">
        <f>M2014</f>
        <v>126</v>
      </c>
      <c r="I2022" s="561">
        <f>SUM(H2022)</f>
        <v>126</v>
      </c>
      <c r="J2022" s="924">
        <f>+I2022/H2026</f>
        <v>0.10235580828594638</v>
      </c>
      <c r="K2022" s="539"/>
      <c r="M2022" s="470"/>
      <c r="O2022" s="468"/>
    </row>
    <row r="2023" spans="1:17" x14ac:dyDescent="0.25">
      <c r="B2023" s="493"/>
      <c r="C2023" s="526">
        <v>1</v>
      </c>
      <c r="D2023" s="494" t="s">
        <v>49</v>
      </c>
      <c r="F2023" s="495"/>
      <c r="G2023" s="561"/>
      <c r="H2023" s="561">
        <f>$O$153</f>
        <v>0</v>
      </c>
      <c r="I2023" s="1087">
        <f>SUM(H2023:H2024)</f>
        <v>0</v>
      </c>
      <c r="J2023" s="1088">
        <f>+I2023/H2026</f>
        <v>0</v>
      </c>
      <c r="K2023" s="539"/>
      <c r="M2023" s="470"/>
      <c r="O2023" s="468"/>
    </row>
    <row r="2024" spans="1:17" x14ac:dyDescent="0.25">
      <c r="B2024" s="493"/>
      <c r="C2024" s="526">
        <v>1</v>
      </c>
      <c r="D2024" s="494" t="s">
        <v>51</v>
      </c>
      <c r="F2024" s="495"/>
      <c r="G2024" s="561"/>
      <c r="H2024" s="561">
        <f>$O$154</f>
        <v>0</v>
      </c>
      <c r="I2024" s="1087"/>
      <c r="J2024" s="1088"/>
      <c r="K2024" s="539"/>
      <c r="M2024" s="470"/>
      <c r="O2024" s="468"/>
    </row>
    <row r="2025" spans="1:17" x14ac:dyDescent="0.25">
      <c r="B2025" s="493"/>
      <c r="C2025" s="526">
        <v>1</v>
      </c>
      <c r="D2025" s="467" t="s">
        <v>20</v>
      </c>
      <c r="F2025" s="495"/>
      <c r="G2025" s="561"/>
      <c r="H2025" s="561"/>
      <c r="I2025" s="477"/>
      <c r="J2025" s="973"/>
      <c r="K2025" s="539"/>
      <c r="M2025" s="470"/>
      <c r="O2025" s="468"/>
    </row>
    <row r="2026" spans="1:17" x14ac:dyDescent="0.25">
      <c r="B2026" s="493"/>
      <c r="C2026" s="526">
        <v>1</v>
      </c>
      <c r="D2026" s="467" t="s">
        <v>52</v>
      </c>
      <c r="F2026" s="495"/>
      <c r="G2026" s="553" t="s">
        <v>97</v>
      </c>
      <c r="H2026" s="561">
        <f>SUM(H2009:H2025)</f>
        <v>1231</v>
      </c>
      <c r="I2026" s="477"/>
      <c r="J2026" s="973"/>
      <c r="K2026" s="539"/>
      <c r="M2026" s="470"/>
      <c r="O2026" s="468"/>
    </row>
    <row r="2027" spans="1:17" x14ac:dyDescent="0.25">
      <c r="B2027" s="493"/>
      <c r="C2027" s="526">
        <v>1</v>
      </c>
      <c r="D2027" s="467" t="s">
        <v>21</v>
      </c>
      <c r="F2027" s="495"/>
      <c r="G2027" s="553" t="s">
        <v>105</v>
      </c>
      <c r="H2027" s="561">
        <f>H2026*$M$155</f>
        <v>246.20000000000002</v>
      </c>
      <c r="I2027" s="477"/>
      <c r="J2027" s="973"/>
      <c r="K2027" s="539"/>
      <c r="M2027" s="470"/>
      <c r="O2027" s="468"/>
    </row>
    <row r="2028" spans="1:17" x14ac:dyDescent="0.25">
      <c r="B2028" s="521"/>
      <c r="C2028" s="527" t="s">
        <v>17</v>
      </c>
      <c r="D2028" s="522" t="s">
        <v>48</v>
      </c>
      <c r="E2028" s="523"/>
      <c r="F2028" s="524"/>
      <c r="G2028" s="553" t="s">
        <v>452</v>
      </c>
      <c r="H2028" s="561">
        <f>H2026+H2027</f>
        <v>1477.2</v>
      </c>
      <c r="I2028" s="477"/>
      <c r="J2028" s="973"/>
      <c r="K2028" s="539"/>
      <c r="O2028" s="468"/>
    </row>
    <row r="2029" spans="1:17" x14ac:dyDescent="0.25">
      <c r="O2029" s="468"/>
    </row>
    <row r="2030" spans="1:17" x14ac:dyDescent="0.25">
      <c r="B2030" s="514" t="s">
        <v>6</v>
      </c>
      <c r="C2030" s="515" t="s">
        <v>0</v>
      </c>
      <c r="D2030" s="606" t="s">
        <v>8</v>
      </c>
      <c r="E2030" s="516" t="s">
        <v>4</v>
      </c>
      <c r="F2030" s="516" t="s">
        <v>3</v>
      </c>
      <c r="G2030" s="477"/>
      <c r="H2030" s="477"/>
      <c r="I2030" s="477"/>
      <c r="K2030" s="539"/>
      <c r="O2030" s="468"/>
    </row>
    <row r="2031" spans="1:17" x14ac:dyDescent="0.25">
      <c r="A2031" s="463">
        <v>152</v>
      </c>
      <c r="B2031" s="1077">
        <f>B113</f>
        <v>6.1199999999999974</v>
      </c>
      <c r="C2031" s="1077">
        <f>C113</f>
        <v>2</v>
      </c>
      <c r="D2031" s="1077" t="str">
        <f>D113</f>
        <v>TABLERO TFV-AC - TIPO 10.1</v>
      </c>
      <c r="E2031" s="518">
        <f>H2055</f>
        <v>2278.8000000000002</v>
      </c>
      <c r="F2031" s="518">
        <f>+E2031*C2031</f>
        <v>4557.6000000000004</v>
      </c>
      <c r="G2031" s="553" t="s">
        <v>450</v>
      </c>
      <c r="H2031" s="553" t="s">
        <v>1</v>
      </c>
      <c r="I2031" s="477"/>
      <c r="K2031" s="539"/>
      <c r="O2031" s="468"/>
    </row>
    <row r="2032" spans="1:17" x14ac:dyDescent="0.25">
      <c r="B2032" s="1078"/>
      <c r="C2032" s="1078"/>
      <c r="D2032" s="1078"/>
      <c r="E2032" s="520" t="s">
        <v>50</v>
      </c>
      <c r="F2032" s="520" t="s">
        <v>50</v>
      </c>
      <c r="G2032" s="553" t="s">
        <v>50</v>
      </c>
      <c r="H2032" s="553" t="s">
        <v>50</v>
      </c>
      <c r="I2032" s="477"/>
      <c r="K2032" s="539"/>
      <c r="O2032" s="468"/>
    </row>
    <row r="2033" spans="2:17" x14ac:dyDescent="0.25">
      <c r="B2033" s="493"/>
      <c r="C2033" s="526"/>
      <c r="D2033" s="463"/>
      <c r="E2033" s="491"/>
      <c r="F2033" s="492"/>
      <c r="G2033" s="561" t="str">
        <f>IFERROR(VLOOKUP(D2033,'Precios Equipos'!$C$1:$F$5052,3,0),"")</f>
        <v/>
      </c>
      <c r="H2033" s="561" t="str">
        <f t="shared" ref="H2033:H2048" si="208">IFERROR(G2033*C2033,"")</f>
        <v/>
      </c>
      <c r="I2033" s="477"/>
      <c r="K2033" s="539"/>
      <c r="O2033" s="468"/>
    </row>
    <row r="2034" spans="2:17" ht="16.5" thickBot="1" x14ac:dyDescent="0.3">
      <c r="B2034" s="493"/>
      <c r="C2034" s="526">
        <v>1</v>
      </c>
      <c r="D2034" s="500" t="str">
        <f>+'Precios Equipos'!$C$182</f>
        <v>Gabinete Adosado 900x700x200mm. (alto x ancho x profundidad) dimensiones aproximadas</v>
      </c>
      <c r="F2034" s="495"/>
      <c r="G2034" s="561">
        <f>IFERROR(VLOOKUP(D2034,'Precios Equipos'!$C$1:$F$5052,3,0),"")</f>
        <v>38</v>
      </c>
      <c r="H2034" s="561">
        <f t="shared" si="208"/>
        <v>38</v>
      </c>
      <c r="I2034" s="561">
        <f>SUM(H2034)</f>
        <v>38</v>
      </c>
      <c r="J2034" s="924">
        <f>+I2034/H2053</f>
        <v>2.0010531858873092E-2</v>
      </c>
      <c r="K2034" s="539"/>
      <c r="O2034" s="468"/>
      <c r="Q2034" s="465">
        <f>+C2034*$C$2031</f>
        <v>2</v>
      </c>
    </row>
    <row r="2035" spans="2:17" ht="16.5" thickBot="1" x14ac:dyDescent="0.3">
      <c r="B2035" s="493"/>
      <c r="C2035" s="526"/>
      <c r="D2035" s="494"/>
      <c r="F2035" s="495"/>
      <c r="G2035" s="561" t="str">
        <f>IFERROR(VLOOKUP(D2035,'Precios Equipos'!$C$1:$F$5052,3,0),"")</f>
        <v/>
      </c>
      <c r="H2035" s="561" t="str">
        <f t="shared" si="208"/>
        <v/>
      </c>
      <c r="I2035" s="477"/>
      <c r="K2035" s="539"/>
      <c r="L2035" s="540" t="s">
        <v>451</v>
      </c>
      <c r="M2035" s="541"/>
      <c r="O2035" s="468"/>
    </row>
    <row r="2036" spans="2:17" ht="16.5" thickBot="1" x14ac:dyDescent="0.3">
      <c r="B2036" s="493"/>
      <c r="C2036" s="526"/>
      <c r="D2036" s="620" t="s">
        <v>70</v>
      </c>
      <c r="F2036" s="495"/>
      <c r="G2036" s="561" t="str">
        <f>IFERROR(VLOOKUP(D2036,'Precios Equipos'!$C$1:$F$5052,3,0),"")</f>
        <v/>
      </c>
      <c r="H2036" s="561" t="str">
        <f t="shared" si="208"/>
        <v/>
      </c>
      <c r="I2036" s="477"/>
      <c r="K2036" s="539"/>
      <c r="L2036" s="542" t="s">
        <v>88</v>
      </c>
      <c r="M2036" s="543" t="s">
        <v>85</v>
      </c>
      <c r="O2036" s="468"/>
      <c r="P2036" s="501"/>
    </row>
    <row r="2037" spans="2:17" x14ac:dyDescent="0.25">
      <c r="B2037" s="493"/>
      <c r="C2037" s="526">
        <v>1</v>
      </c>
      <c r="D2037" s="494" t="str">
        <f>+'Precios Equipos'!C19</f>
        <v>ITM 3x25A, Caja Moldeada (17.5-25)A, 25kA en 380VAC, XT1C, ABB</v>
      </c>
      <c r="F2037" s="497"/>
      <c r="G2037" s="561">
        <f>IFERROR(VLOOKUP(D2037,'Precios Equipos'!$C$1:$F$5052,3,0),"")</f>
        <v>8</v>
      </c>
      <c r="H2037" s="561">
        <f t="shared" si="208"/>
        <v>8</v>
      </c>
      <c r="I2037" s="1087">
        <f>SUM(H2037:H2047)</f>
        <v>1735</v>
      </c>
      <c r="J2037" s="1088">
        <f>+I2037/H2053</f>
        <v>0.91363875724065302</v>
      </c>
      <c r="K2037" s="539"/>
      <c r="L2037" s="544" t="str">
        <f>+'Precios Equipos'!C127</f>
        <v>COBRE TABLERO TFV-AC 08, 09, 10, 11</v>
      </c>
      <c r="M2037" s="545">
        <f>IFERROR(VLOOKUP(L2037,'Precios Equipos'!$C$11:$F$208,3,0),0)</f>
        <v>6</v>
      </c>
      <c r="O2037" s="468"/>
      <c r="P2037" s="501"/>
      <c r="Q2037" s="465">
        <f>+C2037*$C$2031</f>
        <v>2</v>
      </c>
    </row>
    <row r="2038" spans="2:17" x14ac:dyDescent="0.25">
      <c r="B2038" s="493"/>
      <c r="C2038" s="526">
        <v>1</v>
      </c>
      <c r="D2038" s="494" t="str">
        <f>+'Precios Equipos'!C20</f>
        <v>ITM 3x32A, Caja Moldeada (22.4-32)A, 25kA en 380VAC, XT1C, ABB</v>
      </c>
      <c r="F2038" s="497"/>
      <c r="G2038" s="561">
        <f>IFERROR(VLOOKUP(D2038,'Precios Equipos'!$C$1:$F$5052,3,0),"")</f>
        <v>16</v>
      </c>
      <c r="H2038" s="561">
        <f t="shared" si="208"/>
        <v>16</v>
      </c>
      <c r="I2038" s="1087"/>
      <c r="J2038" s="1088"/>
      <c r="K2038" s="539"/>
      <c r="L2038" s="544" t="str">
        <f>+'Precios Equipos'!C132</f>
        <v>CABLEADO 1 DIFERENCIALES, 2P</v>
      </c>
      <c r="M2038" s="545">
        <f>IFERROR(VLOOKUP(L2038,'Precios Equipos'!$C$11:$F$208,3,0),0)</f>
        <v>37</v>
      </c>
      <c r="O2038" s="468"/>
      <c r="P2038" s="501"/>
      <c r="Q2038" s="465">
        <f>+C2038*$C$2031</f>
        <v>2</v>
      </c>
    </row>
    <row r="2039" spans="2:17" x14ac:dyDescent="0.25">
      <c r="B2039" s="493"/>
      <c r="C2039" s="526"/>
      <c r="D2039" s="494"/>
      <c r="F2039" s="497"/>
      <c r="G2039" s="561" t="str">
        <f>IFERROR(VLOOKUP(D2039,'Precios Equipos'!$C$1:$F$5052,3,0),"")</f>
        <v/>
      </c>
      <c r="H2039" s="561" t="str">
        <f t="shared" si="208"/>
        <v/>
      </c>
      <c r="I2039" s="1087"/>
      <c r="J2039" s="1088"/>
      <c r="K2039" s="539"/>
      <c r="L2039" s="544" t="str">
        <f>+'Precios Equipos'!C140</f>
        <v>Mano de obra 6-10 polos (3-5 ITM)</v>
      </c>
      <c r="M2039" s="545">
        <f>IFERROR(VLOOKUP(L2039,'Precios Equipos'!$C$11:$F$208,3,0),0)</f>
        <v>17</v>
      </c>
      <c r="O2039" s="468"/>
      <c r="P2039" s="501"/>
    </row>
    <row r="2040" spans="2:17" x14ac:dyDescent="0.25">
      <c r="B2040" s="493"/>
      <c r="C2040" s="526"/>
      <c r="D2040" s="620" t="s">
        <v>71</v>
      </c>
      <c r="F2040" s="497"/>
      <c r="G2040" s="561" t="str">
        <f>IFERROR(VLOOKUP(D2040,'Precios Equipos'!$C$1:$F$5052,3,0),"")</f>
        <v/>
      </c>
      <c r="H2040" s="561" t="str">
        <f t="shared" si="208"/>
        <v/>
      </c>
      <c r="I2040" s="1087"/>
      <c r="J2040" s="1088"/>
      <c r="K2040" s="539"/>
      <c r="L2040" s="544" t="str">
        <f>+'Precios Equipos'!C162</f>
        <v>Mano de obra 1-2 Diferenciales</v>
      </c>
      <c r="M2040" s="545">
        <f>IFERROR(VLOOKUP(L2040,'Precios Equipos'!$C$11:$F$208,3,0),0)</f>
        <v>33</v>
      </c>
      <c r="O2040" s="468"/>
    </row>
    <row r="2041" spans="2:17" ht="16.5" thickBot="1" x14ac:dyDescent="0.3">
      <c r="B2041" s="493"/>
      <c r="C2041" s="526">
        <v>6</v>
      </c>
      <c r="D2041" s="494" t="str">
        <f>+'Precios Equipos'!C14</f>
        <v>ITM 2x25A, Caja Moldeada, 50kA en 220VAC, A1N, ABB</v>
      </c>
      <c r="F2041" s="497"/>
      <c r="G2041" s="561">
        <f>IFERROR(VLOOKUP(D2041,'Precios Equipos'!$C$1:$F$5052,3,0),"")</f>
        <v>110</v>
      </c>
      <c r="H2041" s="561">
        <f t="shared" si="208"/>
        <v>660</v>
      </c>
      <c r="I2041" s="1087"/>
      <c r="J2041" s="1088"/>
      <c r="K2041" s="539"/>
      <c r="L2041" s="544" t="str">
        <f>+'Precios Equipos'!C204</f>
        <v>Diseño Ingenieria Tableros Adosados</v>
      </c>
      <c r="M2041" s="545">
        <f>IFERROR(VLOOKUP(L2041,'Precios Equipos'!$C$11:$F$208,3,0),0)</f>
        <v>33</v>
      </c>
      <c r="O2041" s="468"/>
      <c r="Q2041" s="465">
        <f>+C2041*$C$2031</f>
        <v>12</v>
      </c>
    </row>
    <row r="2042" spans="2:17" ht="16.5" thickBot="1" x14ac:dyDescent="0.3">
      <c r="B2042" s="493"/>
      <c r="C2042" s="526">
        <v>3</v>
      </c>
      <c r="D2042" s="494" t="str">
        <f>+'Precios Equipos'!C15</f>
        <v>ITM 2x32A, Caja Moldeada, 50kA en 220VAC, A1N, ABB</v>
      </c>
      <c r="F2042" s="497"/>
      <c r="G2042" s="561">
        <f>IFERROR(VLOOKUP(D2042,'Precios Equipos'!$C$1:$F$5052,3,0),"")</f>
        <v>88</v>
      </c>
      <c r="H2042" s="561">
        <f t="shared" si="208"/>
        <v>264</v>
      </c>
      <c r="I2042" s="1087"/>
      <c r="J2042" s="1088"/>
      <c r="K2042" s="539"/>
      <c r="L2042" s="546" t="s">
        <v>89</v>
      </c>
      <c r="M2042" s="560">
        <f>SUM(M2037:M2041)</f>
        <v>126</v>
      </c>
      <c r="O2042" s="468"/>
      <c r="Q2042" s="465">
        <f>+C2042*$C$2031</f>
        <v>6</v>
      </c>
    </row>
    <row r="2043" spans="2:17" x14ac:dyDescent="0.25">
      <c r="B2043" s="493"/>
      <c r="C2043" s="526">
        <v>1</v>
      </c>
      <c r="D2043" s="494" t="str">
        <f>+'Precios Equipos'!C50</f>
        <v>Interruptor Riel Din 2x25A. S202 20kA en 220VAC, ABB</v>
      </c>
      <c r="F2043" s="495"/>
      <c r="G2043" s="561">
        <f>IFERROR(VLOOKUP(D2043,'Precios Equipos'!$C$1:$F$5052,3,0),"")</f>
        <v>263</v>
      </c>
      <c r="H2043" s="561">
        <f t="shared" si="208"/>
        <v>263</v>
      </c>
      <c r="I2043" s="1087"/>
      <c r="J2043" s="1088"/>
      <c r="K2043" s="539"/>
      <c r="O2043" s="468"/>
      <c r="Q2043" s="465">
        <f>+C2043*$C$2031</f>
        <v>2</v>
      </c>
    </row>
    <row r="2044" spans="2:17" x14ac:dyDescent="0.25">
      <c r="B2044" s="493"/>
      <c r="C2044" s="526">
        <v>1</v>
      </c>
      <c r="D2044" s="494" t="str">
        <f>+'Precios Equipos'!$C$63</f>
        <v>Protector de sobretension SPD AC 3P+N, 230/400V, 1.5kV, 40kA</v>
      </c>
      <c r="F2044" s="495"/>
      <c r="G2044" s="561">
        <f>IFERROR(VLOOKUP(D2044,'Precios Equipos'!$C$1:$F$5052,3,0),"")</f>
        <v>38</v>
      </c>
      <c r="H2044" s="561">
        <f t="shared" si="208"/>
        <v>38</v>
      </c>
      <c r="I2044" s="1087"/>
      <c r="J2044" s="1088"/>
      <c r="K2044" s="539"/>
      <c r="L2044" s="468" t="s">
        <v>1030</v>
      </c>
      <c r="M2044" s="470"/>
      <c r="O2044" s="468"/>
      <c r="Q2044" s="465">
        <f>+C2044*$C$2031</f>
        <v>2</v>
      </c>
    </row>
    <row r="2045" spans="2:17" x14ac:dyDescent="0.25">
      <c r="B2045" s="493"/>
      <c r="C2045" s="526"/>
      <c r="D2045" s="494"/>
      <c r="F2045" s="495"/>
      <c r="G2045" s="561" t="str">
        <f>IFERROR(VLOOKUP(D2045,'Precios Equipos'!$C$1:$F$5052,3,0),"")</f>
        <v/>
      </c>
      <c r="H2045" s="561" t="str">
        <f t="shared" si="208"/>
        <v/>
      </c>
      <c r="I2045" s="1087"/>
      <c r="J2045" s="1088"/>
      <c r="K2045" s="539"/>
      <c r="M2045" s="470"/>
      <c r="O2045" s="468"/>
    </row>
    <row r="2046" spans="2:17" x14ac:dyDescent="0.25">
      <c r="B2046" s="493"/>
      <c r="C2046" s="526"/>
      <c r="D2046" s="620" t="s">
        <v>737</v>
      </c>
      <c r="F2046" s="495"/>
      <c r="G2046" s="561" t="str">
        <f>IFERROR(VLOOKUP(D2046,'Precios Equipos'!$C$1:$F$5052,3,0),"")</f>
        <v/>
      </c>
      <c r="H2046" s="561" t="str">
        <f t="shared" si="208"/>
        <v/>
      </c>
      <c r="I2046" s="1087"/>
      <c r="J2046" s="1088"/>
      <c r="K2046" s="539"/>
      <c r="M2046" s="470"/>
      <c r="O2046" s="468"/>
    </row>
    <row r="2047" spans="2:17" x14ac:dyDescent="0.25">
      <c r="B2047" s="493"/>
      <c r="C2047" s="526">
        <v>3</v>
      </c>
      <c r="D2047" s="494" t="str">
        <f>+'Precios Equipos'!C48</f>
        <v>Interruptor Riel Din 2x04A. S200 20kA en 230V en 250VAC, ABB</v>
      </c>
      <c r="F2047" s="495"/>
      <c r="G2047" s="561">
        <f>IFERROR(VLOOKUP(D2047,'Precios Equipos'!$C$1:$F$5052,3,0),"")</f>
        <v>162</v>
      </c>
      <c r="H2047" s="561">
        <f t="shared" si="208"/>
        <v>486</v>
      </c>
      <c r="I2047" s="1087"/>
      <c r="J2047" s="1088"/>
      <c r="K2047" s="539"/>
      <c r="M2047" s="470"/>
      <c r="O2047" s="468"/>
      <c r="Q2047" s="465">
        <f>+C2047*$C$2031</f>
        <v>6</v>
      </c>
    </row>
    <row r="2048" spans="2:17" x14ac:dyDescent="0.25">
      <c r="B2048" s="493"/>
      <c r="C2048" s="526"/>
      <c r="D2048" s="494"/>
      <c r="F2048" s="495"/>
      <c r="G2048" s="561" t="str">
        <f>IFERROR(VLOOKUP(D2048,'Precios Equipos'!$C$1:$F$5052,3,0),"")</f>
        <v/>
      </c>
      <c r="H2048" s="561" t="str">
        <f t="shared" si="208"/>
        <v/>
      </c>
      <c r="I2048" s="477"/>
      <c r="K2048" s="539"/>
      <c r="M2048" s="470"/>
      <c r="O2048" s="468"/>
    </row>
    <row r="2049" spans="1:17" x14ac:dyDescent="0.25">
      <c r="B2049" s="493"/>
      <c r="C2049" s="526"/>
      <c r="D2049" s="620" t="s">
        <v>87</v>
      </c>
      <c r="F2049" s="495"/>
      <c r="G2049" s="561"/>
      <c r="H2049" s="561">
        <f>M2042</f>
        <v>126</v>
      </c>
      <c r="I2049" s="561">
        <f>SUM(H2049)</f>
        <v>126</v>
      </c>
      <c r="J2049" s="924">
        <f>+I2049/H2053</f>
        <v>6.6350710900473939E-2</v>
      </c>
      <c r="K2049" s="539"/>
      <c r="M2049" s="470"/>
      <c r="O2049" s="468"/>
    </row>
    <row r="2050" spans="1:17" x14ac:dyDescent="0.25">
      <c r="B2050" s="493"/>
      <c r="C2050" s="526">
        <v>1</v>
      </c>
      <c r="D2050" s="494" t="s">
        <v>49</v>
      </c>
      <c r="F2050" s="495"/>
      <c r="G2050" s="561"/>
      <c r="H2050" s="561">
        <f>$O$153</f>
        <v>0</v>
      </c>
      <c r="I2050" s="1087">
        <f>SUM(H2050:H2051)</f>
        <v>0</v>
      </c>
      <c r="J2050" s="1088">
        <f>+I2050/H2053</f>
        <v>0</v>
      </c>
      <c r="K2050" s="539"/>
      <c r="M2050" s="470"/>
      <c r="O2050" s="468"/>
    </row>
    <row r="2051" spans="1:17" x14ac:dyDescent="0.25">
      <c r="B2051" s="493"/>
      <c r="C2051" s="526">
        <v>1</v>
      </c>
      <c r="D2051" s="494" t="s">
        <v>51</v>
      </c>
      <c r="F2051" s="495"/>
      <c r="G2051" s="561"/>
      <c r="H2051" s="561">
        <f>$O$154</f>
        <v>0</v>
      </c>
      <c r="I2051" s="1087"/>
      <c r="J2051" s="1088"/>
      <c r="K2051" s="539"/>
      <c r="M2051" s="470"/>
      <c r="O2051" s="468"/>
    </row>
    <row r="2052" spans="1:17" x14ac:dyDescent="0.25">
      <c r="B2052" s="493"/>
      <c r="C2052" s="526">
        <v>1</v>
      </c>
      <c r="D2052" s="467" t="s">
        <v>20</v>
      </c>
      <c r="F2052" s="495"/>
      <c r="G2052" s="561"/>
      <c r="H2052" s="561"/>
      <c r="I2052" s="477"/>
      <c r="J2052" s="973"/>
      <c r="K2052" s="539"/>
      <c r="M2052" s="470"/>
      <c r="O2052" s="468"/>
    </row>
    <row r="2053" spans="1:17" x14ac:dyDescent="0.25">
      <c r="B2053" s="493"/>
      <c r="C2053" s="526">
        <v>1</v>
      </c>
      <c r="D2053" s="467" t="s">
        <v>52</v>
      </c>
      <c r="F2053" s="495"/>
      <c r="G2053" s="553" t="s">
        <v>97</v>
      </c>
      <c r="H2053" s="561">
        <f>SUM(H2034:H2052)</f>
        <v>1899</v>
      </c>
      <c r="I2053" s="477"/>
      <c r="J2053" s="973"/>
      <c r="K2053" s="539"/>
      <c r="M2053" s="470"/>
      <c r="O2053" s="468"/>
    </row>
    <row r="2054" spans="1:17" x14ac:dyDescent="0.25">
      <c r="B2054" s="493"/>
      <c r="C2054" s="526">
        <v>1</v>
      </c>
      <c r="D2054" s="467" t="s">
        <v>21</v>
      </c>
      <c r="F2054" s="495"/>
      <c r="G2054" s="553" t="s">
        <v>105</v>
      </c>
      <c r="H2054" s="561">
        <f>H2053*$M$155</f>
        <v>379.8</v>
      </c>
      <c r="I2054" s="477"/>
      <c r="J2054" s="973"/>
      <c r="K2054" s="539"/>
      <c r="M2054" s="470"/>
      <c r="O2054" s="468"/>
    </row>
    <row r="2055" spans="1:17" x14ac:dyDescent="0.25">
      <c r="B2055" s="521"/>
      <c r="C2055" s="527" t="s">
        <v>17</v>
      </c>
      <c r="D2055" s="522" t="s">
        <v>48</v>
      </c>
      <c r="E2055" s="523"/>
      <c r="F2055" s="524"/>
      <c r="G2055" s="553" t="s">
        <v>452</v>
      </c>
      <c r="H2055" s="561">
        <f>H2053+H2054</f>
        <v>2278.8000000000002</v>
      </c>
      <c r="I2055" s="477"/>
      <c r="J2055" s="973"/>
      <c r="K2055" s="539"/>
      <c r="M2055" s="470"/>
      <c r="O2055" s="468"/>
    </row>
    <row r="2056" spans="1:17" ht="16.5" thickBot="1" x14ac:dyDescent="0.3">
      <c r="M2056" s="470"/>
      <c r="O2056" s="468"/>
    </row>
    <row r="2057" spans="1:17" ht="16.5" thickBot="1" x14ac:dyDescent="0.3">
      <c r="B2057" s="514" t="s">
        <v>6</v>
      </c>
      <c r="C2057" s="515" t="s">
        <v>0</v>
      </c>
      <c r="D2057" s="606" t="s">
        <v>8</v>
      </c>
      <c r="E2057" s="516" t="s">
        <v>4</v>
      </c>
      <c r="F2057" s="516" t="s">
        <v>3</v>
      </c>
      <c r="G2057" s="477"/>
      <c r="H2057" s="477"/>
      <c r="I2057" s="477"/>
      <c r="K2057" s="539"/>
      <c r="L2057" s="540" t="s">
        <v>451</v>
      </c>
      <c r="M2057" s="541"/>
      <c r="O2057" s="468"/>
    </row>
    <row r="2058" spans="1:17" ht="16.5" thickBot="1" x14ac:dyDescent="0.3">
      <c r="A2058" s="463">
        <v>152</v>
      </c>
      <c r="B2058" s="1077">
        <f>B114</f>
        <v>6.1299999999999972</v>
      </c>
      <c r="C2058" s="1077">
        <f>C114</f>
        <v>3</v>
      </c>
      <c r="D2058" s="1077" t="str">
        <f>D114</f>
        <v>TABLERO TFV-AC - TIPO 11</v>
      </c>
      <c r="E2058" s="518">
        <f>H2080</f>
        <v>1477.2</v>
      </c>
      <c r="F2058" s="518">
        <f>+E2058*C2058</f>
        <v>4431.6000000000004</v>
      </c>
      <c r="G2058" s="553" t="s">
        <v>450</v>
      </c>
      <c r="H2058" s="553" t="s">
        <v>1</v>
      </c>
      <c r="I2058" s="477"/>
      <c r="K2058" s="539"/>
      <c r="L2058" s="542" t="s">
        <v>88</v>
      </c>
      <c r="M2058" s="543" t="s">
        <v>85</v>
      </c>
      <c r="O2058" s="468"/>
    </row>
    <row r="2059" spans="1:17" x14ac:dyDescent="0.25">
      <c r="B2059" s="1078"/>
      <c r="C2059" s="1078"/>
      <c r="D2059" s="1078"/>
      <c r="E2059" s="520" t="s">
        <v>50</v>
      </c>
      <c r="F2059" s="520" t="s">
        <v>50</v>
      </c>
      <c r="G2059" s="553" t="s">
        <v>50</v>
      </c>
      <c r="H2059" s="553" t="s">
        <v>50</v>
      </c>
      <c r="I2059" s="477"/>
      <c r="K2059" s="539"/>
      <c r="L2059" s="544" t="str">
        <f>+'Precios Equipos'!C127</f>
        <v>COBRE TABLERO TFV-AC 08, 09, 10, 11</v>
      </c>
      <c r="M2059" s="545">
        <f>IFERROR(VLOOKUP(L2059,'Precios Equipos'!$C$11:$F$208,3,0),0)</f>
        <v>6</v>
      </c>
      <c r="O2059" s="468"/>
    </row>
    <row r="2060" spans="1:17" x14ac:dyDescent="0.25">
      <c r="B2060" s="493"/>
      <c r="C2060" s="526"/>
      <c r="D2060" s="463"/>
      <c r="E2060" s="491"/>
      <c r="F2060" s="492"/>
      <c r="G2060" s="561" t="str">
        <f>IFERROR(VLOOKUP(D2060,'Precios Equipos'!$C$1:$F$5052,3,0),"")</f>
        <v/>
      </c>
      <c r="H2060" s="561" t="str">
        <f t="shared" ref="H2060:H2073" si="209">IFERROR(G2060*C2060,"")</f>
        <v/>
      </c>
      <c r="I2060" s="477"/>
      <c r="K2060" s="539"/>
      <c r="L2060" s="544" t="str">
        <f>+'Precios Equipos'!C132</f>
        <v>CABLEADO 1 DIFERENCIALES, 2P</v>
      </c>
      <c r="M2060" s="545">
        <f>IFERROR(VLOOKUP(L2060,'Precios Equipos'!$C$11:$F$208,3,0),0)</f>
        <v>37</v>
      </c>
      <c r="O2060" s="468"/>
    </row>
    <row r="2061" spans="1:17" x14ac:dyDescent="0.25">
      <c r="B2061" s="493"/>
      <c r="C2061" s="526">
        <v>1</v>
      </c>
      <c r="D2061" s="500" t="str">
        <f>+'Precios Equipos'!$C$182</f>
        <v>Gabinete Adosado 900x700x200mm. (alto x ancho x profundidad) dimensiones aproximadas</v>
      </c>
      <c r="F2061" s="495"/>
      <c r="G2061" s="561">
        <f>IFERROR(VLOOKUP(D2061,'Precios Equipos'!$C$1:$F$5052,3,0),"")</f>
        <v>38</v>
      </c>
      <c r="H2061" s="561">
        <f t="shared" si="209"/>
        <v>38</v>
      </c>
      <c r="I2061" s="561">
        <f>SUM(H2061)</f>
        <v>38</v>
      </c>
      <c r="J2061" s="924">
        <f>+I2061/H2078</f>
        <v>3.0869212022745736E-2</v>
      </c>
      <c r="K2061" s="539"/>
      <c r="L2061" s="544" t="str">
        <f>+'Precios Equipos'!C140</f>
        <v>Mano de obra 6-10 polos (3-5 ITM)</v>
      </c>
      <c r="M2061" s="545">
        <f>IFERROR(VLOOKUP(L2061,'Precios Equipos'!$C$11:$F$208,3,0),0)</f>
        <v>17</v>
      </c>
      <c r="O2061" s="468"/>
      <c r="Q2061" s="465">
        <f>+C2061*$C$2058</f>
        <v>3</v>
      </c>
    </row>
    <row r="2062" spans="1:17" x14ac:dyDescent="0.25">
      <c r="B2062" s="493"/>
      <c r="C2062" s="526"/>
      <c r="D2062" s="494"/>
      <c r="F2062" s="495"/>
      <c r="G2062" s="561" t="str">
        <f>IFERROR(VLOOKUP(D2062,'Precios Equipos'!$C$1:$F$5052,3,0),"")</f>
        <v/>
      </c>
      <c r="H2062" s="561" t="str">
        <f t="shared" si="209"/>
        <v/>
      </c>
      <c r="I2062" s="477"/>
      <c r="K2062" s="539"/>
      <c r="L2062" s="544" t="str">
        <f>+'Precios Equipos'!C162</f>
        <v>Mano de obra 1-2 Diferenciales</v>
      </c>
      <c r="M2062" s="545">
        <f>IFERROR(VLOOKUP(L2062,'Precios Equipos'!$C$11:$F$208,3,0),0)</f>
        <v>33</v>
      </c>
      <c r="O2062" s="468"/>
    </row>
    <row r="2063" spans="1:17" ht="16.5" thickBot="1" x14ac:dyDescent="0.3">
      <c r="B2063" s="493"/>
      <c r="C2063" s="526"/>
      <c r="D2063" s="620" t="s">
        <v>70</v>
      </c>
      <c r="F2063" s="495"/>
      <c r="G2063" s="561" t="str">
        <f>IFERROR(VLOOKUP(D2063,'Precios Equipos'!$C$1:$F$5052,3,0),"")</f>
        <v/>
      </c>
      <c r="H2063" s="561" t="str">
        <f t="shared" si="209"/>
        <v/>
      </c>
      <c r="I2063" s="477"/>
      <c r="K2063" s="539"/>
      <c r="L2063" s="544" t="str">
        <f>+'Precios Equipos'!C204</f>
        <v>Diseño Ingenieria Tableros Adosados</v>
      </c>
      <c r="M2063" s="545">
        <f>IFERROR(VLOOKUP(L2063,'Precios Equipos'!$C$11:$F$208,3,0),0)</f>
        <v>33</v>
      </c>
      <c r="O2063" s="468"/>
      <c r="P2063" s="501"/>
    </row>
    <row r="2064" spans="1:17" ht="16.5" thickBot="1" x14ac:dyDescent="0.3">
      <c r="B2064" s="493"/>
      <c r="C2064" s="526">
        <v>1</v>
      </c>
      <c r="D2064" s="494" t="str">
        <f>+'Precios Equipos'!C20</f>
        <v>ITM 3x32A, Caja Moldeada (22.4-32)A, 25kA en 380VAC, XT1C, ABB</v>
      </c>
      <c r="F2064" s="497"/>
      <c r="G2064" s="561">
        <f>IFERROR(VLOOKUP(D2064,'Precios Equipos'!$C$1:$F$5052,3,0),"")</f>
        <v>16</v>
      </c>
      <c r="H2064" s="561">
        <f t="shared" si="209"/>
        <v>16</v>
      </c>
      <c r="I2064" s="1087">
        <f>SUM(H2064:H2069)</f>
        <v>581</v>
      </c>
      <c r="J2064" s="1088">
        <f>+I2064/H2078</f>
        <v>0.47197400487408608</v>
      </c>
      <c r="K2064" s="539"/>
      <c r="L2064" s="546" t="s">
        <v>89</v>
      </c>
      <c r="M2064" s="560">
        <f>SUM(M2059:M2063)</f>
        <v>126</v>
      </c>
      <c r="O2064" s="468"/>
      <c r="P2064" s="501"/>
      <c r="Q2064" s="465">
        <f>+C2064*$C$2058</f>
        <v>3</v>
      </c>
    </row>
    <row r="2065" spans="2:17" x14ac:dyDescent="0.25">
      <c r="B2065" s="493"/>
      <c r="C2065" s="526"/>
      <c r="D2065" s="494"/>
      <c r="F2065" s="497"/>
      <c r="G2065" s="561" t="str">
        <f>IFERROR(VLOOKUP(D2065,'Precios Equipos'!$C$1:$F$5052,3,0),"")</f>
        <v/>
      </c>
      <c r="H2065" s="561" t="str">
        <f t="shared" si="209"/>
        <v/>
      </c>
      <c r="I2065" s="1087"/>
      <c r="J2065" s="1088"/>
      <c r="K2065" s="539"/>
      <c r="M2065" s="470"/>
      <c r="O2065" s="468"/>
      <c r="P2065" s="501"/>
    </row>
    <row r="2066" spans="2:17" x14ac:dyDescent="0.25">
      <c r="B2066" s="493"/>
      <c r="C2066" s="526"/>
      <c r="D2066" s="620" t="s">
        <v>71</v>
      </c>
      <c r="F2066" s="497"/>
      <c r="G2066" s="561" t="str">
        <f>IFERROR(VLOOKUP(D2066,'Precios Equipos'!$C$1:$F$5052,3,0),"")</f>
        <v/>
      </c>
      <c r="H2066" s="561" t="str">
        <f t="shared" si="209"/>
        <v/>
      </c>
      <c r="I2066" s="1087"/>
      <c r="J2066" s="1088"/>
      <c r="K2066" s="539"/>
      <c r="M2066" s="470"/>
      <c r="O2066" s="468"/>
    </row>
    <row r="2067" spans="2:17" x14ac:dyDescent="0.25">
      <c r="B2067" s="493"/>
      <c r="C2067" s="526">
        <v>3</v>
      </c>
      <c r="D2067" s="494" t="str">
        <f>+'Precios Equipos'!C15</f>
        <v>ITM 2x32A, Caja Moldeada, 50kA en 220VAC, A1N, ABB</v>
      </c>
      <c r="F2067" s="497"/>
      <c r="G2067" s="561">
        <f>IFERROR(VLOOKUP(D2067,'Precios Equipos'!$C$1:$F$5052,3,0),"")</f>
        <v>88</v>
      </c>
      <c r="H2067" s="561">
        <f t="shared" si="209"/>
        <v>264</v>
      </c>
      <c r="I2067" s="1087"/>
      <c r="J2067" s="1088"/>
      <c r="K2067" s="539"/>
      <c r="L2067" s="489"/>
      <c r="M2067" s="499"/>
      <c r="O2067" s="468"/>
      <c r="Q2067" s="465">
        <f>+C2067*$C$2058</f>
        <v>9</v>
      </c>
    </row>
    <row r="2068" spans="2:17" x14ac:dyDescent="0.25">
      <c r="B2068" s="493"/>
      <c r="C2068" s="526">
        <v>1</v>
      </c>
      <c r="D2068" s="494" t="str">
        <f>+'Precios Equipos'!C50</f>
        <v>Interruptor Riel Din 2x25A. S202 20kA en 220VAC, ABB</v>
      </c>
      <c r="F2068" s="495"/>
      <c r="G2068" s="561">
        <f>IFERROR(VLOOKUP(D2068,'Precios Equipos'!$C$1:$F$5052,3,0),"")</f>
        <v>263</v>
      </c>
      <c r="H2068" s="561">
        <f t="shared" si="209"/>
        <v>263</v>
      </c>
      <c r="I2068" s="1087"/>
      <c r="J2068" s="1088"/>
      <c r="K2068" s="539"/>
      <c r="L2068" s="489"/>
      <c r="M2068" s="499"/>
      <c r="O2068" s="468"/>
      <c r="Q2068" s="465">
        <f>+C2068*$C$2058</f>
        <v>3</v>
      </c>
    </row>
    <row r="2069" spans="2:17" x14ac:dyDescent="0.25">
      <c r="B2069" s="493"/>
      <c r="C2069" s="526">
        <v>1</v>
      </c>
      <c r="D2069" s="494" t="str">
        <f>+'Precios Equipos'!$C$63</f>
        <v>Protector de sobretension SPD AC 3P+N, 230/400V, 1.5kV, 40kA</v>
      </c>
      <c r="F2069" s="495"/>
      <c r="G2069" s="561">
        <f>IFERROR(VLOOKUP(D2069,'Precios Equipos'!$C$1:$F$5052,3,0),"")</f>
        <v>38</v>
      </c>
      <c r="H2069" s="561">
        <f t="shared" si="209"/>
        <v>38</v>
      </c>
      <c r="I2069" s="1087"/>
      <c r="J2069" s="1088"/>
      <c r="K2069" s="539"/>
      <c r="M2069" s="470"/>
      <c r="O2069" s="468"/>
      <c r="Q2069" s="465">
        <f>+C2069*$C$2058</f>
        <v>3</v>
      </c>
    </row>
    <row r="2070" spans="2:17" x14ac:dyDescent="0.25">
      <c r="B2070" s="493"/>
      <c r="C2070" s="526"/>
      <c r="D2070" s="494"/>
      <c r="F2070" s="495"/>
      <c r="G2070" s="561" t="str">
        <f>IFERROR(VLOOKUP(D2070,'Precios Equipos'!$C$1:$F$5052,3,0),"")</f>
        <v/>
      </c>
      <c r="H2070" s="561" t="str">
        <f t="shared" si="209"/>
        <v/>
      </c>
      <c r="I2070" s="477"/>
      <c r="K2070" s="539"/>
      <c r="M2070" s="470"/>
      <c r="O2070" s="468"/>
    </row>
    <row r="2071" spans="2:17" x14ac:dyDescent="0.25">
      <c r="B2071" s="493"/>
      <c r="C2071" s="526"/>
      <c r="D2071" s="620" t="s">
        <v>737</v>
      </c>
      <c r="F2071" s="495"/>
      <c r="G2071" s="561" t="str">
        <f>IFERROR(VLOOKUP(D2071,'Precios Equipos'!$C$1:$F$5052,3,0),"")</f>
        <v/>
      </c>
      <c r="H2071" s="561" t="str">
        <f t="shared" si="209"/>
        <v/>
      </c>
      <c r="I2071" s="477"/>
      <c r="K2071" s="539"/>
      <c r="M2071" s="470"/>
      <c r="O2071" s="468"/>
    </row>
    <row r="2072" spans="2:17" x14ac:dyDescent="0.25">
      <c r="B2072" s="493"/>
      <c r="C2072" s="526">
        <v>3</v>
      </c>
      <c r="D2072" s="494" t="str">
        <f>+'Precios Equipos'!C48</f>
        <v>Interruptor Riel Din 2x04A. S200 20kA en 230V en 250VAC, ABB</v>
      </c>
      <c r="F2072" s="495"/>
      <c r="G2072" s="561">
        <f>IFERROR(VLOOKUP(D2072,'Precios Equipos'!$C$1:$F$5052,3,0),"")</f>
        <v>162</v>
      </c>
      <c r="H2072" s="561">
        <f t="shared" si="209"/>
        <v>486</v>
      </c>
      <c r="I2072" s="477"/>
      <c r="K2072" s="539"/>
      <c r="M2072" s="470"/>
      <c r="O2072" s="468"/>
      <c r="Q2072" s="465">
        <f>+C2072*$C$2058</f>
        <v>9</v>
      </c>
    </row>
    <row r="2073" spans="2:17" x14ac:dyDescent="0.25">
      <c r="B2073" s="493"/>
      <c r="C2073" s="526"/>
      <c r="D2073" s="494"/>
      <c r="F2073" s="495"/>
      <c r="G2073" s="561" t="str">
        <f>IFERROR(VLOOKUP(D2073,'Precios Equipos'!$C$1:$F$5052,3,0),"")</f>
        <v/>
      </c>
      <c r="H2073" s="561" t="str">
        <f t="shared" si="209"/>
        <v/>
      </c>
      <c r="I2073" s="477"/>
      <c r="K2073" s="539"/>
      <c r="M2073" s="470"/>
      <c r="O2073" s="468"/>
    </row>
    <row r="2074" spans="2:17" x14ac:dyDescent="0.25">
      <c r="B2074" s="493"/>
      <c r="C2074" s="526"/>
      <c r="D2074" s="620" t="s">
        <v>87</v>
      </c>
      <c r="F2074" s="495"/>
      <c r="G2074" s="561"/>
      <c r="H2074" s="561">
        <f>M2064</f>
        <v>126</v>
      </c>
      <c r="I2074" s="561">
        <f>SUM(H2074)</f>
        <v>126</v>
      </c>
      <c r="J2074" s="924">
        <f>+I2074/H2078</f>
        <v>0.10235580828594638</v>
      </c>
      <c r="K2074" s="539"/>
      <c r="M2074" s="470"/>
      <c r="O2074" s="468"/>
    </row>
    <row r="2075" spans="2:17" x14ac:dyDescent="0.25">
      <c r="B2075" s="493"/>
      <c r="C2075" s="526">
        <v>1</v>
      </c>
      <c r="D2075" s="494" t="s">
        <v>49</v>
      </c>
      <c r="F2075" s="495"/>
      <c r="G2075" s="561"/>
      <c r="H2075" s="561">
        <f>$O$153</f>
        <v>0</v>
      </c>
      <c r="I2075" s="1087">
        <f>SUM(H2075:H2076)</f>
        <v>0</v>
      </c>
      <c r="J2075" s="1088">
        <f>+I2075/H2078</f>
        <v>0</v>
      </c>
      <c r="K2075" s="539"/>
      <c r="M2075" s="470"/>
      <c r="O2075" s="468"/>
    </row>
    <row r="2076" spans="2:17" x14ac:dyDescent="0.25">
      <c r="B2076" s="493"/>
      <c r="C2076" s="526">
        <v>1</v>
      </c>
      <c r="D2076" s="494" t="s">
        <v>51</v>
      </c>
      <c r="F2076" s="495"/>
      <c r="G2076" s="561"/>
      <c r="H2076" s="561">
        <f>$O$154</f>
        <v>0</v>
      </c>
      <c r="I2076" s="1087"/>
      <c r="J2076" s="1088"/>
      <c r="K2076" s="539"/>
      <c r="M2076" s="470"/>
      <c r="O2076" s="468"/>
    </row>
    <row r="2077" spans="2:17" x14ac:dyDescent="0.25">
      <c r="B2077" s="493"/>
      <c r="C2077" s="526">
        <v>1</v>
      </c>
      <c r="D2077" s="467" t="s">
        <v>20</v>
      </c>
      <c r="F2077" s="495"/>
      <c r="G2077" s="561"/>
      <c r="H2077" s="561"/>
      <c r="I2077" s="477"/>
      <c r="J2077" s="973"/>
      <c r="K2077" s="539"/>
      <c r="O2077" s="468"/>
    </row>
    <row r="2078" spans="2:17" x14ac:dyDescent="0.25">
      <c r="B2078" s="493"/>
      <c r="C2078" s="526">
        <v>1</v>
      </c>
      <c r="D2078" s="467" t="s">
        <v>52</v>
      </c>
      <c r="F2078" s="495"/>
      <c r="G2078" s="553" t="s">
        <v>97</v>
      </c>
      <c r="H2078" s="561">
        <f>SUM(H2061:H2077)</f>
        <v>1231</v>
      </c>
      <c r="I2078" s="477"/>
      <c r="J2078" s="973"/>
      <c r="K2078" s="539"/>
      <c r="O2078" s="468"/>
    </row>
    <row r="2079" spans="2:17" x14ac:dyDescent="0.25">
      <c r="B2079" s="493"/>
      <c r="C2079" s="526">
        <v>1</v>
      </c>
      <c r="D2079" s="467" t="s">
        <v>21</v>
      </c>
      <c r="F2079" s="495"/>
      <c r="G2079" s="553" t="s">
        <v>105</v>
      </c>
      <c r="H2079" s="561">
        <f>H2078*$M$155</f>
        <v>246.20000000000002</v>
      </c>
      <c r="I2079" s="477"/>
      <c r="J2079" s="973"/>
      <c r="K2079" s="539"/>
      <c r="O2079" s="468"/>
    </row>
    <row r="2080" spans="2:17" x14ac:dyDescent="0.25">
      <c r="B2080" s="521"/>
      <c r="C2080" s="527" t="s">
        <v>17</v>
      </c>
      <c r="D2080" s="522" t="s">
        <v>48</v>
      </c>
      <c r="E2080" s="523"/>
      <c r="F2080" s="524"/>
      <c r="G2080" s="553" t="s">
        <v>452</v>
      </c>
      <c r="H2080" s="561">
        <f>H2078+H2079</f>
        <v>1477.2</v>
      </c>
      <c r="I2080" s="477"/>
      <c r="J2080" s="973"/>
      <c r="K2080" s="539"/>
      <c r="O2080" s="468"/>
    </row>
    <row r="2082" spans="1:17" x14ac:dyDescent="0.25">
      <c r="B2082" s="514" t="s">
        <v>6</v>
      </c>
      <c r="C2082" s="515" t="s">
        <v>0</v>
      </c>
      <c r="D2082" s="606" t="s">
        <v>8</v>
      </c>
      <c r="E2082" s="516" t="s">
        <v>4</v>
      </c>
      <c r="F2082" s="516" t="s">
        <v>3</v>
      </c>
      <c r="G2082" s="477"/>
      <c r="H2082" s="477"/>
      <c r="I2082" s="477"/>
      <c r="K2082" s="539"/>
      <c r="O2082" s="468"/>
    </row>
    <row r="2083" spans="1:17" x14ac:dyDescent="0.25">
      <c r="A2083" s="463">
        <v>152</v>
      </c>
      <c r="B2083" s="1077">
        <f>B115</f>
        <v>6.139999999999997</v>
      </c>
      <c r="C2083" s="1077">
        <f>C115</f>
        <v>1</v>
      </c>
      <c r="D2083" s="1077" t="str">
        <f>D115</f>
        <v>TABLERO TFV-AC - TIPO 12</v>
      </c>
      <c r="E2083" s="518">
        <f>H2106</f>
        <v>2474.4</v>
      </c>
      <c r="F2083" s="518">
        <f>+E2083*C2083</f>
        <v>2474.4</v>
      </c>
      <c r="G2083" s="553" t="s">
        <v>450</v>
      </c>
      <c r="H2083" s="553" t="s">
        <v>1</v>
      </c>
      <c r="I2083" s="477"/>
      <c r="K2083" s="539"/>
      <c r="O2083" s="468"/>
    </row>
    <row r="2084" spans="1:17" x14ac:dyDescent="0.25">
      <c r="B2084" s="1078"/>
      <c r="C2084" s="1078"/>
      <c r="D2084" s="1078"/>
      <c r="E2084" s="520" t="s">
        <v>50</v>
      </c>
      <c r="F2084" s="520" t="s">
        <v>50</v>
      </c>
      <c r="G2084" s="553" t="s">
        <v>50</v>
      </c>
      <c r="H2084" s="553" t="s">
        <v>50</v>
      </c>
      <c r="I2084" s="477"/>
      <c r="K2084" s="539"/>
      <c r="O2084" s="468"/>
    </row>
    <row r="2085" spans="1:17" ht="16.5" thickBot="1" x14ac:dyDescent="0.3">
      <c r="B2085" s="493"/>
      <c r="C2085" s="526"/>
      <c r="D2085" s="463"/>
      <c r="E2085" s="491"/>
      <c r="F2085" s="492"/>
      <c r="G2085" s="561" t="str">
        <f>IFERROR(VLOOKUP(D2085,'Precios Equipos'!$C$1:$F$5052,3,0),"")</f>
        <v/>
      </c>
      <c r="H2085" s="561" t="str">
        <f t="shared" ref="H2085:H2099" si="210">IFERROR(G2085*C2085,"")</f>
        <v/>
      </c>
      <c r="I2085" s="477"/>
      <c r="K2085" s="539"/>
      <c r="M2085" s="470"/>
      <c r="O2085" s="468"/>
    </row>
    <row r="2086" spans="1:17" ht="16.5" thickBot="1" x14ac:dyDescent="0.3">
      <c r="B2086" s="493"/>
      <c r="C2086" s="526">
        <v>1</v>
      </c>
      <c r="D2086" s="500" t="str">
        <f>+'Precios Equipos'!$C$182</f>
        <v>Gabinete Adosado 900x700x200mm. (alto x ancho x profundidad) dimensiones aproximadas</v>
      </c>
      <c r="F2086" s="495"/>
      <c r="G2086" s="561">
        <f>IFERROR(VLOOKUP(D2086,'Precios Equipos'!$C$1:$F$5052,3,0),"")</f>
        <v>38</v>
      </c>
      <c r="H2086" s="561">
        <f t="shared" si="210"/>
        <v>38</v>
      </c>
      <c r="I2086" s="561">
        <f>SUM(H2086)</f>
        <v>38</v>
      </c>
      <c r="J2086" s="924">
        <f>+I2086/H2104</f>
        <v>1.842870999030068E-2</v>
      </c>
      <c r="K2086" s="539"/>
      <c r="L2086" s="540" t="s">
        <v>451</v>
      </c>
      <c r="M2086" s="541"/>
      <c r="O2086" s="468"/>
      <c r="Q2086" s="465">
        <f>+C2086*$C$2083</f>
        <v>1</v>
      </c>
    </row>
    <row r="2087" spans="1:17" ht="16.5" thickBot="1" x14ac:dyDescent="0.3">
      <c r="B2087" s="493"/>
      <c r="C2087" s="526"/>
      <c r="D2087" s="494"/>
      <c r="F2087" s="495"/>
      <c r="G2087" s="561" t="str">
        <f>IFERROR(VLOOKUP(D2087,'Precios Equipos'!$C$1:$F$5052,3,0),"")</f>
        <v/>
      </c>
      <c r="H2087" s="561" t="str">
        <f t="shared" si="210"/>
        <v/>
      </c>
      <c r="I2087" s="477"/>
      <c r="K2087" s="539"/>
      <c r="L2087" s="542" t="s">
        <v>88</v>
      </c>
      <c r="M2087" s="543" t="s">
        <v>85</v>
      </c>
      <c r="O2087" s="468"/>
    </row>
    <row r="2088" spans="1:17" x14ac:dyDescent="0.25">
      <c r="B2088" s="493"/>
      <c r="C2088" s="526"/>
      <c r="D2088" s="620" t="s">
        <v>70</v>
      </c>
      <c r="F2088" s="495"/>
      <c r="G2088" s="561" t="str">
        <f>IFERROR(VLOOKUP(D2088,'Precios Equipos'!$C$1:$F$5052,3,0),"")</f>
        <v/>
      </c>
      <c r="H2088" s="561" t="str">
        <f t="shared" si="210"/>
        <v/>
      </c>
      <c r="I2088" s="477"/>
      <c r="K2088" s="539"/>
      <c r="L2088" s="544" t="str">
        <f>+'Precios Equipos'!C128</f>
        <v>COBRE TABLERO TFV-AC 09.1, 12.1, 14.1</v>
      </c>
      <c r="M2088" s="545">
        <f>IFERROR(VLOOKUP(L2088,'Precios Equipos'!$C$11:$F$208,3,0),0)</f>
        <v>5</v>
      </c>
      <c r="O2088" s="468"/>
      <c r="P2088" s="501"/>
    </row>
    <row r="2089" spans="1:17" x14ac:dyDescent="0.25">
      <c r="B2089" s="493"/>
      <c r="C2089" s="526">
        <v>1</v>
      </c>
      <c r="D2089" s="494" t="str">
        <f>+'Precios Equipos'!C21</f>
        <v>ITM 3x50A, Caja Moldeada (35-50)A, 25kA en 380VAC, XT1C, ABB</v>
      </c>
      <c r="F2089" s="497"/>
      <c r="G2089" s="561">
        <f>IFERROR(VLOOKUP(D2089,'Precios Equipos'!$C$1:$F$5052,3,0),"")</f>
        <v>41</v>
      </c>
      <c r="H2089" s="561">
        <f t="shared" si="210"/>
        <v>41</v>
      </c>
      <c r="I2089" s="1087">
        <f>SUM(H2089:H2095)</f>
        <v>1413</v>
      </c>
      <c r="J2089" s="1088">
        <f>+I2089/H2104</f>
        <v>0.68525703200775945</v>
      </c>
      <c r="K2089" s="539"/>
      <c r="L2089" s="544" t="str">
        <f>+'Precios Equipos'!C132</f>
        <v>CABLEADO 1 DIFERENCIALES, 2P</v>
      </c>
      <c r="M2089" s="545">
        <f>IFERROR(VLOOKUP(L2089,'Precios Equipos'!$C$11:$F$208,3,0),0)</f>
        <v>37</v>
      </c>
      <c r="O2089" s="468"/>
      <c r="P2089" s="501"/>
      <c r="Q2089" s="465">
        <f>+C2089*$C$2083</f>
        <v>1</v>
      </c>
    </row>
    <row r="2090" spans="1:17" x14ac:dyDescent="0.25">
      <c r="B2090" s="493"/>
      <c r="C2090" s="526">
        <v>1</v>
      </c>
      <c r="D2090" s="494" t="str">
        <f>+'Precios Equipos'!C20</f>
        <v>ITM 3x32A, Caja Moldeada (22.4-32)A, 25kA en 380VAC, XT1C, ABB</v>
      </c>
      <c r="F2090" s="497"/>
      <c r="G2090" s="561">
        <f>IFERROR(VLOOKUP(D2090,'Precios Equipos'!$C$1:$F$5052,3,0),"")</f>
        <v>16</v>
      </c>
      <c r="H2090" s="561">
        <f t="shared" si="210"/>
        <v>16</v>
      </c>
      <c r="I2090" s="1087"/>
      <c r="J2090" s="1088"/>
      <c r="K2090" s="539"/>
      <c r="L2090" s="544" t="str">
        <f>+'Precios Equipos'!C140</f>
        <v>Mano de obra 6-10 polos (3-5 ITM)</v>
      </c>
      <c r="M2090" s="545">
        <f>IFERROR(VLOOKUP(L2090,'Precios Equipos'!$C$11:$F$208,3,0),0)</f>
        <v>17</v>
      </c>
      <c r="O2090" s="468"/>
      <c r="P2090" s="501"/>
      <c r="Q2090" s="465">
        <f>+C2090*$C$2083</f>
        <v>1</v>
      </c>
    </row>
    <row r="2091" spans="1:17" x14ac:dyDescent="0.25">
      <c r="B2091" s="493"/>
      <c r="C2091" s="526"/>
      <c r="D2091" s="494"/>
      <c r="F2091" s="497"/>
      <c r="G2091" s="561" t="str">
        <f>IFERROR(VLOOKUP(D2091,'Precios Equipos'!$C$1:$F$5052,3,0),"")</f>
        <v/>
      </c>
      <c r="H2091" s="561" t="str">
        <f t="shared" si="210"/>
        <v/>
      </c>
      <c r="I2091" s="1087"/>
      <c r="J2091" s="1088"/>
      <c r="K2091" s="539"/>
      <c r="L2091" s="544" t="str">
        <f>+'Precios Equipos'!C162</f>
        <v>Mano de obra 1-2 Diferenciales</v>
      </c>
      <c r="M2091" s="545">
        <f>IFERROR(VLOOKUP(L2091,'Precios Equipos'!$C$11:$F$208,3,0),0)</f>
        <v>33</v>
      </c>
      <c r="O2091" s="468"/>
      <c r="P2091" s="501"/>
    </row>
    <row r="2092" spans="1:17" ht="16.5" thickBot="1" x14ac:dyDescent="0.3">
      <c r="B2092" s="493"/>
      <c r="C2092" s="526"/>
      <c r="D2092" s="620" t="s">
        <v>71</v>
      </c>
      <c r="F2092" s="497"/>
      <c r="G2092" s="561" t="str">
        <f>IFERROR(VLOOKUP(D2092,'Precios Equipos'!$C$1:$F$5052,3,0),"")</f>
        <v/>
      </c>
      <c r="H2092" s="561" t="str">
        <f t="shared" si="210"/>
        <v/>
      </c>
      <c r="I2092" s="1087"/>
      <c r="J2092" s="1088"/>
      <c r="K2092" s="539"/>
      <c r="L2092" s="544" t="str">
        <f>+'Precios Equipos'!C204</f>
        <v>Diseño Ingenieria Tableros Adosados</v>
      </c>
      <c r="M2092" s="545">
        <f>IFERROR(VLOOKUP(L2092,'Precios Equipos'!$C$11:$F$208,3,0),0)</f>
        <v>33</v>
      </c>
      <c r="O2092" s="468"/>
    </row>
    <row r="2093" spans="1:17" ht="16.5" thickBot="1" x14ac:dyDescent="0.3">
      <c r="B2093" s="493"/>
      <c r="C2093" s="526">
        <v>9</v>
      </c>
      <c r="D2093" s="494" t="str">
        <f>+'Precios Equipos'!C15</f>
        <v>ITM 2x32A, Caja Moldeada, 50kA en 220VAC, A1N, ABB</v>
      </c>
      <c r="F2093" s="497"/>
      <c r="G2093" s="561">
        <f>IFERROR(VLOOKUP(D2093,'Precios Equipos'!$C$1:$F$5052,3,0),"")</f>
        <v>88</v>
      </c>
      <c r="H2093" s="561">
        <f t="shared" si="210"/>
        <v>792</v>
      </c>
      <c r="I2093" s="1087"/>
      <c r="J2093" s="1088"/>
      <c r="K2093" s="539"/>
      <c r="L2093" s="546" t="s">
        <v>89</v>
      </c>
      <c r="M2093" s="560">
        <f>SUM(M2088:M2092)</f>
        <v>125</v>
      </c>
      <c r="O2093" s="468"/>
      <c r="Q2093" s="465">
        <f>+C2093*$C$2083</f>
        <v>9</v>
      </c>
    </row>
    <row r="2094" spans="1:17" x14ac:dyDescent="0.25">
      <c r="B2094" s="493"/>
      <c r="C2094" s="526">
        <v>2</v>
      </c>
      <c r="D2094" s="494" t="str">
        <f>+'Precios Equipos'!C50</f>
        <v>Interruptor Riel Din 2x25A. S202 20kA en 220VAC, ABB</v>
      </c>
      <c r="F2094" s="495"/>
      <c r="G2094" s="561">
        <f>IFERROR(VLOOKUP(D2094,'Precios Equipos'!$C$1:$F$5052,3,0),"")</f>
        <v>263</v>
      </c>
      <c r="H2094" s="561">
        <f t="shared" si="210"/>
        <v>526</v>
      </c>
      <c r="I2094" s="1087"/>
      <c r="J2094" s="1088"/>
      <c r="K2094" s="539"/>
      <c r="O2094" s="468"/>
      <c r="Q2094" s="465">
        <f>+C2094*$C$2083</f>
        <v>2</v>
      </c>
    </row>
    <row r="2095" spans="1:17" x14ac:dyDescent="0.25">
      <c r="B2095" s="493"/>
      <c r="C2095" s="526">
        <v>1</v>
      </c>
      <c r="D2095" s="494" t="str">
        <f>+'Precios Equipos'!$C$63</f>
        <v>Protector de sobretension SPD AC 3P+N, 230/400V, 1.5kV, 40kA</v>
      </c>
      <c r="F2095" s="495"/>
      <c r="G2095" s="561">
        <f>IFERROR(VLOOKUP(D2095,'Precios Equipos'!$C$1:$F$5052,3,0),"")</f>
        <v>38</v>
      </c>
      <c r="H2095" s="561">
        <f t="shared" si="210"/>
        <v>38</v>
      </c>
      <c r="I2095" s="1087"/>
      <c r="J2095" s="1088"/>
      <c r="K2095" s="539"/>
      <c r="O2095" s="468"/>
      <c r="Q2095" s="465">
        <f>+C2095*$C$2083</f>
        <v>1</v>
      </c>
    </row>
    <row r="2096" spans="1:17" x14ac:dyDescent="0.25">
      <c r="B2096" s="493"/>
      <c r="C2096" s="526"/>
      <c r="D2096" s="494"/>
      <c r="F2096" s="495"/>
      <c r="G2096" s="561" t="str">
        <f>IFERROR(VLOOKUP(D2096,'Precios Equipos'!$C$1:$F$5052,3,0),"")</f>
        <v/>
      </c>
      <c r="H2096" s="561" t="str">
        <f t="shared" si="210"/>
        <v/>
      </c>
      <c r="I2096" s="477"/>
      <c r="K2096" s="539"/>
      <c r="M2096" s="470"/>
      <c r="O2096" s="468"/>
    </row>
    <row r="2097" spans="1:17" x14ac:dyDescent="0.25">
      <c r="B2097" s="493"/>
      <c r="C2097" s="526"/>
      <c r="D2097" s="620" t="s">
        <v>737</v>
      </c>
      <c r="F2097" s="495"/>
      <c r="G2097" s="561" t="str">
        <f>IFERROR(VLOOKUP(D2097,'Precios Equipos'!$C$1:$F$5052,3,0),"")</f>
        <v/>
      </c>
      <c r="H2097" s="561" t="str">
        <f t="shared" si="210"/>
        <v/>
      </c>
      <c r="I2097" s="477"/>
      <c r="K2097" s="539"/>
      <c r="M2097" s="470"/>
      <c r="O2097" s="468"/>
    </row>
    <row r="2098" spans="1:17" x14ac:dyDescent="0.25">
      <c r="B2098" s="493"/>
      <c r="C2098" s="526">
        <v>3</v>
      </c>
      <c r="D2098" s="494" t="str">
        <f>+'Precios Equipos'!C48</f>
        <v>Interruptor Riel Din 2x04A. S200 20kA en 230V en 250VAC, ABB</v>
      </c>
      <c r="F2098" s="495"/>
      <c r="G2098" s="561">
        <f>IFERROR(VLOOKUP(D2098,'Precios Equipos'!$C$1:$F$5052,3,0),"")</f>
        <v>162</v>
      </c>
      <c r="H2098" s="561">
        <f t="shared" si="210"/>
        <v>486</v>
      </c>
      <c r="I2098" s="477"/>
      <c r="K2098" s="539"/>
      <c r="M2098" s="470"/>
      <c r="O2098" s="468"/>
      <c r="Q2098" s="465">
        <f>+C2098*$C$2083</f>
        <v>3</v>
      </c>
    </row>
    <row r="2099" spans="1:17" x14ac:dyDescent="0.25">
      <c r="B2099" s="493"/>
      <c r="C2099" s="526"/>
      <c r="D2099" s="494"/>
      <c r="F2099" s="495"/>
      <c r="G2099" s="561" t="str">
        <f>IFERROR(VLOOKUP(D2099,'Precios Equipos'!$C$1:$F$5052,3,0),"")</f>
        <v/>
      </c>
      <c r="H2099" s="561" t="str">
        <f t="shared" si="210"/>
        <v/>
      </c>
      <c r="I2099" s="477"/>
      <c r="K2099" s="539"/>
      <c r="M2099" s="470"/>
      <c r="O2099" s="468"/>
    </row>
    <row r="2100" spans="1:17" x14ac:dyDescent="0.25">
      <c r="B2100" s="493"/>
      <c r="C2100" s="526"/>
      <c r="D2100" s="620" t="s">
        <v>87</v>
      </c>
      <c r="F2100" s="495"/>
      <c r="G2100" s="561"/>
      <c r="H2100" s="561">
        <f>M2093</f>
        <v>125</v>
      </c>
      <c r="I2100" s="561">
        <f>SUM(H2100)</f>
        <v>125</v>
      </c>
      <c r="J2100" s="924">
        <f>+I2100/H2104</f>
        <v>6.0620756547041708E-2</v>
      </c>
      <c r="K2100" s="539"/>
      <c r="M2100" s="470"/>
      <c r="O2100" s="468"/>
    </row>
    <row r="2101" spans="1:17" x14ac:dyDescent="0.25">
      <c r="B2101" s="493"/>
      <c r="C2101" s="526">
        <v>1</v>
      </c>
      <c r="D2101" s="494" t="s">
        <v>49</v>
      </c>
      <c r="F2101" s="495"/>
      <c r="G2101" s="561"/>
      <c r="H2101" s="561">
        <f>$O$153</f>
        <v>0</v>
      </c>
      <c r="I2101" s="1087">
        <f>SUM(H2101:H2102)</f>
        <v>0</v>
      </c>
      <c r="J2101" s="1088">
        <f>+I2101/H2104</f>
        <v>0</v>
      </c>
      <c r="K2101" s="539"/>
      <c r="M2101" s="470"/>
      <c r="O2101" s="468"/>
    </row>
    <row r="2102" spans="1:17" x14ac:dyDescent="0.25">
      <c r="B2102" s="493"/>
      <c r="C2102" s="526">
        <v>1</v>
      </c>
      <c r="D2102" s="494" t="s">
        <v>51</v>
      </c>
      <c r="F2102" s="495"/>
      <c r="G2102" s="561"/>
      <c r="H2102" s="561">
        <f>$O$154</f>
        <v>0</v>
      </c>
      <c r="I2102" s="1087"/>
      <c r="J2102" s="1088"/>
      <c r="K2102" s="539"/>
      <c r="M2102" s="470"/>
      <c r="O2102" s="468"/>
    </row>
    <row r="2103" spans="1:17" x14ac:dyDescent="0.25">
      <c r="B2103" s="493"/>
      <c r="C2103" s="526">
        <v>1</v>
      </c>
      <c r="D2103" s="467" t="s">
        <v>20</v>
      </c>
      <c r="F2103" s="495"/>
      <c r="G2103" s="561"/>
      <c r="H2103" s="561"/>
      <c r="I2103" s="477"/>
      <c r="J2103" s="973"/>
      <c r="K2103" s="539"/>
      <c r="M2103" s="470"/>
      <c r="O2103" s="468"/>
    </row>
    <row r="2104" spans="1:17" x14ac:dyDescent="0.25">
      <c r="B2104" s="493"/>
      <c r="C2104" s="526">
        <v>1</v>
      </c>
      <c r="D2104" s="467" t="s">
        <v>52</v>
      </c>
      <c r="F2104" s="495"/>
      <c r="G2104" s="553" t="s">
        <v>97</v>
      </c>
      <c r="H2104" s="561">
        <f>SUM(H2086:H2103)</f>
        <v>2062</v>
      </c>
      <c r="I2104" s="477"/>
      <c r="J2104" s="973"/>
      <c r="K2104" s="539"/>
      <c r="M2104" s="470"/>
      <c r="O2104" s="468"/>
    </row>
    <row r="2105" spans="1:17" x14ac:dyDescent="0.25">
      <c r="B2105" s="493"/>
      <c r="C2105" s="526">
        <v>1</v>
      </c>
      <c r="D2105" s="467" t="s">
        <v>21</v>
      </c>
      <c r="F2105" s="495"/>
      <c r="G2105" s="553" t="s">
        <v>105</v>
      </c>
      <c r="H2105" s="561">
        <f>H2104*$M$155</f>
        <v>412.40000000000003</v>
      </c>
      <c r="I2105" s="477"/>
      <c r="J2105" s="973"/>
      <c r="K2105" s="539"/>
      <c r="O2105" s="468"/>
    </row>
    <row r="2106" spans="1:17" x14ac:dyDescent="0.25">
      <c r="B2106" s="521"/>
      <c r="C2106" s="527" t="s">
        <v>17</v>
      </c>
      <c r="D2106" s="522" t="s">
        <v>48</v>
      </c>
      <c r="E2106" s="523"/>
      <c r="F2106" s="524"/>
      <c r="G2106" s="553" t="s">
        <v>452</v>
      </c>
      <c r="H2106" s="561">
        <f>H2104+H2105</f>
        <v>2474.4</v>
      </c>
      <c r="I2106" s="477"/>
      <c r="J2106" s="973"/>
      <c r="K2106" s="539"/>
      <c r="O2106" s="468"/>
    </row>
    <row r="2108" spans="1:17" x14ac:dyDescent="0.25">
      <c r="B2108" s="514" t="s">
        <v>6</v>
      </c>
      <c r="C2108" s="515" t="s">
        <v>0</v>
      </c>
      <c r="D2108" s="606" t="s">
        <v>8</v>
      </c>
      <c r="E2108" s="516" t="s">
        <v>4</v>
      </c>
      <c r="F2108" s="516" t="s">
        <v>3</v>
      </c>
      <c r="G2108" s="477"/>
      <c r="H2108" s="477"/>
      <c r="I2108" s="477"/>
      <c r="K2108" s="539"/>
      <c r="O2108" s="468"/>
    </row>
    <row r="2109" spans="1:17" x14ac:dyDescent="0.25">
      <c r="A2109" s="463">
        <v>152</v>
      </c>
      <c r="B2109" s="1077">
        <f>B116</f>
        <v>6.1499999999999968</v>
      </c>
      <c r="C2109" s="1077">
        <f>C116</f>
        <v>4</v>
      </c>
      <c r="D2109" s="1077" t="str">
        <f>D116</f>
        <v>TABLERO TFV-AC - TIPO 12.1</v>
      </c>
      <c r="E2109" s="518">
        <f>H2131</f>
        <v>2443.1999999999998</v>
      </c>
      <c r="F2109" s="518">
        <f>+E2109*C2109</f>
        <v>9772.7999999999993</v>
      </c>
      <c r="G2109" s="553" t="s">
        <v>450</v>
      </c>
      <c r="H2109" s="553" t="s">
        <v>1</v>
      </c>
      <c r="I2109" s="477"/>
      <c r="K2109" s="539"/>
      <c r="O2109" s="468"/>
    </row>
    <row r="2110" spans="1:17" ht="16.5" thickBot="1" x14ac:dyDescent="0.3">
      <c r="B2110" s="1078"/>
      <c r="C2110" s="1078"/>
      <c r="D2110" s="1078"/>
      <c r="E2110" s="520" t="s">
        <v>50</v>
      </c>
      <c r="F2110" s="520" t="s">
        <v>50</v>
      </c>
      <c r="G2110" s="553" t="s">
        <v>50</v>
      </c>
      <c r="H2110" s="553" t="s">
        <v>50</v>
      </c>
      <c r="I2110" s="477"/>
      <c r="K2110" s="539"/>
      <c r="O2110" s="468"/>
    </row>
    <row r="2111" spans="1:17" ht="16.5" thickBot="1" x14ac:dyDescent="0.3">
      <c r="B2111" s="493"/>
      <c r="C2111" s="526"/>
      <c r="D2111" s="463"/>
      <c r="E2111" s="491"/>
      <c r="F2111" s="492"/>
      <c r="G2111" s="561" t="str">
        <f>IFERROR(VLOOKUP(D2111,'Precios Equipos'!$C$1:$F$5052,3,0),"")</f>
        <v/>
      </c>
      <c r="H2111" s="561" t="str">
        <f t="shared" ref="H2111:H2124" si="211">IFERROR(G2111*C2111,"")</f>
        <v/>
      </c>
      <c r="I2111" s="477"/>
      <c r="K2111" s="539"/>
      <c r="L2111" s="540" t="s">
        <v>451</v>
      </c>
      <c r="M2111" s="541"/>
      <c r="O2111" s="468"/>
    </row>
    <row r="2112" spans="1:17" ht="16.5" thickBot="1" x14ac:dyDescent="0.3">
      <c r="B2112" s="493"/>
      <c r="C2112" s="526">
        <v>1</v>
      </c>
      <c r="D2112" s="500" t="str">
        <f>+'Precios Equipos'!$C$182</f>
        <v>Gabinete Adosado 900x700x200mm. (alto x ancho x profundidad) dimensiones aproximadas</v>
      </c>
      <c r="F2112" s="495"/>
      <c r="G2112" s="561">
        <f>IFERROR(VLOOKUP(D2112,'Precios Equipos'!$C$1:$F$5052,3,0),"")</f>
        <v>38</v>
      </c>
      <c r="H2112" s="561">
        <f t="shared" si="211"/>
        <v>38</v>
      </c>
      <c r="I2112" s="561">
        <f>SUM(H2112)</f>
        <v>38</v>
      </c>
      <c r="J2112" s="924">
        <f>+I2112/H2129</f>
        <v>1.8664047151277015E-2</v>
      </c>
      <c r="K2112" s="539"/>
      <c r="L2112" s="542" t="s">
        <v>88</v>
      </c>
      <c r="M2112" s="543" t="s">
        <v>85</v>
      </c>
      <c r="O2112" s="468"/>
      <c r="Q2112" s="465">
        <f>+C2112*$C$2109</f>
        <v>4</v>
      </c>
    </row>
    <row r="2113" spans="2:17" x14ac:dyDescent="0.25">
      <c r="B2113" s="493"/>
      <c r="C2113" s="526"/>
      <c r="D2113" s="494"/>
      <c r="F2113" s="495"/>
      <c r="G2113" s="561" t="str">
        <f>IFERROR(VLOOKUP(D2113,'Precios Equipos'!$C$1:$F$5052,3,0),"")</f>
        <v/>
      </c>
      <c r="H2113" s="561" t="str">
        <f t="shared" si="211"/>
        <v/>
      </c>
      <c r="I2113" s="477"/>
      <c r="K2113" s="539"/>
      <c r="L2113" s="544" t="str">
        <f>+'Precios Equipos'!C128</f>
        <v>COBRE TABLERO TFV-AC 09.1, 12.1, 14.1</v>
      </c>
      <c r="M2113" s="545">
        <f>IFERROR(VLOOKUP(L2113,'Precios Equipos'!$C$11:$F$208,3,0),0)</f>
        <v>5</v>
      </c>
      <c r="O2113" s="468"/>
    </row>
    <row r="2114" spans="2:17" x14ac:dyDescent="0.25">
      <c r="B2114" s="493"/>
      <c r="C2114" s="526"/>
      <c r="D2114" s="620" t="s">
        <v>70</v>
      </c>
      <c r="F2114" s="495"/>
      <c r="G2114" s="561" t="str">
        <f>IFERROR(VLOOKUP(D2114,'Precios Equipos'!$C$1:$F$5052,3,0),"")</f>
        <v/>
      </c>
      <c r="H2114" s="561" t="str">
        <f t="shared" si="211"/>
        <v/>
      </c>
      <c r="I2114" s="477"/>
      <c r="K2114" s="539"/>
      <c r="L2114" s="544" t="str">
        <f>+'Precios Equipos'!C132</f>
        <v>CABLEADO 1 DIFERENCIALES, 2P</v>
      </c>
      <c r="M2114" s="545">
        <f>IFERROR(VLOOKUP(L2114,'Precios Equipos'!$C$11:$F$208,3,0),0)</f>
        <v>37</v>
      </c>
      <c r="O2114" s="468"/>
    </row>
    <row r="2115" spans="2:17" x14ac:dyDescent="0.25">
      <c r="B2115" s="493"/>
      <c r="C2115" s="526">
        <v>2</v>
      </c>
      <c r="D2115" s="494" t="str">
        <f>+'Precios Equipos'!C20</f>
        <v>ITM 3x32A, Caja Moldeada (22.4-32)A, 25kA en 380VAC, XT1C, ABB</v>
      </c>
      <c r="F2115" s="497"/>
      <c r="G2115" s="561">
        <f>IFERROR(VLOOKUP(D2115,'Precios Equipos'!$C$1:$F$5052,3,0),"")</f>
        <v>16</v>
      </c>
      <c r="H2115" s="561">
        <f t="shared" si="211"/>
        <v>32</v>
      </c>
      <c r="I2115" s="1087">
        <f>SUM(H2115:H2123)</f>
        <v>1874</v>
      </c>
      <c r="J2115" s="1088">
        <f>+I2115/H2129</f>
        <v>0.9204322200392927</v>
      </c>
      <c r="K2115" s="539"/>
      <c r="L2115" s="544" t="str">
        <f>+'Precios Equipos'!C141</f>
        <v>Mano de obra 12-16 polos (6-8 ITM)</v>
      </c>
      <c r="M2115" s="545">
        <f>IFERROR(VLOOKUP(L2115,'Precios Equipos'!$C$11:$F$208,3,0),0)</f>
        <v>16</v>
      </c>
      <c r="O2115" s="468"/>
      <c r="Q2115" s="465">
        <f>+C2115*$C$2109</f>
        <v>8</v>
      </c>
    </row>
    <row r="2116" spans="2:17" x14ac:dyDescent="0.25">
      <c r="B2116" s="493"/>
      <c r="C2116" s="526"/>
      <c r="D2116" s="494"/>
      <c r="F2116" s="495"/>
      <c r="G2116" s="561" t="str">
        <f>IFERROR(VLOOKUP(D2116,'Precios Equipos'!$C$1:$F$5052,3,0),"")</f>
        <v/>
      </c>
      <c r="H2116" s="561" t="str">
        <f t="shared" si="211"/>
        <v/>
      </c>
      <c r="I2116" s="1087"/>
      <c r="J2116" s="1088"/>
      <c r="K2116" s="539"/>
      <c r="L2116" s="544" t="str">
        <f>+'Precios Equipos'!C162</f>
        <v>Mano de obra 1-2 Diferenciales</v>
      </c>
      <c r="M2116" s="545">
        <f>IFERROR(VLOOKUP(L2116,'Precios Equipos'!$C$11:$F$208,3,0),0)</f>
        <v>33</v>
      </c>
      <c r="O2116" s="468"/>
    </row>
    <row r="2117" spans="2:17" ht="16.5" thickBot="1" x14ac:dyDescent="0.3">
      <c r="B2117" s="493"/>
      <c r="C2117" s="526"/>
      <c r="D2117" s="620" t="s">
        <v>71</v>
      </c>
      <c r="F2117" s="495"/>
      <c r="G2117" s="561" t="str">
        <f>IFERROR(VLOOKUP(D2117,'Precios Equipos'!$C$1:$F$5052,3,0),"")</f>
        <v/>
      </c>
      <c r="H2117" s="561" t="str">
        <f t="shared" si="211"/>
        <v/>
      </c>
      <c r="I2117" s="1087"/>
      <c r="J2117" s="1088"/>
      <c r="K2117" s="539"/>
      <c r="L2117" s="544" t="str">
        <f>+'Precios Equipos'!C204</f>
        <v>Diseño Ingenieria Tableros Adosados</v>
      </c>
      <c r="M2117" s="545">
        <f>IFERROR(VLOOKUP(L2117,'Precios Equipos'!$C$11:$F$208,3,0),0)</f>
        <v>33</v>
      </c>
      <c r="O2117" s="468"/>
      <c r="P2117" s="501"/>
    </row>
    <row r="2118" spans="2:17" ht="16.5" thickBot="1" x14ac:dyDescent="0.3">
      <c r="B2118" s="493"/>
      <c r="C2118" s="526">
        <v>9</v>
      </c>
      <c r="D2118" s="494" t="str">
        <f>+'Precios Equipos'!C15</f>
        <v>ITM 2x32A, Caja Moldeada, 50kA en 220VAC, A1N, ABB</v>
      </c>
      <c r="F2118" s="495"/>
      <c r="G2118" s="561">
        <f>IFERROR(VLOOKUP(D2118,'Precios Equipos'!$C$1:$F$5052,3,0),"")</f>
        <v>88</v>
      </c>
      <c r="H2118" s="561">
        <f t="shared" si="211"/>
        <v>792</v>
      </c>
      <c r="I2118" s="1087"/>
      <c r="J2118" s="1088"/>
      <c r="K2118" s="539"/>
      <c r="L2118" s="546" t="s">
        <v>89</v>
      </c>
      <c r="M2118" s="560">
        <f>SUM(M2113:M2117)</f>
        <v>124</v>
      </c>
      <c r="O2118" s="468"/>
      <c r="P2118" s="501"/>
      <c r="Q2118" s="465">
        <f>+C2118*$C$2109</f>
        <v>36</v>
      </c>
    </row>
    <row r="2119" spans="2:17" x14ac:dyDescent="0.25">
      <c r="B2119" s="493"/>
      <c r="C2119" s="526">
        <v>2</v>
      </c>
      <c r="D2119" s="494" t="str">
        <f>+'Precios Equipos'!C50</f>
        <v>Interruptor Riel Din 2x25A. S202 20kA en 220VAC, ABB</v>
      </c>
      <c r="F2119" s="495"/>
      <c r="G2119" s="561">
        <f>IFERROR(VLOOKUP(D2119,'Precios Equipos'!$C$1:$F$5052,3,0),"")</f>
        <v>263</v>
      </c>
      <c r="H2119" s="561">
        <f t="shared" si="211"/>
        <v>526</v>
      </c>
      <c r="I2119" s="1087"/>
      <c r="J2119" s="1088"/>
      <c r="K2119" s="539"/>
      <c r="L2119" s="489"/>
      <c r="M2119" s="499"/>
      <c r="O2119" s="468"/>
      <c r="Q2119" s="465">
        <f>+C2119*$C$2109</f>
        <v>8</v>
      </c>
    </row>
    <row r="2120" spans="2:17" x14ac:dyDescent="0.25">
      <c r="B2120" s="493"/>
      <c r="C2120" s="526">
        <v>1</v>
      </c>
      <c r="D2120" s="494" t="str">
        <f>+'Precios Equipos'!$C$63</f>
        <v>Protector de sobretension SPD AC 3P+N, 230/400V, 1.5kV, 40kA</v>
      </c>
      <c r="F2120" s="495"/>
      <c r="G2120" s="561">
        <f>IFERROR(VLOOKUP(D2120,'Precios Equipos'!$C$1:$F$5052,3,0),"")</f>
        <v>38</v>
      </c>
      <c r="H2120" s="561">
        <f t="shared" si="211"/>
        <v>38</v>
      </c>
      <c r="I2120" s="1087"/>
      <c r="J2120" s="1088"/>
      <c r="K2120" s="539"/>
      <c r="M2120" s="470"/>
      <c r="O2120" s="468"/>
      <c r="Q2120" s="465">
        <f>+C2120*$C$2109</f>
        <v>4</v>
      </c>
    </row>
    <row r="2121" spans="2:17" x14ac:dyDescent="0.25">
      <c r="B2121" s="493"/>
      <c r="C2121" s="526"/>
      <c r="D2121" s="494"/>
      <c r="F2121" s="495"/>
      <c r="G2121" s="561" t="str">
        <f>IFERROR(VLOOKUP(D2121,'Precios Equipos'!$C$1:$F$5052,3,0),"")</f>
        <v/>
      </c>
      <c r="H2121" s="561" t="str">
        <f t="shared" si="211"/>
        <v/>
      </c>
      <c r="I2121" s="1087"/>
      <c r="J2121" s="1088"/>
      <c r="K2121" s="539"/>
      <c r="M2121" s="470"/>
      <c r="O2121" s="468"/>
    </row>
    <row r="2122" spans="2:17" x14ac:dyDescent="0.25">
      <c r="B2122" s="493"/>
      <c r="C2122" s="526"/>
      <c r="D2122" s="620" t="s">
        <v>737</v>
      </c>
      <c r="F2122" s="495"/>
      <c r="G2122" s="561" t="str">
        <f>IFERROR(VLOOKUP(D2122,'Precios Equipos'!$C$1:$F$5052,3,0),"")</f>
        <v/>
      </c>
      <c r="H2122" s="561" t="str">
        <f t="shared" si="211"/>
        <v/>
      </c>
      <c r="I2122" s="1087"/>
      <c r="J2122" s="1088"/>
      <c r="K2122" s="539"/>
      <c r="M2122" s="470"/>
      <c r="O2122" s="468"/>
    </row>
    <row r="2123" spans="2:17" x14ac:dyDescent="0.25">
      <c r="B2123" s="493"/>
      <c r="C2123" s="526">
        <v>3</v>
      </c>
      <c r="D2123" s="494" t="str">
        <f>+'Precios Equipos'!C48</f>
        <v>Interruptor Riel Din 2x04A. S200 20kA en 230V en 250VAC, ABB</v>
      </c>
      <c r="F2123" s="495"/>
      <c r="G2123" s="561">
        <f>IFERROR(VLOOKUP(D2123,'Precios Equipos'!$C$1:$F$5052,3,0),"")</f>
        <v>162</v>
      </c>
      <c r="H2123" s="561">
        <f t="shared" si="211"/>
        <v>486</v>
      </c>
      <c r="I2123" s="1087"/>
      <c r="J2123" s="1088"/>
      <c r="K2123" s="539"/>
      <c r="M2123" s="470"/>
      <c r="O2123" s="468"/>
      <c r="Q2123" s="465">
        <f>+C2123*$C$2109</f>
        <v>12</v>
      </c>
    </row>
    <row r="2124" spans="2:17" x14ac:dyDescent="0.25">
      <c r="B2124" s="493"/>
      <c r="C2124" s="526"/>
      <c r="D2124" s="494"/>
      <c r="F2124" s="495"/>
      <c r="G2124" s="561" t="str">
        <f>IFERROR(VLOOKUP(D2124,'Precios Equipos'!$C$1:$F$5052,3,0),"")</f>
        <v/>
      </c>
      <c r="H2124" s="561" t="str">
        <f t="shared" si="211"/>
        <v/>
      </c>
      <c r="I2124" s="477"/>
      <c r="K2124" s="539"/>
      <c r="M2124" s="470"/>
      <c r="O2124" s="468"/>
    </row>
    <row r="2125" spans="2:17" x14ac:dyDescent="0.25">
      <c r="B2125" s="493"/>
      <c r="C2125" s="526"/>
      <c r="D2125" s="496" t="s">
        <v>87</v>
      </c>
      <c r="F2125" s="495"/>
      <c r="G2125" s="561"/>
      <c r="H2125" s="561">
        <f>M2118</f>
        <v>124</v>
      </c>
      <c r="I2125" s="561">
        <f>SUM(H2125)</f>
        <v>124</v>
      </c>
      <c r="J2125" s="924">
        <f>+I2125/H2129</f>
        <v>6.0903732809430254E-2</v>
      </c>
      <c r="K2125" s="539"/>
      <c r="M2125" s="470"/>
      <c r="O2125" s="468"/>
    </row>
    <row r="2126" spans="2:17" x14ac:dyDescent="0.25">
      <c r="B2126" s="493"/>
      <c r="C2126" s="526">
        <v>1</v>
      </c>
      <c r="D2126" s="494" t="s">
        <v>49</v>
      </c>
      <c r="F2126" s="495"/>
      <c r="G2126" s="561"/>
      <c r="H2126" s="561">
        <f>$O$153</f>
        <v>0</v>
      </c>
      <c r="I2126" s="1087">
        <f>SUM(H2126:H2127)</f>
        <v>0</v>
      </c>
      <c r="J2126" s="1088">
        <f>+I2126/H2129</f>
        <v>0</v>
      </c>
      <c r="K2126" s="539"/>
      <c r="M2126" s="470"/>
      <c r="O2126" s="468"/>
    </row>
    <row r="2127" spans="2:17" x14ac:dyDescent="0.25">
      <c r="B2127" s="493"/>
      <c r="C2127" s="526">
        <v>1</v>
      </c>
      <c r="D2127" s="494" t="s">
        <v>51</v>
      </c>
      <c r="F2127" s="495"/>
      <c r="G2127" s="561"/>
      <c r="H2127" s="561">
        <f>$O$154</f>
        <v>0</v>
      </c>
      <c r="I2127" s="1087"/>
      <c r="J2127" s="1088"/>
      <c r="K2127" s="539"/>
      <c r="M2127" s="470"/>
      <c r="O2127" s="468"/>
    </row>
    <row r="2128" spans="2:17" x14ac:dyDescent="0.25">
      <c r="B2128" s="493"/>
      <c r="C2128" s="526">
        <v>1</v>
      </c>
      <c r="D2128" s="467" t="s">
        <v>20</v>
      </c>
      <c r="F2128" s="495"/>
      <c r="G2128" s="561"/>
      <c r="H2128" s="561"/>
      <c r="I2128" s="477"/>
      <c r="J2128" s="973"/>
      <c r="K2128" s="539"/>
      <c r="M2128" s="470"/>
      <c r="O2128" s="468"/>
    </row>
    <row r="2129" spans="1:17" x14ac:dyDescent="0.25">
      <c r="B2129" s="493"/>
      <c r="C2129" s="526">
        <v>1</v>
      </c>
      <c r="D2129" s="467" t="s">
        <v>52</v>
      </c>
      <c r="F2129" s="495"/>
      <c r="G2129" s="553" t="s">
        <v>97</v>
      </c>
      <c r="H2129" s="561">
        <f>SUM(H2112:H2128)</f>
        <v>2036</v>
      </c>
      <c r="I2129" s="477"/>
      <c r="J2129" s="973"/>
      <c r="K2129" s="539"/>
      <c r="M2129" s="470"/>
      <c r="O2129" s="468"/>
    </row>
    <row r="2130" spans="1:17" x14ac:dyDescent="0.25">
      <c r="B2130" s="493"/>
      <c r="C2130" s="526">
        <v>1</v>
      </c>
      <c r="D2130" s="467" t="s">
        <v>21</v>
      </c>
      <c r="F2130" s="495"/>
      <c r="G2130" s="553" t="s">
        <v>105</v>
      </c>
      <c r="H2130" s="561">
        <f>H2129*$M$155</f>
        <v>407.20000000000005</v>
      </c>
      <c r="I2130" s="477"/>
      <c r="J2130" s="973"/>
      <c r="K2130" s="539"/>
      <c r="M2130" s="470"/>
      <c r="O2130" s="468"/>
    </row>
    <row r="2131" spans="1:17" x14ac:dyDescent="0.25">
      <c r="B2131" s="521"/>
      <c r="C2131" s="527" t="s">
        <v>17</v>
      </c>
      <c r="D2131" s="522" t="s">
        <v>48</v>
      </c>
      <c r="E2131" s="523"/>
      <c r="F2131" s="524"/>
      <c r="G2131" s="553" t="s">
        <v>452</v>
      </c>
      <c r="H2131" s="561">
        <f>H2129+H2130</f>
        <v>2443.1999999999998</v>
      </c>
      <c r="I2131" s="477"/>
      <c r="J2131" s="973"/>
      <c r="K2131" s="539"/>
      <c r="M2131" s="470"/>
      <c r="O2131" s="468"/>
    </row>
    <row r="2132" spans="1:17" x14ac:dyDescent="0.25">
      <c r="M2132" s="470"/>
    </row>
    <row r="2133" spans="1:17" x14ac:dyDescent="0.25">
      <c r="B2133" s="514" t="s">
        <v>6</v>
      </c>
      <c r="C2133" s="515" t="s">
        <v>0</v>
      </c>
      <c r="D2133" s="606" t="s">
        <v>8</v>
      </c>
      <c r="E2133" s="516" t="s">
        <v>4</v>
      </c>
      <c r="F2133" s="516" t="s">
        <v>3</v>
      </c>
      <c r="G2133" s="477"/>
      <c r="H2133" s="477"/>
      <c r="I2133" s="477"/>
      <c r="K2133" s="539"/>
      <c r="O2133" s="468"/>
    </row>
    <row r="2134" spans="1:17" x14ac:dyDescent="0.25">
      <c r="A2134" s="463">
        <v>152</v>
      </c>
      <c r="B2134" s="1097">
        <f>B117</f>
        <v>6.1599999999999966</v>
      </c>
      <c r="C2134" s="1097">
        <f>C117</f>
        <v>5</v>
      </c>
      <c r="D2134" s="1097" t="str">
        <f>D117</f>
        <v>TABLERO TFV-AC - TIPO 13</v>
      </c>
      <c r="E2134" s="518">
        <f>H2157</f>
        <v>2360.4</v>
      </c>
      <c r="F2134" s="518">
        <f>+E2134*C2134</f>
        <v>11802</v>
      </c>
      <c r="G2134" s="553" t="s">
        <v>450</v>
      </c>
      <c r="H2134" s="553" t="s">
        <v>1</v>
      </c>
      <c r="I2134" s="477"/>
      <c r="K2134" s="539"/>
      <c r="O2134" s="468"/>
    </row>
    <row r="2135" spans="1:17" ht="16.5" thickBot="1" x14ac:dyDescent="0.3">
      <c r="B2135" s="1097"/>
      <c r="C2135" s="1097"/>
      <c r="D2135" s="1097"/>
      <c r="E2135" s="520" t="s">
        <v>50</v>
      </c>
      <c r="F2135" s="520" t="s">
        <v>50</v>
      </c>
      <c r="G2135" s="553" t="s">
        <v>50</v>
      </c>
      <c r="H2135" s="553" t="s">
        <v>50</v>
      </c>
      <c r="I2135" s="477"/>
      <c r="K2135" s="539"/>
      <c r="O2135" s="468"/>
    </row>
    <row r="2136" spans="1:17" ht="16.5" thickBot="1" x14ac:dyDescent="0.3">
      <c r="B2136" s="493"/>
      <c r="C2136" s="526"/>
      <c r="D2136" s="463"/>
      <c r="E2136" s="491"/>
      <c r="F2136" s="492"/>
      <c r="G2136" s="561" t="str">
        <f>IFERROR(VLOOKUP(D2136,'Precios Equipos'!$C$1:$F$5052,3,0),"")</f>
        <v/>
      </c>
      <c r="H2136" s="561" t="str">
        <f t="shared" ref="H2136:H2150" si="212">IFERROR(G2136*C2136,"")</f>
        <v/>
      </c>
      <c r="I2136" s="477"/>
      <c r="K2136" s="539"/>
      <c r="L2136" s="540" t="s">
        <v>451</v>
      </c>
      <c r="M2136" s="541"/>
      <c r="O2136" s="468"/>
    </row>
    <row r="2137" spans="1:17" ht="16.5" thickBot="1" x14ac:dyDescent="0.3">
      <c r="B2137" s="493"/>
      <c r="C2137" s="526">
        <v>1</v>
      </c>
      <c r="D2137" s="500" t="str">
        <f>+'Precios Equipos'!$C$182</f>
        <v>Gabinete Adosado 900x700x200mm. (alto x ancho x profundidad) dimensiones aproximadas</v>
      </c>
      <c r="F2137" s="495"/>
      <c r="G2137" s="561">
        <f>IFERROR(VLOOKUP(D2137,'Precios Equipos'!$C$1:$F$5052,3,0),"")</f>
        <v>38</v>
      </c>
      <c r="H2137" s="561">
        <f t="shared" si="212"/>
        <v>38</v>
      </c>
      <c r="I2137" s="561">
        <f>SUM(H2137)</f>
        <v>38</v>
      </c>
      <c r="J2137" s="924">
        <f>+I2137/H2155</f>
        <v>1.9318759532282664E-2</v>
      </c>
      <c r="K2137" s="539"/>
      <c r="L2137" s="542" t="s">
        <v>88</v>
      </c>
      <c r="M2137" s="543" t="s">
        <v>85</v>
      </c>
      <c r="O2137" s="468"/>
      <c r="Q2137" s="465">
        <f>+C2137*$C$2134</f>
        <v>5</v>
      </c>
    </row>
    <row r="2138" spans="1:17" x14ac:dyDescent="0.25">
      <c r="B2138" s="493"/>
      <c r="C2138" s="526"/>
      <c r="D2138" s="494"/>
      <c r="F2138" s="495"/>
      <c r="G2138" s="561" t="str">
        <f>IFERROR(VLOOKUP(D2138,'Precios Equipos'!$C$1:$F$5052,3,0),"")</f>
        <v/>
      </c>
      <c r="H2138" s="561" t="str">
        <f t="shared" si="212"/>
        <v/>
      </c>
      <c r="I2138" s="477"/>
      <c r="K2138" s="539"/>
      <c r="L2138" s="544" t="str">
        <f>+'Precios Equipos'!C128</f>
        <v>COBRE TABLERO TFV-AC 09.1, 12.1, 14.1</v>
      </c>
      <c r="M2138" s="545">
        <f>IFERROR(VLOOKUP(L2138,'Precios Equipos'!$C$11:$F$208,3,0),0)</f>
        <v>5</v>
      </c>
      <c r="O2138" s="468"/>
    </row>
    <row r="2139" spans="1:17" x14ac:dyDescent="0.25">
      <c r="B2139" s="493"/>
      <c r="C2139" s="526"/>
      <c r="D2139" s="620" t="s">
        <v>70</v>
      </c>
      <c r="F2139" s="495"/>
      <c r="G2139" s="561" t="str">
        <f>IFERROR(VLOOKUP(D2139,'Precios Equipos'!$C$1:$F$5052,3,0),"")</f>
        <v/>
      </c>
      <c r="H2139" s="561" t="str">
        <f t="shared" si="212"/>
        <v/>
      </c>
      <c r="I2139" s="477"/>
      <c r="K2139" s="539"/>
      <c r="L2139" s="544" t="str">
        <f>+'Precios Equipos'!$C$132</f>
        <v>CABLEADO 1 DIFERENCIALES, 2P</v>
      </c>
      <c r="M2139" s="545">
        <f>IFERROR(VLOOKUP(L2139,'Precios Equipos'!$C$11:$F$208,3,0),0)</f>
        <v>37</v>
      </c>
      <c r="O2139" s="468"/>
    </row>
    <row r="2140" spans="1:17" x14ac:dyDescent="0.25">
      <c r="B2140" s="493"/>
      <c r="C2140" s="526">
        <v>2</v>
      </c>
      <c r="D2140" s="494" t="str">
        <f>+'Precios Equipos'!C21</f>
        <v>ITM 3x50A, Caja Moldeada (35-50)A, 25kA en 380VAC, XT1C, ABB</v>
      </c>
      <c r="F2140" s="497"/>
      <c r="G2140" s="561">
        <f>IFERROR(VLOOKUP(D2140,'Precios Equipos'!$C$1:$F$5052,3,0),"")</f>
        <v>41</v>
      </c>
      <c r="H2140" s="561">
        <f t="shared" si="212"/>
        <v>82</v>
      </c>
      <c r="I2140" s="1087">
        <f>SUM(H2140:H2149)</f>
        <v>1805</v>
      </c>
      <c r="J2140" s="1088">
        <f>+I2140/H2155</f>
        <v>0.91764107778342652</v>
      </c>
      <c r="K2140" s="539"/>
      <c r="L2140" s="544" t="str">
        <f>+'Precios Equipos'!$C$141</f>
        <v>Mano de obra 12-16 polos (6-8 ITM)</v>
      </c>
      <c r="M2140" s="545">
        <f>IFERROR(VLOOKUP(L2140,'Precios Equipos'!$C$11:$F$208,3,0),0)</f>
        <v>16</v>
      </c>
      <c r="O2140" s="468"/>
      <c r="Q2140" s="465">
        <f>+C2140*$C$2134</f>
        <v>10</v>
      </c>
    </row>
    <row r="2141" spans="1:17" x14ac:dyDescent="0.25">
      <c r="B2141" s="493"/>
      <c r="C2141" s="526"/>
      <c r="D2141" s="494"/>
      <c r="F2141" s="495"/>
      <c r="G2141" s="561" t="str">
        <f>IFERROR(VLOOKUP(D2141,'Precios Equipos'!$C$1:$F$5052,3,0),"")</f>
        <v/>
      </c>
      <c r="H2141" s="561" t="str">
        <f t="shared" si="212"/>
        <v/>
      </c>
      <c r="I2141" s="1087"/>
      <c r="J2141" s="1088"/>
      <c r="K2141" s="539"/>
      <c r="L2141" s="544" t="str">
        <f>+'Precios Equipos'!$C$162</f>
        <v>Mano de obra 1-2 Diferenciales</v>
      </c>
      <c r="M2141" s="545">
        <f>IFERROR(VLOOKUP(L2141,'Precios Equipos'!$C$11:$F$208,3,0),0)</f>
        <v>33</v>
      </c>
      <c r="O2141" s="468"/>
    </row>
    <row r="2142" spans="1:17" ht="16.5" thickBot="1" x14ac:dyDescent="0.3">
      <c r="B2142" s="493"/>
      <c r="C2142" s="526"/>
      <c r="D2142" s="620" t="s">
        <v>71</v>
      </c>
      <c r="F2142" s="495"/>
      <c r="G2142" s="561" t="str">
        <f>IFERROR(VLOOKUP(D2142,'Precios Equipos'!$C$1:$F$5052,3,0),"")</f>
        <v/>
      </c>
      <c r="H2142" s="561" t="str">
        <f t="shared" si="212"/>
        <v/>
      </c>
      <c r="I2142" s="1087"/>
      <c r="J2142" s="1088"/>
      <c r="K2142" s="539"/>
      <c r="L2142" s="544" t="str">
        <f>+'Precios Equipos'!$C$204</f>
        <v>Diseño Ingenieria Tableros Adosados</v>
      </c>
      <c r="M2142" s="545">
        <f>IFERROR(VLOOKUP(L2142,'Precios Equipos'!$C$11:$F$208,3,0),0)</f>
        <v>33</v>
      </c>
      <c r="O2142" s="468"/>
      <c r="P2142" s="501"/>
    </row>
    <row r="2143" spans="1:17" ht="16.5" thickBot="1" x14ac:dyDescent="0.3">
      <c r="B2143" s="493"/>
      <c r="C2143" s="526">
        <v>3</v>
      </c>
      <c r="D2143" s="494" t="str">
        <f>+'Precios Equipos'!C16</f>
        <v>ITM 2x50A, Caja Moldeada, 50kA en 220VAC, A1N, ABB</v>
      </c>
      <c r="F2143" s="495"/>
      <c r="G2143" s="561">
        <f>IFERROR(VLOOKUP(D2143,'Precios Equipos'!$C$1:$F$5052,3,0),"")</f>
        <v>36</v>
      </c>
      <c r="H2143" s="561">
        <f t="shared" si="212"/>
        <v>108</v>
      </c>
      <c r="I2143" s="1087"/>
      <c r="J2143" s="1088"/>
      <c r="K2143" s="539"/>
      <c r="L2143" s="546" t="s">
        <v>89</v>
      </c>
      <c r="M2143" s="560">
        <f>SUM(M2138:M2142)</f>
        <v>124</v>
      </c>
      <c r="O2143" s="468"/>
      <c r="P2143" s="501"/>
      <c r="Q2143" s="465">
        <f>+C2143*$C$2134</f>
        <v>15</v>
      </c>
    </row>
    <row r="2144" spans="1:17" x14ac:dyDescent="0.25">
      <c r="B2144" s="493"/>
      <c r="C2144" s="526">
        <v>6</v>
      </c>
      <c r="D2144" s="494" t="str">
        <f>+'Precios Equipos'!C18</f>
        <v>ITM 2x100A, Caja Moldeada 100A, 50kA en 220VAC, A1N/P, ABB</v>
      </c>
      <c r="F2144" s="495"/>
      <c r="G2144" s="561">
        <f>IFERROR(VLOOKUP(D2144,'Precios Equipos'!$C$1:$F$5052,3,0),"")</f>
        <v>138</v>
      </c>
      <c r="H2144" s="561">
        <f t="shared" si="212"/>
        <v>828</v>
      </c>
      <c r="I2144" s="1087"/>
      <c r="J2144" s="1088"/>
      <c r="K2144" s="539"/>
      <c r="L2144" s="593"/>
      <c r="M2144" s="594"/>
      <c r="O2144" s="468"/>
      <c r="P2144" s="501"/>
      <c r="Q2144" s="465">
        <f>+C2144*$C$2134</f>
        <v>30</v>
      </c>
    </row>
    <row r="2145" spans="1:17" x14ac:dyDescent="0.25">
      <c r="B2145" s="493"/>
      <c r="C2145" s="526">
        <v>1</v>
      </c>
      <c r="D2145" s="494" t="str">
        <f>+'Precios Equipos'!C50</f>
        <v>Interruptor Riel Din 2x25A. S202 20kA en 220VAC, ABB</v>
      </c>
      <c r="F2145" s="495"/>
      <c r="G2145" s="561">
        <f>IFERROR(VLOOKUP(D2145,'Precios Equipos'!$C$1:$F$5052,3,0),"")</f>
        <v>263</v>
      </c>
      <c r="H2145" s="561">
        <f t="shared" si="212"/>
        <v>263</v>
      </c>
      <c r="I2145" s="1087"/>
      <c r="J2145" s="1088"/>
      <c r="K2145" s="539"/>
      <c r="L2145" s="489"/>
      <c r="M2145" s="499"/>
      <c r="O2145" s="468"/>
      <c r="Q2145" s="465">
        <f>+C2145*$C$2134</f>
        <v>5</v>
      </c>
    </row>
    <row r="2146" spans="1:17" x14ac:dyDescent="0.25">
      <c r="B2146" s="493"/>
      <c r="C2146" s="526">
        <v>1</v>
      </c>
      <c r="D2146" s="494" t="str">
        <f>+'Precios Equipos'!$C$63</f>
        <v>Protector de sobretension SPD AC 3P+N, 230/400V, 1.5kV, 40kA</v>
      </c>
      <c r="F2146" s="495"/>
      <c r="G2146" s="561">
        <f>IFERROR(VLOOKUP(D2146,'Precios Equipos'!$C$1:$F$5052,3,0),"")</f>
        <v>38</v>
      </c>
      <c r="H2146" s="561">
        <f t="shared" si="212"/>
        <v>38</v>
      </c>
      <c r="I2146" s="1087"/>
      <c r="J2146" s="1088"/>
      <c r="K2146" s="539"/>
      <c r="M2146" s="470"/>
      <c r="O2146" s="468"/>
      <c r="Q2146" s="465">
        <f>+C2146*$C$2134</f>
        <v>5</v>
      </c>
    </row>
    <row r="2147" spans="1:17" x14ac:dyDescent="0.25">
      <c r="B2147" s="493"/>
      <c r="C2147" s="526"/>
      <c r="D2147" s="494"/>
      <c r="F2147" s="495"/>
      <c r="G2147" s="561" t="str">
        <f>IFERROR(VLOOKUP(D2147,'Precios Equipos'!$C$1:$F$5052,3,0),"")</f>
        <v/>
      </c>
      <c r="H2147" s="561" t="str">
        <f t="shared" si="212"/>
        <v/>
      </c>
      <c r="I2147" s="1087"/>
      <c r="J2147" s="1088"/>
      <c r="K2147" s="539"/>
      <c r="M2147" s="470"/>
      <c r="O2147" s="468"/>
    </row>
    <row r="2148" spans="1:17" x14ac:dyDescent="0.25">
      <c r="B2148" s="493"/>
      <c r="C2148" s="526"/>
      <c r="D2148" s="496" t="s">
        <v>737</v>
      </c>
      <c r="F2148" s="495"/>
      <c r="G2148" s="561" t="str">
        <f>IFERROR(VLOOKUP(D2148,'Precios Equipos'!$C$1:$F$5052,3,0),"")</f>
        <v/>
      </c>
      <c r="H2148" s="561" t="str">
        <f t="shared" si="212"/>
        <v/>
      </c>
      <c r="I2148" s="1087"/>
      <c r="J2148" s="1088"/>
      <c r="K2148" s="539"/>
      <c r="M2148" s="470"/>
      <c r="O2148" s="468"/>
    </row>
    <row r="2149" spans="1:17" x14ac:dyDescent="0.25">
      <c r="B2149" s="493"/>
      <c r="C2149" s="526">
        <v>3</v>
      </c>
      <c r="D2149" s="494" t="str">
        <f>+'Precios Equipos'!C48</f>
        <v>Interruptor Riel Din 2x04A. S200 20kA en 230V en 250VAC, ABB</v>
      </c>
      <c r="F2149" s="495"/>
      <c r="G2149" s="561">
        <f>IFERROR(VLOOKUP(D2149,'Precios Equipos'!$C$1:$F$5052,3,0),"")</f>
        <v>162</v>
      </c>
      <c r="H2149" s="561">
        <f t="shared" si="212"/>
        <v>486</v>
      </c>
      <c r="I2149" s="1087"/>
      <c r="J2149" s="1088"/>
      <c r="K2149" s="539"/>
      <c r="M2149" s="470"/>
      <c r="O2149" s="468"/>
      <c r="Q2149" s="465">
        <f>+C2149*$C$2134</f>
        <v>15</v>
      </c>
    </row>
    <row r="2150" spans="1:17" x14ac:dyDescent="0.25">
      <c r="B2150" s="493"/>
      <c r="C2150" s="526"/>
      <c r="D2150" s="494"/>
      <c r="F2150" s="495"/>
      <c r="G2150" s="561" t="str">
        <f>IFERROR(VLOOKUP(D2150,'Precios Equipos'!$C$1:$F$5052,3,0),"")</f>
        <v/>
      </c>
      <c r="H2150" s="561" t="str">
        <f t="shared" si="212"/>
        <v/>
      </c>
      <c r="I2150" s="477"/>
      <c r="K2150" s="539"/>
      <c r="M2150" s="470"/>
      <c r="O2150" s="468"/>
    </row>
    <row r="2151" spans="1:17" x14ac:dyDescent="0.25">
      <c r="B2151" s="493"/>
      <c r="C2151" s="526"/>
      <c r="D2151" s="496" t="s">
        <v>87</v>
      </c>
      <c r="F2151" s="495"/>
      <c r="G2151" s="561"/>
      <c r="H2151" s="561">
        <f>M2143</f>
        <v>124</v>
      </c>
      <c r="I2151" s="561">
        <f>SUM(H2151)</f>
        <v>124</v>
      </c>
      <c r="J2151" s="924">
        <f>+I2151/H2155</f>
        <v>6.3040162684290801E-2</v>
      </c>
      <c r="K2151" s="539"/>
      <c r="M2151" s="470"/>
      <c r="O2151" s="468"/>
    </row>
    <row r="2152" spans="1:17" x14ac:dyDescent="0.25">
      <c r="B2152" s="493"/>
      <c r="C2152" s="526">
        <v>1</v>
      </c>
      <c r="D2152" s="494" t="s">
        <v>49</v>
      </c>
      <c r="F2152" s="495"/>
      <c r="G2152" s="561"/>
      <c r="H2152" s="561">
        <f>$O$153</f>
        <v>0</v>
      </c>
      <c r="I2152" s="1087">
        <f>SUM(H2152:H2153)</f>
        <v>0</v>
      </c>
      <c r="J2152" s="1088">
        <f>+I2152/H2155</f>
        <v>0</v>
      </c>
      <c r="K2152" s="539"/>
      <c r="M2152" s="470"/>
      <c r="O2152" s="468"/>
    </row>
    <row r="2153" spans="1:17" x14ac:dyDescent="0.25">
      <c r="B2153" s="493"/>
      <c r="C2153" s="526">
        <v>1</v>
      </c>
      <c r="D2153" s="494" t="s">
        <v>51</v>
      </c>
      <c r="F2153" s="495"/>
      <c r="G2153" s="561"/>
      <c r="H2153" s="561">
        <f>$O$154</f>
        <v>0</v>
      </c>
      <c r="I2153" s="1087"/>
      <c r="J2153" s="1088"/>
      <c r="K2153" s="539"/>
      <c r="M2153" s="470"/>
      <c r="O2153" s="468"/>
    </row>
    <row r="2154" spans="1:17" x14ac:dyDescent="0.25">
      <c r="B2154" s="493"/>
      <c r="C2154" s="526">
        <v>1</v>
      </c>
      <c r="D2154" s="467" t="s">
        <v>20</v>
      </c>
      <c r="F2154" s="495"/>
      <c r="G2154" s="561"/>
      <c r="H2154" s="561"/>
      <c r="I2154" s="477"/>
      <c r="J2154" s="973"/>
      <c r="K2154" s="539"/>
      <c r="M2154" s="470"/>
      <c r="O2154" s="468"/>
    </row>
    <row r="2155" spans="1:17" x14ac:dyDescent="0.25">
      <c r="B2155" s="493"/>
      <c r="C2155" s="526">
        <v>1</v>
      </c>
      <c r="D2155" s="467" t="s">
        <v>52</v>
      </c>
      <c r="F2155" s="495"/>
      <c r="G2155" s="553" t="s">
        <v>97</v>
      </c>
      <c r="H2155" s="561">
        <f>SUM(H2137:H2154)</f>
        <v>1967</v>
      </c>
      <c r="I2155" s="477"/>
      <c r="J2155" s="973"/>
      <c r="K2155" s="539"/>
      <c r="M2155" s="470"/>
      <c r="O2155" s="468"/>
    </row>
    <row r="2156" spans="1:17" x14ac:dyDescent="0.25">
      <c r="B2156" s="493"/>
      <c r="C2156" s="526">
        <v>1</v>
      </c>
      <c r="D2156" s="467" t="s">
        <v>21</v>
      </c>
      <c r="F2156" s="495"/>
      <c r="G2156" s="553" t="s">
        <v>105</v>
      </c>
      <c r="H2156" s="561">
        <f>H2155*$M$155</f>
        <v>393.40000000000003</v>
      </c>
      <c r="I2156" s="477"/>
      <c r="J2156" s="973"/>
      <c r="K2156" s="539"/>
      <c r="M2156" s="470"/>
      <c r="O2156" s="468"/>
    </row>
    <row r="2157" spans="1:17" x14ac:dyDescent="0.25">
      <c r="B2157" s="521"/>
      <c r="C2157" s="527" t="s">
        <v>17</v>
      </c>
      <c r="D2157" s="522" t="s">
        <v>48</v>
      </c>
      <c r="E2157" s="523"/>
      <c r="F2157" s="524"/>
      <c r="G2157" s="553" t="s">
        <v>452</v>
      </c>
      <c r="H2157" s="561">
        <f>H2155+H2156</f>
        <v>2360.4</v>
      </c>
      <c r="I2157" s="477"/>
      <c r="J2157" s="973"/>
      <c r="K2157" s="539"/>
      <c r="M2157" s="470"/>
      <c r="O2157" s="468"/>
    </row>
    <row r="2158" spans="1:17" x14ac:dyDescent="0.25">
      <c r="M2158" s="470"/>
    </row>
    <row r="2159" spans="1:17" x14ac:dyDescent="0.25">
      <c r="B2159" s="514" t="s">
        <v>6</v>
      </c>
      <c r="C2159" s="515" t="s">
        <v>0</v>
      </c>
      <c r="D2159" s="606" t="s">
        <v>8</v>
      </c>
      <c r="E2159" s="516" t="s">
        <v>4</v>
      </c>
      <c r="F2159" s="516" t="s">
        <v>3</v>
      </c>
      <c r="G2159" s="477"/>
      <c r="H2159" s="477"/>
      <c r="I2159" s="477"/>
      <c r="K2159" s="539"/>
      <c r="O2159" s="468"/>
    </row>
    <row r="2160" spans="1:17" x14ac:dyDescent="0.25">
      <c r="A2160" s="463">
        <v>152</v>
      </c>
      <c r="B2160" s="1097">
        <f>B118</f>
        <v>6.1699999999999964</v>
      </c>
      <c r="C2160" s="1097">
        <f>C118</f>
        <v>1</v>
      </c>
      <c r="D2160" s="1097" t="str">
        <f>D118</f>
        <v>TABLERO TFV-AC - TIPO 14</v>
      </c>
      <c r="E2160" s="518">
        <f>H2182</f>
        <v>1317.6</v>
      </c>
      <c r="F2160" s="518">
        <f>+E2160*C2160</f>
        <v>1317.6</v>
      </c>
      <c r="G2160" s="553" t="s">
        <v>450</v>
      </c>
      <c r="H2160" s="553" t="s">
        <v>1</v>
      </c>
      <c r="I2160" s="477"/>
      <c r="K2160" s="539"/>
      <c r="O2160" s="468"/>
    </row>
    <row r="2161" spans="2:17" ht="16.5" thickBot="1" x14ac:dyDescent="0.3">
      <c r="B2161" s="1097"/>
      <c r="C2161" s="1097"/>
      <c r="D2161" s="1097"/>
      <c r="E2161" s="520" t="s">
        <v>50</v>
      </c>
      <c r="F2161" s="520" t="s">
        <v>50</v>
      </c>
      <c r="G2161" s="553" t="s">
        <v>50</v>
      </c>
      <c r="H2161" s="553" t="s">
        <v>50</v>
      </c>
      <c r="I2161" s="477"/>
      <c r="K2161" s="539"/>
      <c r="O2161" s="468"/>
    </row>
    <row r="2162" spans="2:17" ht="16.5" thickBot="1" x14ac:dyDescent="0.3">
      <c r="B2162" s="493"/>
      <c r="C2162" s="526"/>
      <c r="D2162" s="463"/>
      <c r="E2162" s="491"/>
      <c r="F2162" s="492"/>
      <c r="G2162" s="561" t="str">
        <f>IFERROR(VLOOKUP(D2162,'Precios Equipos'!$C$1:$F$5052,3,0),"")</f>
        <v/>
      </c>
      <c r="H2162" s="561" t="str">
        <f t="shared" ref="H2162:H2175" si="213">IFERROR(G2162*C2162,"")</f>
        <v/>
      </c>
      <c r="I2162" s="477"/>
      <c r="K2162" s="539"/>
      <c r="L2162" s="540" t="s">
        <v>451</v>
      </c>
      <c r="M2162" s="541"/>
      <c r="O2162" s="468"/>
    </row>
    <row r="2163" spans="2:17" ht="16.5" thickBot="1" x14ac:dyDescent="0.3">
      <c r="B2163" s="493"/>
      <c r="C2163" s="526">
        <v>1</v>
      </c>
      <c r="D2163" s="500" t="str">
        <f>+'Precios Equipos'!$C$182</f>
        <v>Gabinete Adosado 900x700x200mm. (alto x ancho x profundidad) dimensiones aproximadas</v>
      </c>
      <c r="F2163" s="495"/>
      <c r="G2163" s="561">
        <f>IFERROR(VLOOKUP(D2163,'Precios Equipos'!$C$1:$F$5052,3,0),"")</f>
        <v>38</v>
      </c>
      <c r="H2163" s="561">
        <f t="shared" si="213"/>
        <v>38</v>
      </c>
      <c r="I2163" s="561">
        <f>SUM(H2163)</f>
        <v>38</v>
      </c>
      <c r="J2163" s="924">
        <f>+I2163/H2180</f>
        <v>3.4608378870673952E-2</v>
      </c>
      <c r="K2163" s="539"/>
      <c r="L2163" s="542" t="s">
        <v>88</v>
      </c>
      <c r="M2163" s="543" t="s">
        <v>85</v>
      </c>
      <c r="O2163" s="468"/>
      <c r="Q2163" s="465">
        <f>+C2163*$C$2160</f>
        <v>1</v>
      </c>
    </row>
    <row r="2164" spans="2:17" x14ac:dyDescent="0.25">
      <c r="B2164" s="493"/>
      <c r="C2164" s="526"/>
      <c r="D2164" s="494"/>
      <c r="F2164" s="495"/>
      <c r="G2164" s="561" t="str">
        <f>IFERROR(VLOOKUP(D2164,'Precios Equipos'!$C$1:$F$5052,3,0),"")</f>
        <v/>
      </c>
      <c r="H2164" s="561" t="str">
        <f t="shared" si="213"/>
        <v/>
      </c>
      <c r="I2164" s="477"/>
      <c r="K2164" s="539"/>
      <c r="L2164" s="544" t="str">
        <f>+'Precios Equipos'!C128</f>
        <v>COBRE TABLERO TFV-AC 09.1, 12.1, 14.1</v>
      </c>
      <c r="M2164" s="545">
        <f>IFERROR(VLOOKUP(L2164,'Precios Equipos'!$C$11:$F$208,3,0),0)</f>
        <v>5</v>
      </c>
      <c r="O2164" s="468"/>
    </row>
    <row r="2165" spans="2:17" x14ac:dyDescent="0.25">
      <c r="B2165" s="493"/>
      <c r="C2165" s="526"/>
      <c r="D2165" s="620" t="s">
        <v>70</v>
      </c>
      <c r="F2165" s="495"/>
      <c r="G2165" s="561" t="str">
        <f>IFERROR(VLOOKUP(D2165,'Precios Equipos'!$C$1:$F$5052,3,0),"")</f>
        <v/>
      </c>
      <c r="H2165" s="561" t="str">
        <f t="shared" si="213"/>
        <v/>
      </c>
      <c r="I2165" s="477"/>
      <c r="K2165" s="539"/>
      <c r="L2165" s="544" t="str">
        <f>+'Precios Equipos'!$C$132</f>
        <v>CABLEADO 1 DIFERENCIALES, 2P</v>
      </c>
      <c r="M2165" s="545">
        <f>IFERROR(VLOOKUP(L2165,'Precios Equipos'!$C$11:$F$208,3,0),0)</f>
        <v>37</v>
      </c>
      <c r="O2165" s="468"/>
    </row>
    <row r="2166" spans="2:17" x14ac:dyDescent="0.25">
      <c r="B2166" s="493"/>
      <c r="C2166" s="526">
        <v>1</v>
      </c>
      <c r="D2166" s="494" t="str">
        <f>+'Precios Equipos'!C21</f>
        <v>ITM 3x50A, Caja Moldeada (35-50)A, 25kA en 380VAC, XT1C, ABB</v>
      </c>
      <c r="F2166" s="497"/>
      <c r="G2166" s="561">
        <f>IFERROR(VLOOKUP(D2166,'Precios Equipos'!$C$1:$F$5052,3,0),"")</f>
        <v>41</v>
      </c>
      <c r="H2166" s="561">
        <f t="shared" si="213"/>
        <v>41</v>
      </c>
      <c r="I2166" s="1087">
        <f>SUM(H2166:H2174)</f>
        <v>936</v>
      </c>
      <c r="J2166" s="1088">
        <f>+I2166/H2180</f>
        <v>0.85245901639344257</v>
      </c>
      <c r="K2166" s="539"/>
      <c r="L2166" s="544" t="str">
        <f>+'Precios Equipos'!$C$141</f>
        <v>Mano de obra 12-16 polos (6-8 ITM)</v>
      </c>
      <c r="M2166" s="545">
        <f>IFERROR(VLOOKUP(L2166,'Precios Equipos'!$C$11:$F$208,3,0),0)</f>
        <v>16</v>
      </c>
      <c r="O2166" s="468"/>
      <c r="Q2166" s="465">
        <f>+C2166*$C$2160</f>
        <v>1</v>
      </c>
    </row>
    <row r="2167" spans="2:17" x14ac:dyDescent="0.25">
      <c r="B2167" s="493"/>
      <c r="C2167" s="526"/>
      <c r="D2167" s="494"/>
      <c r="F2167" s="495"/>
      <c r="G2167" s="561" t="str">
        <f>IFERROR(VLOOKUP(D2167,'Precios Equipos'!$C$1:$F$5052,3,0),"")</f>
        <v/>
      </c>
      <c r="H2167" s="561" t="str">
        <f t="shared" si="213"/>
        <v/>
      </c>
      <c r="I2167" s="1087"/>
      <c r="J2167" s="1088"/>
      <c r="K2167" s="539"/>
      <c r="L2167" s="544" t="str">
        <f>+'Precios Equipos'!$C$162</f>
        <v>Mano de obra 1-2 Diferenciales</v>
      </c>
      <c r="M2167" s="545">
        <f>IFERROR(VLOOKUP(L2167,'Precios Equipos'!$C$11:$F$208,3,0),0)</f>
        <v>33</v>
      </c>
      <c r="O2167" s="468"/>
    </row>
    <row r="2168" spans="2:17" ht="16.5" thickBot="1" x14ac:dyDescent="0.3">
      <c r="B2168" s="493"/>
      <c r="C2168" s="526"/>
      <c r="D2168" s="620" t="s">
        <v>71</v>
      </c>
      <c r="F2168" s="495"/>
      <c r="G2168" s="561" t="str">
        <f>IFERROR(VLOOKUP(D2168,'Precios Equipos'!$C$1:$F$5052,3,0),"")</f>
        <v/>
      </c>
      <c r="H2168" s="561" t="str">
        <f t="shared" si="213"/>
        <v/>
      </c>
      <c r="I2168" s="1087"/>
      <c r="J2168" s="1088"/>
      <c r="K2168" s="539"/>
      <c r="L2168" s="544" t="str">
        <f>+'Precios Equipos'!$C$204</f>
        <v>Diseño Ingenieria Tableros Adosados</v>
      </c>
      <c r="M2168" s="545">
        <f>IFERROR(VLOOKUP(L2168,'Precios Equipos'!$C$11:$F$208,3,0),0)</f>
        <v>33</v>
      </c>
      <c r="O2168" s="468"/>
      <c r="P2168" s="501"/>
    </row>
    <row r="2169" spans="2:17" ht="16.5" thickBot="1" x14ac:dyDescent="0.3">
      <c r="B2169" s="493"/>
      <c r="C2169" s="526">
        <v>3</v>
      </c>
      <c r="D2169" s="494" t="str">
        <f>+'Precios Equipos'!C16</f>
        <v>ITM 2x50A, Caja Moldeada, 50kA en 220VAC, A1N, ABB</v>
      </c>
      <c r="F2169" s="495"/>
      <c r="G2169" s="561">
        <f>IFERROR(VLOOKUP(D2169,'Precios Equipos'!$C$1:$F$5052,3,0),"")</f>
        <v>36</v>
      </c>
      <c r="H2169" s="561">
        <f t="shared" si="213"/>
        <v>108</v>
      </c>
      <c r="I2169" s="1087"/>
      <c r="J2169" s="1088"/>
      <c r="K2169" s="539"/>
      <c r="L2169" s="546" t="s">
        <v>89</v>
      </c>
      <c r="M2169" s="560">
        <f>SUM(M2164:M2168)</f>
        <v>124</v>
      </c>
      <c r="O2169" s="468"/>
      <c r="P2169" s="501"/>
      <c r="Q2169" s="465">
        <f>+C2169*$C$2160</f>
        <v>3</v>
      </c>
    </row>
    <row r="2170" spans="2:17" x14ac:dyDescent="0.25">
      <c r="B2170" s="493"/>
      <c r="C2170" s="526">
        <v>1</v>
      </c>
      <c r="D2170" s="494" t="str">
        <f>+'Precios Equipos'!C50</f>
        <v>Interruptor Riel Din 2x25A. S202 20kA en 220VAC, ABB</v>
      </c>
      <c r="F2170" s="495"/>
      <c r="G2170" s="561">
        <f>IFERROR(VLOOKUP(D2170,'Precios Equipos'!$C$1:$F$5052,3,0),"")</f>
        <v>263</v>
      </c>
      <c r="H2170" s="561">
        <f t="shared" si="213"/>
        <v>263</v>
      </c>
      <c r="I2170" s="1087"/>
      <c r="J2170" s="1088"/>
      <c r="K2170" s="539"/>
      <c r="L2170" s="593"/>
      <c r="M2170" s="594"/>
      <c r="O2170" s="468"/>
      <c r="P2170" s="501"/>
      <c r="Q2170" s="465">
        <f>+C2170*$C$2160</f>
        <v>1</v>
      </c>
    </row>
    <row r="2171" spans="2:17" x14ac:dyDescent="0.25">
      <c r="B2171" s="493"/>
      <c r="C2171" s="526">
        <v>1</v>
      </c>
      <c r="D2171" s="494" t="str">
        <f>+'Precios Equipos'!$C$63</f>
        <v>Protector de sobretension SPD AC 3P+N, 230/400V, 1.5kV, 40kA</v>
      </c>
      <c r="F2171" s="495"/>
      <c r="G2171" s="561">
        <f>IFERROR(VLOOKUP(D2171,'Precios Equipos'!$C$1:$F$5052,3,0),"")</f>
        <v>38</v>
      </c>
      <c r="H2171" s="561">
        <f t="shared" si="213"/>
        <v>38</v>
      </c>
      <c r="I2171" s="1087"/>
      <c r="J2171" s="1088"/>
      <c r="K2171" s="539"/>
      <c r="M2171" s="470"/>
      <c r="O2171" s="468"/>
      <c r="Q2171" s="465">
        <f>+C2171*$C$2160</f>
        <v>1</v>
      </c>
    </row>
    <row r="2172" spans="2:17" x14ac:dyDescent="0.25">
      <c r="B2172" s="493"/>
      <c r="C2172" s="526"/>
      <c r="D2172" s="494"/>
      <c r="F2172" s="495"/>
      <c r="G2172" s="561" t="str">
        <f>IFERROR(VLOOKUP(D2172,'Precios Equipos'!$C$1:$F$5052,3,0),"")</f>
        <v/>
      </c>
      <c r="H2172" s="561" t="str">
        <f t="shared" si="213"/>
        <v/>
      </c>
      <c r="I2172" s="1087"/>
      <c r="J2172" s="1088"/>
      <c r="K2172" s="539"/>
      <c r="M2172" s="470"/>
      <c r="O2172" s="468"/>
    </row>
    <row r="2173" spans="2:17" x14ac:dyDescent="0.25">
      <c r="B2173" s="493"/>
      <c r="C2173" s="526"/>
      <c r="D2173" s="620" t="s">
        <v>737</v>
      </c>
      <c r="F2173" s="495"/>
      <c r="G2173" s="561" t="str">
        <f>IFERROR(VLOOKUP(D2173,'Precios Equipos'!$C$1:$F$5052,3,0),"")</f>
        <v/>
      </c>
      <c r="H2173" s="561" t="str">
        <f t="shared" si="213"/>
        <v/>
      </c>
      <c r="I2173" s="1087"/>
      <c r="J2173" s="1088"/>
      <c r="K2173" s="539"/>
      <c r="M2173" s="470"/>
      <c r="O2173" s="468"/>
    </row>
    <row r="2174" spans="2:17" x14ac:dyDescent="0.25">
      <c r="B2174" s="493"/>
      <c r="C2174" s="526">
        <v>3</v>
      </c>
      <c r="D2174" s="494" t="str">
        <f>+'Precios Equipos'!C48</f>
        <v>Interruptor Riel Din 2x04A. S200 20kA en 230V en 250VAC, ABB</v>
      </c>
      <c r="F2174" s="495"/>
      <c r="G2174" s="561">
        <f>IFERROR(VLOOKUP(D2174,'Precios Equipos'!$C$1:$F$5052,3,0),"")</f>
        <v>162</v>
      </c>
      <c r="H2174" s="561">
        <f t="shared" si="213"/>
        <v>486</v>
      </c>
      <c r="I2174" s="1087"/>
      <c r="J2174" s="1088"/>
      <c r="K2174" s="539"/>
      <c r="M2174" s="470"/>
      <c r="O2174" s="468"/>
      <c r="Q2174" s="465">
        <f>+C2174*$C$2160</f>
        <v>3</v>
      </c>
    </row>
    <row r="2175" spans="2:17" x14ac:dyDescent="0.25">
      <c r="B2175" s="493"/>
      <c r="C2175" s="526"/>
      <c r="D2175" s="494"/>
      <c r="F2175" s="495"/>
      <c r="G2175" s="561" t="str">
        <f>IFERROR(VLOOKUP(D2175,'Precios Equipos'!$C$1:$F$5052,3,0),"")</f>
        <v/>
      </c>
      <c r="H2175" s="561" t="str">
        <f t="shared" si="213"/>
        <v/>
      </c>
      <c r="I2175" s="477"/>
      <c r="K2175" s="539"/>
      <c r="M2175" s="470"/>
      <c r="O2175" s="468"/>
    </row>
    <row r="2176" spans="2:17" x14ac:dyDescent="0.25">
      <c r="B2176" s="493"/>
      <c r="C2176" s="526"/>
      <c r="D2176" s="496" t="s">
        <v>87</v>
      </c>
      <c r="F2176" s="495"/>
      <c r="G2176" s="561"/>
      <c r="H2176" s="561">
        <f>M2169</f>
        <v>124</v>
      </c>
      <c r="I2176" s="561">
        <f>SUM(H2176)</f>
        <v>124</v>
      </c>
      <c r="J2176" s="924">
        <f>+I2176/H2180</f>
        <v>0.11293260473588343</v>
      </c>
      <c r="K2176" s="539"/>
      <c r="M2176" s="470"/>
      <c r="O2176" s="468"/>
    </row>
    <row r="2177" spans="1:17" x14ac:dyDescent="0.25">
      <c r="B2177" s="493"/>
      <c r="C2177" s="526">
        <v>1</v>
      </c>
      <c r="D2177" s="494" t="s">
        <v>49</v>
      </c>
      <c r="F2177" s="495"/>
      <c r="G2177" s="561"/>
      <c r="H2177" s="561">
        <f>$O$153</f>
        <v>0</v>
      </c>
      <c r="I2177" s="1087">
        <f>SUM(H2177:H2178)</f>
        <v>0</v>
      </c>
      <c r="J2177" s="1088">
        <f>+I2177/H2180</f>
        <v>0</v>
      </c>
      <c r="K2177" s="539"/>
      <c r="M2177" s="470"/>
      <c r="O2177" s="468"/>
    </row>
    <row r="2178" spans="1:17" x14ac:dyDescent="0.25">
      <c r="B2178" s="493"/>
      <c r="C2178" s="526">
        <v>1</v>
      </c>
      <c r="D2178" s="494" t="s">
        <v>51</v>
      </c>
      <c r="F2178" s="495"/>
      <c r="G2178" s="561"/>
      <c r="H2178" s="561">
        <f>$O$154</f>
        <v>0</v>
      </c>
      <c r="I2178" s="1087"/>
      <c r="J2178" s="1088"/>
      <c r="K2178" s="539"/>
      <c r="M2178" s="470"/>
      <c r="O2178" s="468"/>
    </row>
    <row r="2179" spans="1:17" x14ac:dyDescent="0.25">
      <c r="B2179" s="493"/>
      <c r="C2179" s="526">
        <v>1</v>
      </c>
      <c r="D2179" s="467" t="s">
        <v>20</v>
      </c>
      <c r="F2179" s="495"/>
      <c r="G2179" s="561"/>
      <c r="H2179" s="561"/>
      <c r="I2179" s="477"/>
      <c r="J2179" s="973"/>
      <c r="K2179" s="539"/>
      <c r="M2179" s="470"/>
      <c r="O2179" s="468"/>
    </row>
    <row r="2180" spans="1:17" x14ac:dyDescent="0.25">
      <c r="B2180" s="493"/>
      <c r="C2180" s="526">
        <v>1</v>
      </c>
      <c r="D2180" s="467" t="s">
        <v>52</v>
      </c>
      <c r="F2180" s="495"/>
      <c r="G2180" s="553" t="s">
        <v>97</v>
      </c>
      <c r="H2180" s="561">
        <f>SUM(H2163:H2179)</f>
        <v>1098</v>
      </c>
      <c r="I2180" s="477"/>
      <c r="J2180" s="973"/>
      <c r="K2180" s="539"/>
      <c r="M2180" s="470"/>
      <c r="O2180" s="468"/>
    </row>
    <row r="2181" spans="1:17" x14ac:dyDescent="0.25">
      <c r="B2181" s="493"/>
      <c r="C2181" s="526">
        <v>1</v>
      </c>
      <c r="D2181" s="467" t="s">
        <v>21</v>
      </c>
      <c r="F2181" s="495"/>
      <c r="G2181" s="553" t="s">
        <v>105</v>
      </c>
      <c r="H2181" s="561">
        <f>H2180*$M$155</f>
        <v>219.60000000000002</v>
      </c>
      <c r="I2181" s="477"/>
      <c r="J2181" s="973"/>
      <c r="K2181" s="539"/>
      <c r="M2181" s="470"/>
      <c r="O2181" s="468"/>
    </row>
    <row r="2182" spans="1:17" x14ac:dyDescent="0.25">
      <c r="B2182" s="521"/>
      <c r="C2182" s="527" t="s">
        <v>17</v>
      </c>
      <c r="D2182" s="522" t="s">
        <v>48</v>
      </c>
      <c r="E2182" s="523"/>
      <c r="F2182" s="524"/>
      <c r="G2182" s="553" t="s">
        <v>452</v>
      </c>
      <c r="H2182" s="561">
        <f>H2180+H2181</f>
        <v>1317.6</v>
      </c>
      <c r="I2182" s="477"/>
      <c r="J2182" s="973"/>
      <c r="K2182" s="539"/>
      <c r="M2182" s="470"/>
      <c r="O2182" s="468"/>
    </row>
    <row r="2183" spans="1:17" x14ac:dyDescent="0.25">
      <c r="M2183" s="470"/>
    </row>
    <row r="2184" spans="1:17" x14ac:dyDescent="0.25">
      <c r="B2184" s="514" t="s">
        <v>6</v>
      </c>
      <c r="C2184" s="515" t="s">
        <v>0</v>
      </c>
      <c r="D2184" s="606" t="s">
        <v>8</v>
      </c>
      <c r="E2184" s="516" t="s">
        <v>4</v>
      </c>
      <c r="F2184" s="516" t="s">
        <v>3</v>
      </c>
      <c r="G2184" s="477"/>
      <c r="H2184" s="477"/>
      <c r="I2184" s="477"/>
      <c r="K2184" s="539"/>
      <c r="O2184" s="468"/>
    </row>
    <row r="2185" spans="1:17" x14ac:dyDescent="0.25">
      <c r="A2185" s="463">
        <v>152</v>
      </c>
      <c r="B2185" s="1091">
        <f>B119</f>
        <v>6.1799999999999962</v>
      </c>
      <c r="C2185" s="1091">
        <f>C119</f>
        <v>2</v>
      </c>
      <c r="D2185" s="1091" t="str">
        <f>D119</f>
        <v>TABLERO TFV-AC - TIPO 14.1</v>
      </c>
      <c r="E2185" s="518">
        <f>H2207</f>
        <v>1626</v>
      </c>
      <c r="F2185" s="518">
        <f>+E2185*C2185</f>
        <v>3252</v>
      </c>
      <c r="G2185" s="553" t="s">
        <v>450</v>
      </c>
      <c r="H2185" s="553" t="s">
        <v>1</v>
      </c>
      <c r="I2185" s="477"/>
      <c r="K2185" s="539"/>
      <c r="O2185" s="468"/>
    </row>
    <row r="2186" spans="1:17" ht="16.5" thickBot="1" x14ac:dyDescent="0.3">
      <c r="B2186" s="1092"/>
      <c r="C2186" s="1092"/>
      <c r="D2186" s="1092"/>
      <c r="E2186" s="520" t="s">
        <v>50</v>
      </c>
      <c r="F2186" s="520" t="s">
        <v>50</v>
      </c>
      <c r="G2186" s="553" t="s">
        <v>50</v>
      </c>
      <c r="H2186" s="553" t="s">
        <v>50</v>
      </c>
      <c r="I2186" s="477"/>
      <c r="K2186" s="539"/>
      <c r="O2186" s="468"/>
    </row>
    <row r="2187" spans="1:17" ht="16.5" thickBot="1" x14ac:dyDescent="0.3">
      <c r="B2187" s="493"/>
      <c r="C2187" s="526"/>
      <c r="D2187" s="463"/>
      <c r="E2187" s="491"/>
      <c r="F2187" s="492"/>
      <c r="G2187" s="561" t="str">
        <f>IFERROR(VLOOKUP(D2187,'Precios Equipos'!$C$1:$F$5052,3,0),"")</f>
        <v/>
      </c>
      <c r="H2187" s="561" t="str">
        <f t="shared" ref="H2187:H2200" si="214">IFERROR(G2187*C2187,"")</f>
        <v/>
      </c>
      <c r="I2187" s="477"/>
      <c r="K2187" s="539"/>
      <c r="L2187" s="540" t="s">
        <v>451</v>
      </c>
      <c r="M2187" s="541"/>
      <c r="O2187" s="468"/>
    </row>
    <row r="2188" spans="1:17" ht="16.5" thickBot="1" x14ac:dyDescent="0.3">
      <c r="B2188" s="493"/>
      <c r="C2188" s="526">
        <v>1</v>
      </c>
      <c r="D2188" s="500" t="str">
        <f>+'Precios Equipos'!$C$182</f>
        <v>Gabinete Adosado 900x700x200mm. (alto x ancho x profundidad) dimensiones aproximadas</v>
      </c>
      <c r="F2188" s="495"/>
      <c r="G2188" s="561">
        <f>IFERROR(VLOOKUP(D2188,'Precios Equipos'!$C$1:$F$5052,3,0),"")</f>
        <v>38</v>
      </c>
      <c r="H2188" s="561">
        <f t="shared" si="214"/>
        <v>38</v>
      </c>
      <c r="I2188" s="561">
        <f>SUM(H2188)</f>
        <v>38</v>
      </c>
      <c r="J2188" s="924">
        <f>+I2188/H2205</f>
        <v>2.8044280442804426E-2</v>
      </c>
      <c r="K2188" s="539"/>
      <c r="L2188" s="542" t="s">
        <v>88</v>
      </c>
      <c r="M2188" s="543" t="s">
        <v>85</v>
      </c>
      <c r="O2188" s="468"/>
      <c r="Q2188" s="465">
        <f>+C2188*$C$2185</f>
        <v>2</v>
      </c>
    </row>
    <row r="2189" spans="1:17" x14ac:dyDescent="0.25">
      <c r="B2189" s="493"/>
      <c r="C2189" s="526"/>
      <c r="D2189" s="494"/>
      <c r="F2189" s="495"/>
      <c r="G2189" s="561" t="str">
        <f>IFERROR(VLOOKUP(D2189,'Precios Equipos'!$C$1:$F$5052,3,0),"")</f>
        <v/>
      </c>
      <c r="H2189" s="561" t="str">
        <f t="shared" si="214"/>
        <v/>
      </c>
      <c r="I2189" s="477"/>
      <c r="K2189" s="539"/>
      <c r="L2189" s="544" t="str">
        <f>+'Precios Equipos'!C128</f>
        <v>COBRE TABLERO TFV-AC 09.1, 12.1, 14.1</v>
      </c>
      <c r="M2189" s="545">
        <f>IFERROR(VLOOKUP(L2189,'Precios Equipos'!$C$11:$F$208,3,0),0)</f>
        <v>5</v>
      </c>
      <c r="O2189" s="468"/>
    </row>
    <row r="2190" spans="1:17" x14ac:dyDescent="0.25">
      <c r="B2190" s="493"/>
      <c r="C2190" s="526"/>
      <c r="D2190" s="620" t="s">
        <v>70</v>
      </c>
      <c r="F2190" s="495"/>
      <c r="G2190" s="561" t="str">
        <f>IFERROR(VLOOKUP(D2190,'Precios Equipos'!$C$1:$F$5052,3,0),"")</f>
        <v/>
      </c>
      <c r="H2190" s="561" t="str">
        <f t="shared" si="214"/>
        <v/>
      </c>
      <c r="I2190" s="477"/>
      <c r="K2190" s="539"/>
      <c r="L2190" s="544" t="str">
        <f>+'Precios Equipos'!$C$132</f>
        <v>CABLEADO 1 DIFERENCIALES, 2P</v>
      </c>
      <c r="M2190" s="545">
        <f>IFERROR(VLOOKUP(L2190,'Precios Equipos'!$C$11:$F$208,3,0),0)</f>
        <v>37</v>
      </c>
      <c r="O2190" s="468"/>
    </row>
    <row r="2191" spans="1:17" x14ac:dyDescent="0.25">
      <c r="B2191" s="493"/>
      <c r="C2191" s="526">
        <v>2</v>
      </c>
      <c r="D2191" s="494" t="str">
        <f>+'Precios Equipos'!C21</f>
        <v>ITM 3x50A, Caja Moldeada (35-50)A, 25kA en 380VAC, XT1C, ABB</v>
      </c>
      <c r="F2191" s="497"/>
      <c r="G2191" s="561">
        <f>IFERROR(VLOOKUP(D2191,'Precios Equipos'!$C$1:$F$5052,3,0),"")</f>
        <v>41</v>
      </c>
      <c r="H2191" s="561">
        <f t="shared" si="214"/>
        <v>82</v>
      </c>
      <c r="I2191" s="1081">
        <f>SUM(H2191:H2199)</f>
        <v>1193</v>
      </c>
      <c r="J2191" s="1114">
        <f>+I2191/H2205</f>
        <v>0.88044280442804423</v>
      </c>
      <c r="K2191" s="539"/>
      <c r="L2191" s="544" t="str">
        <f>+'Precios Equipos'!$C$141</f>
        <v>Mano de obra 12-16 polos (6-8 ITM)</v>
      </c>
      <c r="M2191" s="545">
        <f>IFERROR(VLOOKUP(L2191,'Precios Equipos'!$C$11:$F$208,3,0),0)</f>
        <v>16</v>
      </c>
      <c r="O2191" s="468"/>
      <c r="Q2191" s="465">
        <f>+C2191*$C$2185</f>
        <v>4</v>
      </c>
    </row>
    <row r="2192" spans="1:17" x14ac:dyDescent="0.25">
      <c r="B2192" s="493"/>
      <c r="C2192" s="526"/>
      <c r="D2192" s="494"/>
      <c r="F2192" s="495"/>
      <c r="G2192" s="561" t="str">
        <f>IFERROR(VLOOKUP(D2192,'Precios Equipos'!$C$1:$F$5052,3,0),"")</f>
        <v/>
      </c>
      <c r="H2192" s="561" t="str">
        <f t="shared" si="214"/>
        <v/>
      </c>
      <c r="I2192" s="1082"/>
      <c r="J2192" s="1120"/>
      <c r="K2192" s="539"/>
      <c r="L2192" s="544" t="str">
        <f>+'Precios Equipos'!$C$162</f>
        <v>Mano de obra 1-2 Diferenciales</v>
      </c>
      <c r="M2192" s="545">
        <f>IFERROR(VLOOKUP(L2192,'Precios Equipos'!$C$11:$F$208,3,0),0)</f>
        <v>33</v>
      </c>
      <c r="O2192" s="468"/>
    </row>
    <row r="2193" spans="2:17" ht="16.5" thickBot="1" x14ac:dyDescent="0.3">
      <c r="B2193" s="493"/>
      <c r="C2193" s="526"/>
      <c r="D2193" s="620" t="s">
        <v>71</v>
      </c>
      <c r="F2193" s="495"/>
      <c r="G2193" s="561" t="str">
        <f>IFERROR(VLOOKUP(D2193,'Precios Equipos'!$C$1:$F$5052,3,0),"")</f>
        <v/>
      </c>
      <c r="H2193" s="561" t="str">
        <f t="shared" si="214"/>
        <v/>
      </c>
      <c r="I2193" s="1082"/>
      <c r="J2193" s="1120"/>
      <c r="K2193" s="539"/>
      <c r="L2193" s="544" t="str">
        <f>+'Precios Equipos'!$C$204</f>
        <v>Diseño Ingenieria Tableros Adosados</v>
      </c>
      <c r="M2193" s="545">
        <f>IFERROR(VLOOKUP(L2193,'Precios Equipos'!$C$11:$F$208,3,0),0)</f>
        <v>33</v>
      </c>
      <c r="O2193" s="468"/>
      <c r="P2193" s="501"/>
    </row>
    <row r="2194" spans="2:17" ht="16.5" thickBot="1" x14ac:dyDescent="0.3">
      <c r="B2194" s="493"/>
      <c r="C2194" s="526">
        <v>9</v>
      </c>
      <c r="D2194" s="494" t="str">
        <f>+'Precios Equipos'!C16</f>
        <v>ITM 2x50A, Caja Moldeada, 50kA en 220VAC, A1N, ABB</v>
      </c>
      <c r="F2194" s="495"/>
      <c r="G2194" s="561">
        <f>IFERROR(VLOOKUP(D2194,'Precios Equipos'!$C$1:$F$5052,3,0),"")</f>
        <v>36</v>
      </c>
      <c r="H2194" s="561">
        <f t="shared" si="214"/>
        <v>324</v>
      </c>
      <c r="I2194" s="1082"/>
      <c r="J2194" s="1120"/>
      <c r="K2194" s="539"/>
      <c r="L2194" s="546" t="s">
        <v>89</v>
      </c>
      <c r="M2194" s="560">
        <f>SUM(M2189:M2193)</f>
        <v>124</v>
      </c>
      <c r="O2194" s="468"/>
      <c r="P2194" s="501"/>
      <c r="Q2194" s="465">
        <f>+C2194*$C$2185</f>
        <v>18</v>
      </c>
    </row>
    <row r="2195" spans="2:17" x14ac:dyDescent="0.25">
      <c r="B2195" s="493"/>
      <c r="C2195" s="526">
        <v>1</v>
      </c>
      <c r="D2195" s="494" t="str">
        <f>+'Precios Equipos'!C50</f>
        <v>Interruptor Riel Din 2x25A. S202 20kA en 220VAC, ABB</v>
      </c>
      <c r="F2195" s="495"/>
      <c r="G2195" s="561">
        <f>IFERROR(VLOOKUP(D2195,'Precios Equipos'!$C$1:$F$5052,3,0),"")</f>
        <v>263</v>
      </c>
      <c r="H2195" s="561">
        <f t="shared" si="214"/>
        <v>263</v>
      </c>
      <c r="I2195" s="1082"/>
      <c r="J2195" s="1120"/>
      <c r="K2195" s="539"/>
      <c r="L2195" s="593"/>
      <c r="M2195" s="594"/>
      <c r="O2195" s="468"/>
      <c r="P2195" s="501"/>
      <c r="Q2195" s="465">
        <f>+C2195*$C$2185</f>
        <v>2</v>
      </c>
    </row>
    <row r="2196" spans="2:17" x14ac:dyDescent="0.25">
      <c r="B2196" s="493"/>
      <c r="C2196" s="526">
        <v>1</v>
      </c>
      <c r="D2196" s="494" t="str">
        <f>+'Precios Equipos'!$C$63</f>
        <v>Protector de sobretension SPD AC 3P+N, 230/400V, 1.5kV, 40kA</v>
      </c>
      <c r="F2196" s="495"/>
      <c r="G2196" s="561">
        <f>IFERROR(VLOOKUP(D2196,'Precios Equipos'!$C$1:$F$5052,3,0),"")</f>
        <v>38</v>
      </c>
      <c r="H2196" s="561">
        <f t="shared" si="214"/>
        <v>38</v>
      </c>
      <c r="I2196" s="1082"/>
      <c r="J2196" s="1120"/>
      <c r="K2196" s="539"/>
      <c r="M2196" s="470"/>
      <c r="O2196" s="468"/>
      <c r="Q2196" s="465">
        <f>+C2196*$C$2185</f>
        <v>2</v>
      </c>
    </row>
    <row r="2197" spans="2:17" x14ac:dyDescent="0.25">
      <c r="B2197" s="493"/>
      <c r="C2197" s="526"/>
      <c r="D2197" s="494"/>
      <c r="F2197" s="495"/>
      <c r="G2197" s="561" t="str">
        <f>IFERROR(VLOOKUP(D2197,'Precios Equipos'!$C$1:$F$5052,3,0),"")</f>
        <v/>
      </c>
      <c r="H2197" s="561" t="str">
        <f t="shared" si="214"/>
        <v/>
      </c>
      <c r="I2197" s="1082"/>
      <c r="J2197" s="1120"/>
      <c r="K2197" s="539"/>
      <c r="M2197" s="470"/>
      <c r="O2197" s="468"/>
    </row>
    <row r="2198" spans="2:17" x14ac:dyDescent="0.25">
      <c r="B2198" s="493"/>
      <c r="C2198" s="526"/>
      <c r="D2198" s="620" t="s">
        <v>737</v>
      </c>
      <c r="F2198" s="495"/>
      <c r="G2198" s="561" t="str">
        <f>IFERROR(VLOOKUP(D2198,'Precios Equipos'!$C$1:$F$5052,3,0),"")</f>
        <v/>
      </c>
      <c r="H2198" s="561" t="str">
        <f t="shared" si="214"/>
        <v/>
      </c>
      <c r="I2198" s="1082"/>
      <c r="J2198" s="1120"/>
      <c r="K2198" s="539"/>
      <c r="M2198" s="470"/>
      <c r="O2198" s="468"/>
    </row>
    <row r="2199" spans="2:17" x14ac:dyDescent="0.25">
      <c r="B2199" s="493"/>
      <c r="C2199" s="526">
        <v>3</v>
      </c>
      <c r="D2199" s="494" t="str">
        <f>+'Precios Equipos'!C48</f>
        <v>Interruptor Riel Din 2x04A. S200 20kA en 230V en 250VAC, ABB</v>
      </c>
      <c r="F2199" s="495"/>
      <c r="G2199" s="561">
        <f>IFERROR(VLOOKUP(D2199,'Precios Equipos'!$C$1:$F$5052,3,0),"")</f>
        <v>162</v>
      </c>
      <c r="H2199" s="561">
        <f t="shared" si="214"/>
        <v>486</v>
      </c>
      <c r="I2199" s="1083"/>
      <c r="J2199" s="1115"/>
      <c r="K2199" s="539"/>
      <c r="M2199" s="470"/>
      <c r="O2199" s="468"/>
      <c r="Q2199" s="465">
        <f>+C2199*$C$2185</f>
        <v>6</v>
      </c>
    </row>
    <row r="2200" spans="2:17" x14ac:dyDescent="0.25">
      <c r="B2200" s="493"/>
      <c r="C2200" s="526"/>
      <c r="D2200" s="494"/>
      <c r="F2200" s="495"/>
      <c r="G2200" s="561" t="str">
        <f>IFERROR(VLOOKUP(D2200,'Precios Equipos'!$C$1:$F$5052,3,0),"")</f>
        <v/>
      </c>
      <c r="H2200" s="561" t="str">
        <f t="shared" si="214"/>
        <v/>
      </c>
      <c r="I2200" s="477"/>
      <c r="K2200" s="539"/>
      <c r="M2200" s="470"/>
      <c r="O2200" s="468"/>
    </row>
    <row r="2201" spans="2:17" x14ac:dyDescent="0.25">
      <c r="B2201" s="493"/>
      <c r="C2201" s="526"/>
      <c r="D2201" s="496" t="s">
        <v>87</v>
      </c>
      <c r="F2201" s="495"/>
      <c r="G2201" s="561"/>
      <c r="H2201" s="561">
        <f>M2194</f>
        <v>124</v>
      </c>
      <c r="I2201" s="561">
        <f>SUM(H2201)</f>
        <v>124</v>
      </c>
      <c r="J2201" s="924">
        <f>+I2201/H2205</f>
        <v>9.1512915129151287E-2</v>
      </c>
      <c r="K2201" s="539"/>
      <c r="M2201" s="470"/>
      <c r="O2201" s="468"/>
    </row>
    <row r="2202" spans="2:17" x14ac:dyDescent="0.25">
      <c r="B2202" s="493"/>
      <c r="C2202" s="526">
        <v>1</v>
      </c>
      <c r="D2202" s="494" t="s">
        <v>49</v>
      </c>
      <c r="F2202" s="495"/>
      <c r="G2202" s="561"/>
      <c r="H2202" s="561">
        <f>$O$153</f>
        <v>0</v>
      </c>
      <c r="I2202" s="1081">
        <f>SUM(H2202:H2203)</f>
        <v>0</v>
      </c>
      <c r="J2202" s="1114">
        <f>+I2202/H2205</f>
        <v>0</v>
      </c>
      <c r="K2202" s="539"/>
      <c r="M2202" s="470"/>
      <c r="O2202" s="468"/>
    </row>
    <row r="2203" spans="2:17" x14ac:dyDescent="0.25">
      <c r="B2203" s="493"/>
      <c r="C2203" s="526">
        <v>1</v>
      </c>
      <c r="D2203" s="494" t="s">
        <v>51</v>
      </c>
      <c r="F2203" s="495"/>
      <c r="G2203" s="561"/>
      <c r="H2203" s="561">
        <f>$O$154</f>
        <v>0</v>
      </c>
      <c r="I2203" s="1083"/>
      <c r="J2203" s="1115"/>
      <c r="K2203" s="539"/>
      <c r="M2203" s="470"/>
      <c r="O2203" s="468"/>
    </row>
    <row r="2204" spans="2:17" x14ac:dyDescent="0.25">
      <c r="B2204" s="493"/>
      <c r="C2204" s="526">
        <v>1</v>
      </c>
      <c r="D2204" s="467" t="s">
        <v>20</v>
      </c>
      <c r="F2204" s="495"/>
      <c r="G2204" s="561"/>
      <c r="H2204" s="561"/>
      <c r="I2204" s="477"/>
      <c r="J2204" s="973"/>
      <c r="K2204" s="539"/>
      <c r="M2204" s="470"/>
      <c r="O2204" s="468"/>
    </row>
    <row r="2205" spans="2:17" x14ac:dyDescent="0.25">
      <c r="B2205" s="493"/>
      <c r="C2205" s="526">
        <v>1</v>
      </c>
      <c r="D2205" s="467" t="s">
        <v>52</v>
      </c>
      <c r="F2205" s="495"/>
      <c r="G2205" s="553" t="s">
        <v>97</v>
      </c>
      <c r="H2205" s="561">
        <f>SUM(H2188:H2204)</f>
        <v>1355</v>
      </c>
      <c r="I2205" s="477"/>
      <c r="J2205" s="973"/>
      <c r="K2205" s="539"/>
      <c r="M2205" s="470"/>
      <c r="O2205" s="468"/>
    </row>
    <row r="2206" spans="2:17" x14ac:dyDescent="0.25">
      <c r="B2206" s="493"/>
      <c r="C2206" s="526">
        <v>1</v>
      </c>
      <c r="D2206" s="467" t="s">
        <v>21</v>
      </c>
      <c r="F2206" s="495"/>
      <c r="G2206" s="553" t="s">
        <v>105</v>
      </c>
      <c r="H2206" s="561">
        <f>H2205*$M$155</f>
        <v>271</v>
      </c>
      <c r="I2206" s="477"/>
      <c r="J2206" s="973"/>
      <c r="K2206" s="539"/>
      <c r="M2206" s="470"/>
      <c r="O2206" s="468"/>
    </row>
    <row r="2207" spans="2:17" x14ac:dyDescent="0.25">
      <c r="B2207" s="521"/>
      <c r="C2207" s="527" t="s">
        <v>17</v>
      </c>
      <c r="D2207" s="522" t="s">
        <v>48</v>
      </c>
      <c r="E2207" s="523"/>
      <c r="F2207" s="524"/>
      <c r="G2207" s="553" t="s">
        <v>452</v>
      </c>
      <c r="H2207" s="561">
        <f>H2205+H2206</f>
        <v>1626</v>
      </c>
      <c r="I2207" s="477"/>
      <c r="J2207" s="973"/>
      <c r="K2207" s="539"/>
      <c r="O2207" s="468"/>
    </row>
    <row r="2209" spans="1:17" x14ac:dyDescent="0.25">
      <c r="B2209" s="514" t="s">
        <v>6</v>
      </c>
      <c r="C2209" s="515" t="s">
        <v>0</v>
      </c>
      <c r="D2209" s="606" t="s">
        <v>8</v>
      </c>
      <c r="E2209" s="516" t="s">
        <v>4</v>
      </c>
      <c r="F2209" s="516" t="s">
        <v>3</v>
      </c>
      <c r="G2209" s="477"/>
      <c r="H2209" s="477"/>
      <c r="I2209" s="477"/>
      <c r="K2209" s="539"/>
      <c r="O2209" s="468"/>
    </row>
    <row r="2210" spans="1:17" x14ac:dyDescent="0.25">
      <c r="A2210" s="463">
        <v>152</v>
      </c>
      <c r="B2210" s="1097">
        <f>B120</f>
        <v>6.1899999999999959</v>
      </c>
      <c r="C2210" s="1097">
        <f>C120</f>
        <v>1</v>
      </c>
      <c r="D2210" s="1097" t="str">
        <f>D120</f>
        <v>TABLERO TFV-AC - TIPO 15</v>
      </c>
      <c r="E2210" s="518">
        <f>H2233</f>
        <v>1615.2</v>
      </c>
      <c r="F2210" s="518">
        <f>+E2210*C2210</f>
        <v>1615.2</v>
      </c>
      <c r="G2210" s="553" t="s">
        <v>450</v>
      </c>
      <c r="H2210" s="553" t="s">
        <v>1</v>
      </c>
      <c r="I2210" s="477"/>
      <c r="K2210" s="539"/>
      <c r="O2210" s="468"/>
    </row>
    <row r="2211" spans="1:17" x14ac:dyDescent="0.25">
      <c r="B2211" s="1097"/>
      <c r="C2211" s="1097"/>
      <c r="D2211" s="1097"/>
      <c r="E2211" s="520" t="s">
        <v>50</v>
      </c>
      <c r="F2211" s="520" t="s">
        <v>50</v>
      </c>
      <c r="G2211" s="553" t="s">
        <v>50</v>
      </c>
      <c r="H2211" s="553" t="s">
        <v>50</v>
      </c>
      <c r="I2211" s="477"/>
      <c r="K2211" s="539"/>
      <c r="O2211" s="468"/>
    </row>
    <row r="2212" spans="1:17" ht="16.5" thickBot="1" x14ac:dyDescent="0.3">
      <c r="B2212" s="493"/>
      <c r="C2212" s="526"/>
      <c r="D2212" s="463"/>
      <c r="E2212" s="491"/>
      <c r="F2212" s="492"/>
      <c r="G2212" s="561" t="str">
        <f>IFERROR(VLOOKUP(D2212,'Precios Equipos'!$C$1:$F$5052,3,0),"")</f>
        <v/>
      </c>
      <c r="H2212" s="561" t="str">
        <f t="shared" ref="H2212:H2226" si="215">IFERROR(G2212*C2212,"")</f>
        <v/>
      </c>
      <c r="I2212" s="477"/>
      <c r="K2212" s="539"/>
      <c r="O2212" s="468"/>
    </row>
    <row r="2213" spans="1:17" ht="16.5" thickBot="1" x14ac:dyDescent="0.3">
      <c r="B2213" s="493"/>
      <c r="C2213" s="526">
        <v>1</v>
      </c>
      <c r="D2213" s="500" t="str">
        <f>+'Precios Equipos'!$C$182</f>
        <v>Gabinete Adosado 900x700x200mm. (alto x ancho x profundidad) dimensiones aproximadas</v>
      </c>
      <c r="F2213" s="495"/>
      <c r="G2213" s="561">
        <f>IFERROR(VLOOKUP(D2213,'Precios Equipos'!$C$1:$F$5052,3,0),"")</f>
        <v>38</v>
      </c>
      <c r="H2213" s="561">
        <f t="shared" si="215"/>
        <v>38</v>
      </c>
      <c r="I2213" s="561">
        <f>SUM(H2213)</f>
        <v>38</v>
      </c>
      <c r="J2213" s="924">
        <f>+I2213/H2231</f>
        <v>2.8231797919762259E-2</v>
      </c>
      <c r="K2213" s="539"/>
      <c r="L2213" s="540" t="s">
        <v>451</v>
      </c>
      <c r="M2213" s="541"/>
      <c r="O2213" s="468"/>
      <c r="Q2213" s="465">
        <f>+C2213*$C$2210</f>
        <v>1</v>
      </c>
    </row>
    <row r="2214" spans="1:17" ht="16.5" thickBot="1" x14ac:dyDescent="0.3">
      <c r="B2214" s="493"/>
      <c r="C2214" s="526"/>
      <c r="D2214" s="494"/>
      <c r="F2214" s="495"/>
      <c r="G2214" s="561" t="str">
        <f>IFERROR(VLOOKUP(D2214,'Precios Equipos'!$C$1:$F$5052,3,0),"")</f>
        <v/>
      </c>
      <c r="H2214" s="561" t="str">
        <f t="shared" si="215"/>
        <v/>
      </c>
      <c r="I2214" s="477"/>
      <c r="K2214" s="539"/>
      <c r="L2214" s="542" t="s">
        <v>88</v>
      </c>
      <c r="M2214" s="543" t="s">
        <v>85</v>
      </c>
      <c r="O2214" s="468"/>
    </row>
    <row r="2215" spans="1:17" x14ac:dyDescent="0.25">
      <c r="B2215" s="493"/>
      <c r="C2215" s="526"/>
      <c r="D2215" s="620" t="s">
        <v>739</v>
      </c>
      <c r="F2215" s="495"/>
      <c r="G2215" s="561" t="str">
        <f>IFERROR(VLOOKUP(D2215,'Precios Equipos'!$C$1:$F$5052,3,0),"")</f>
        <v/>
      </c>
      <c r="H2215" s="561" t="str">
        <f t="shared" si="215"/>
        <v/>
      </c>
      <c r="I2215" s="477"/>
      <c r="K2215" s="539"/>
      <c r="L2215" s="544" t="str">
        <f>+'Precios Equipos'!C129</f>
        <v>COBRE TABLERO TFV-AC 14 C2.1</v>
      </c>
      <c r="M2215" s="545">
        <f>IFERROR(VLOOKUP(L2215,'Precios Equipos'!$C$11:$F$208,3,0),0)</f>
        <v>13</v>
      </c>
      <c r="O2215" s="468"/>
    </row>
    <row r="2216" spans="1:17" x14ac:dyDescent="0.25">
      <c r="B2216" s="493"/>
      <c r="C2216" s="526">
        <v>2</v>
      </c>
      <c r="D2216" s="494" t="str">
        <f>+'Precios Equipos'!C22</f>
        <v>ITM 3x80A, Caja Moldeada (56-80)A, 25kA en 380VAC, XT1C, ABB</v>
      </c>
      <c r="F2216" s="497"/>
      <c r="G2216" s="561">
        <f>IFERROR(VLOOKUP(D2216,'Precios Equipos'!$C$1:$F$5052,3,0),"")</f>
        <v>2</v>
      </c>
      <c r="H2216" s="561">
        <f t="shared" si="215"/>
        <v>4</v>
      </c>
      <c r="I2216" s="1081">
        <f>SUM(H2216:H2225)</f>
        <v>1176</v>
      </c>
      <c r="J2216" s="1114">
        <f>+I2216/H2231</f>
        <v>0.8736998514115899</v>
      </c>
      <c r="K2216" s="539"/>
      <c r="L2216" s="544" t="str">
        <f>+'Precios Equipos'!$C$132</f>
        <v>CABLEADO 1 DIFERENCIALES, 2P</v>
      </c>
      <c r="M2216" s="545">
        <f>IFERROR(VLOOKUP(L2216,'Precios Equipos'!$C$11:$F$208,3,0),0)</f>
        <v>37</v>
      </c>
      <c r="O2216" s="468"/>
      <c r="Q2216" s="465">
        <f>+C2216*$C$2210</f>
        <v>2</v>
      </c>
    </row>
    <row r="2217" spans="1:17" x14ac:dyDescent="0.25">
      <c r="B2217" s="493"/>
      <c r="C2217" s="526">
        <v>1</v>
      </c>
      <c r="D2217" s="494" t="str">
        <f>+'Precios Equipos'!C21</f>
        <v>ITM 3x50A, Caja Moldeada (35-50)A, 25kA en 380VAC, XT1C, ABB</v>
      </c>
      <c r="F2217" s="497"/>
      <c r="G2217" s="561">
        <f>IFERROR(VLOOKUP(D2217,'Precios Equipos'!$C$1:$F$5052,3,0),"")</f>
        <v>41</v>
      </c>
      <c r="H2217" s="561">
        <f t="shared" si="215"/>
        <v>41</v>
      </c>
      <c r="I2217" s="1082"/>
      <c r="J2217" s="1120"/>
      <c r="K2217" s="539"/>
      <c r="L2217" s="544" t="str">
        <f>+'Precios Equipos'!$C$141</f>
        <v>Mano de obra 12-16 polos (6-8 ITM)</v>
      </c>
      <c r="M2217" s="545">
        <f>IFERROR(VLOOKUP(L2217,'Precios Equipos'!$C$11:$F$208,3,0),0)</f>
        <v>16</v>
      </c>
      <c r="O2217" s="468"/>
      <c r="Q2217" s="465">
        <f>+C2217*$C$2210</f>
        <v>1</v>
      </c>
    </row>
    <row r="2218" spans="1:17" x14ac:dyDescent="0.25">
      <c r="B2218" s="493"/>
      <c r="C2218" s="526"/>
      <c r="D2218" s="494"/>
      <c r="F2218" s="495"/>
      <c r="G2218" s="561" t="str">
        <f>IFERROR(VLOOKUP(D2218,'Precios Equipos'!$C$1:$F$5052,3,0),"")</f>
        <v/>
      </c>
      <c r="H2218" s="561" t="str">
        <f t="shared" si="215"/>
        <v/>
      </c>
      <c r="I2218" s="1082"/>
      <c r="J2218" s="1120"/>
      <c r="K2218" s="539"/>
      <c r="L2218" s="544" t="str">
        <f>+'Precios Equipos'!$C$162</f>
        <v>Mano de obra 1-2 Diferenciales</v>
      </c>
      <c r="M2218" s="545">
        <f>IFERROR(VLOOKUP(L2218,'Precios Equipos'!$C$11:$F$208,3,0),0)</f>
        <v>33</v>
      </c>
      <c r="O2218" s="468"/>
    </row>
    <row r="2219" spans="1:17" ht="16.5" thickBot="1" x14ac:dyDescent="0.3">
      <c r="B2219" s="493"/>
      <c r="C2219" s="526"/>
      <c r="D2219" s="620" t="s">
        <v>71</v>
      </c>
      <c r="F2219" s="495"/>
      <c r="G2219" s="561" t="str">
        <f>IFERROR(VLOOKUP(D2219,'Precios Equipos'!$C$1:$F$5052,3,0),"")</f>
        <v/>
      </c>
      <c r="H2219" s="561" t="str">
        <f t="shared" si="215"/>
        <v/>
      </c>
      <c r="I2219" s="1082"/>
      <c r="J2219" s="1120"/>
      <c r="K2219" s="539"/>
      <c r="L2219" s="544" t="str">
        <f>+'Precios Equipos'!$C$204</f>
        <v>Diseño Ingenieria Tableros Adosados</v>
      </c>
      <c r="M2219" s="545">
        <f>IFERROR(VLOOKUP(L2219,'Precios Equipos'!$C$11:$F$208,3,0),0)</f>
        <v>33</v>
      </c>
      <c r="O2219" s="468"/>
      <c r="P2219" s="501"/>
    </row>
    <row r="2220" spans="1:17" ht="16.5" thickBot="1" x14ac:dyDescent="0.3">
      <c r="B2220" s="493"/>
      <c r="C2220" s="526">
        <v>9</v>
      </c>
      <c r="D2220" s="494" t="str">
        <f>+'Precios Equipos'!C17</f>
        <v>ITM 2x63A, Caja Moldeada, 50kA en 220VAC, A1N, ABB</v>
      </c>
      <c r="F2220" s="495"/>
      <c r="G2220" s="561">
        <f>IFERROR(VLOOKUP(D2220,'Precios Equipos'!$C$1:$F$5052,3,0),"")</f>
        <v>9</v>
      </c>
      <c r="H2220" s="561">
        <f t="shared" si="215"/>
        <v>81</v>
      </c>
      <c r="I2220" s="1082"/>
      <c r="J2220" s="1120"/>
      <c r="K2220" s="539"/>
      <c r="L2220" s="546" t="s">
        <v>89</v>
      </c>
      <c r="M2220" s="560">
        <f>SUM(M2215:M2219)</f>
        <v>132</v>
      </c>
      <c r="O2220" s="468"/>
      <c r="P2220" s="501"/>
      <c r="Q2220" s="465">
        <f>+C2220*$C$2210</f>
        <v>9</v>
      </c>
    </row>
    <row r="2221" spans="1:17" x14ac:dyDescent="0.25">
      <c r="B2221" s="493"/>
      <c r="C2221" s="526">
        <v>2</v>
      </c>
      <c r="D2221" s="494" t="str">
        <f>+'Precios Equipos'!C50</f>
        <v>Interruptor Riel Din 2x25A. S202 20kA en 220VAC, ABB</v>
      </c>
      <c r="F2221" s="495"/>
      <c r="G2221" s="561">
        <f>IFERROR(VLOOKUP(D2221,'Precios Equipos'!$C$1:$F$5052,3,0),"")</f>
        <v>263</v>
      </c>
      <c r="H2221" s="561">
        <f t="shared" si="215"/>
        <v>526</v>
      </c>
      <c r="I2221" s="1082"/>
      <c r="J2221" s="1120"/>
      <c r="K2221" s="539"/>
      <c r="L2221" s="593"/>
      <c r="M2221" s="594"/>
      <c r="O2221" s="468"/>
      <c r="P2221" s="501"/>
      <c r="Q2221" s="465">
        <f>+C2221*$C$2210</f>
        <v>2</v>
      </c>
    </row>
    <row r="2222" spans="1:17" x14ac:dyDescent="0.25">
      <c r="B2222" s="493"/>
      <c r="C2222" s="526">
        <v>1</v>
      </c>
      <c r="D2222" s="494" t="str">
        <f>+'Precios Equipos'!$C$63</f>
        <v>Protector de sobretension SPD AC 3P+N, 230/400V, 1.5kV, 40kA</v>
      </c>
      <c r="F2222" s="495"/>
      <c r="G2222" s="561">
        <f>IFERROR(VLOOKUP(D2222,'Precios Equipos'!$C$1:$F$5052,3,0),"")</f>
        <v>38</v>
      </c>
      <c r="H2222" s="561">
        <f t="shared" si="215"/>
        <v>38</v>
      </c>
      <c r="I2222" s="1082"/>
      <c r="J2222" s="1120"/>
      <c r="K2222" s="539"/>
      <c r="M2222" s="470"/>
      <c r="O2222" s="468"/>
      <c r="Q2222" s="465">
        <f>+C2222*$C$2210</f>
        <v>1</v>
      </c>
    </row>
    <row r="2223" spans="1:17" x14ac:dyDescent="0.25">
      <c r="B2223" s="493"/>
      <c r="C2223" s="526"/>
      <c r="D2223" s="494"/>
      <c r="F2223" s="495"/>
      <c r="G2223" s="561" t="str">
        <f>IFERROR(VLOOKUP(D2223,'Precios Equipos'!$C$1:$F$5052,3,0),"")</f>
        <v/>
      </c>
      <c r="H2223" s="561" t="str">
        <f t="shared" si="215"/>
        <v/>
      </c>
      <c r="I2223" s="1082"/>
      <c r="J2223" s="1120"/>
      <c r="K2223" s="539"/>
      <c r="M2223" s="470"/>
      <c r="O2223" s="468"/>
    </row>
    <row r="2224" spans="1:17" x14ac:dyDescent="0.25">
      <c r="B2224" s="493"/>
      <c r="C2224" s="526"/>
      <c r="D2224" s="620" t="s">
        <v>737</v>
      </c>
      <c r="F2224" s="495"/>
      <c r="G2224" s="561" t="str">
        <f>IFERROR(VLOOKUP(D2224,'Precios Equipos'!$C$1:$F$5052,3,0),"")</f>
        <v/>
      </c>
      <c r="H2224" s="561" t="str">
        <f t="shared" si="215"/>
        <v/>
      </c>
      <c r="I2224" s="1082"/>
      <c r="J2224" s="1120"/>
      <c r="K2224" s="539"/>
      <c r="M2224" s="470"/>
      <c r="O2224" s="468"/>
    </row>
    <row r="2225" spans="1:17" x14ac:dyDescent="0.25">
      <c r="B2225" s="493"/>
      <c r="C2225" s="526">
        <v>3</v>
      </c>
      <c r="D2225" s="494" t="str">
        <f>+'Precios Equipos'!C48</f>
        <v>Interruptor Riel Din 2x04A. S200 20kA en 230V en 250VAC, ABB</v>
      </c>
      <c r="F2225" s="495"/>
      <c r="G2225" s="561">
        <f>IFERROR(VLOOKUP(D2225,'Precios Equipos'!$C$1:$F$5052,3,0),"")</f>
        <v>162</v>
      </c>
      <c r="H2225" s="561">
        <f t="shared" si="215"/>
        <v>486</v>
      </c>
      <c r="I2225" s="1083"/>
      <c r="J2225" s="1115"/>
      <c r="K2225" s="539"/>
      <c r="M2225" s="470"/>
      <c r="O2225" s="468"/>
      <c r="Q2225" s="465">
        <f>+C2225*$C$2210</f>
        <v>3</v>
      </c>
    </row>
    <row r="2226" spans="1:17" x14ac:dyDescent="0.25">
      <c r="B2226" s="493"/>
      <c r="C2226" s="526"/>
      <c r="D2226" s="494"/>
      <c r="F2226" s="495"/>
      <c r="G2226" s="561" t="str">
        <f>IFERROR(VLOOKUP(D2226,'Precios Equipos'!$C$1:$F$5052,3,0),"")</f>
        <v/>
      </c>
      <c r="H2226" s="561" t="str">
        <f t="shared" si="215"/>
        <v/>
      </c>
      <c r="I2226" s="477"/>
      <c r="K2226" s="539"/>
      <c r="M2226" s="470"/>
      <c r="O2226" s="468"/>
    </row>
    <row r="2227" spans="1:17" x14ac:dyDescent="0.25">
      <c r="B2227" s="493"/>
      <c r="C2227" s="526"/>
      <c r="D2227" s="496" t="s">
        <v>87</v>
      </c>
      <c r="F2227" s="495"/>
      <c r="G2227" s="561"/>
      <c r="H2227" s="561">
        <f>M2220</f>
        <v>132</v>
      </c>
      <c r="I2227" s="561">
        <f>SUM(H2227)</f>
        <v>132</v>
      </c>
      <c r="J2227" s="924">
        <f>+I2227/H2231</f>
        <v>9.8068350668647844E-2</v>
      </c>
      <c r="K2227" s="539"/>
      <c r="M2227" s="470"/>
      <c r="O2227" s="468"/>
    </row>
    <row r="2228" spans="1:17" x14ac:dyDescent="0.25">
      <c r="B2228" s="493"/>
      <c r="C2228" s="526">
        <v>1</v>
      </c>
      <c r="D2228" s="494" t="s">
        <v>49</v>
      </c>
      <c r="F2228" s="495"/>
      <c r="G2228" s="561"/>
      <c r="H2228" s="561">
        <f>$O$153</f>
        <v>0</v>
      </c>
      <c r="I2228" s="1081">
        <f>SUM(H2228:H2229)</f>
        <v>0</v>
      </c>
      <c r="J2228" s="1114">
        <f>+I2228/H2231</f>
        <v>0</v>
      </c>
      <c r="K2228" s="539"/>
      <c r="M2228" s="470"/>
      <c r="O2228" s="468"/>
    </row>
    <row r="2229" spans="1:17" x14ac:dyDescent="0.25">
      <c r="B2229" s="493"/>
      <c r="C2229" s="526">
        <v>1</v>
      </c>
      <c r="D2229" s="494" t="s">
        <v>51</v>
      </c>
      <c r="F2229" s="495"/>
      <c r="G2229" s="561"/>
      <c r="H2229" s="561">
        <f>$O$154</f>
        <v>0</v>
      </c>
      <c r="I2229" s="1083"/>
      <c r="J2229" s="1115"/>
      <c r="K2229" s="539"/>
      <c r="M2229" s="470"/>
      <c r="O2229" s="468"/>
    </row>
    <row r="2230" spans="1:17" x14ac:dyDescent="0.25">
      <c r="B2230" s="493"/>
      <c r="C2230" s="526">
        <v>1</v>
      </c>
      <c r="D2230" s="467" t="s">
        <v>20</v>
      </c>
      <c r="F2230" s="495"/>
      <c r="G2230" s="561"/>
      <c r="H2230" s="561"/>
      <c r="I2230" s="477"/>
      <c r="J2230" s="973"/>
      <c r="K2230" s="539"/>
      <c r="M2230" s="470"/>
      <c r="O2230" s="468"/>
    </row>
    <row r="2231" spans="1:17" x14ac:dyDescent="0.25">
      <c r="B2231" s="493"/>
      <c r="C2231" s="526">
        <v>1</v>
      </c>
      <c r="D2231" s="467" t="s">
        <v>52</v>
      </c>
      <c r="F2231" s="495"/>
      <c r="G2231" s="553" t="s">
        <v>97</v>
      </c>
      <c r="H2231" s="561">
        <f>SUM(H2213:H2230)</f>
        <v>1346</v>
      </c>
      <c r="I2231" s="477"/>
      <c r="J2231" s="973"/>
      <c r="K2231" s="539"/>
      <c r="O2231" s="468"/>
    </row>
    <row r="2232" spans="1:17" x14ac:dyDescent="0.25">
      <c r="B2232" s="493"/>
      <c r="C2232" s="526">
        <v>1</v>
      </c>
      <c r="D2232" s="467" t="s">
        <v>21</v>
      </c>
      <c r="F2232" s="495"/>
      <c r="G2232" s="553" t="s">
        <v>105</v>
      </c>
      <c r="H2232" s="561">
        <f>H2231*$M$155</f>
        <v>269.2</v>
      </c>
      <c r="I2232" s="477"/>
      <c r="J2232" s="973"/>
      <c r="K2232" s="539"/>
      <c r="O2232" s="468"/>
    </row>
    <row r="2233" spans="1:17" x14ac:dyDescent="0.25">
      <c r="B2233" s="521"/>
      <c r="C2233" s="527" t="s">
        <v>17</v>
      </c>
      <c r="D2233" s="522" t="s">
        <v>48</v>
      </c>
      <c r="E2233" s="523"/>
      <c r="F2233" s="524"/>
      <c r="G2233" s="553" t="s">
        <v>452</v>
      </c>
      <c r="H2233" s="561">
        <f>H2231+H2232</f>
        <v>1615.2</v>
      </c>
      <c r="I2233" s="477"/>
      <c r="J2233" s="973"/>
      <c r="K2233" s="539"/>
      <c r="O2233" s="468"/>
    </row>
    <row r="2235" spans="1:17" x14ac:dyDescent="0.25">
      <c r="B2235" s="514" t="s">
        <v>6</v>
      </c>
      <c r="C2235" s="515" t="s">
        <v>0</v>
      </c>
      <c r="D2235" s="606" t="s">
        <v>8</v>
      </c>
      <c r="E2235" s="516" t="s">
        <v>4</v>
      </c>
      <c r="F2235" s="516" t="s">
        <v>3</v>
      </c>
      <c r="G2235" s="477"/>
      <c r="H2235" s="477"/>
      <c r="I2235" s="477"/>
      <c r="K2235" s="539"/>
      <c r="O2235" s="468"/>
    </row>
    <row r="2236" spans="1:17" x14ac:dyDescent="0.25">
      <c r="A2236" s="463">
        <v>152</v>
      </c>
      <c r="B2236" s="1077">
        <f>B121</f>
        <v>6.1999999999999957</v>
      </c>
      <c r="C2236" s="1077">
        <f>C121</f>
        <v>1</v>
      </c>
      <c r="D2236" s="1077" t="str">
        <f>D121</f>
        <v>TABLERO TFV-AC - TIPO 14 (C1.1)</v>
      </c>
      <c r="E2236" s="518">
        <f>H2258</f>
        <v>2437.1999999999998</v>
      </c>
      <c r="F2236" s="518">
        <f>+E2236*C2236</f>
        <v>2437.1999999999998</v>
      </c>
      <c r="G2236" s="553" t="s">
        <v>450</v>
      </c>
      <c r="H2236" s="553" t="s">
        <v>1</v>
      </c>
      <c r="I2236" s="477"/>
      <c r="K2236" s="539"/>
      <c r="O2236" s="468"/>
    </row>
    <row r="2237" spans="1:17" ht="16.5" thickBot="1" x14ac:dyDescent="0.3">
      <c r="B2237" s="1078"/>
      <c r="C2237" s="1078"/>
      <c r="D2237" s="1078"/>
      <c r="E2237" s="520" t="s">
        <v>50</v>
      </c>
      <c r="F2237" s="520" t="s">
        <v>50</v>
      </c>
      <c r="G2237" s="553" t="s">
        <v>50</v>
      </c>
      <c r="H2237" s="553" t="s">
        <v>50</v>
      </c>
      <c r="I2237" s="477"/>
      <c r="K2237" s="539"/>
      <c r="O2237" s="468"/>
    </row>
    <row r="2238" spans="1:17" ht="16.5" thickBot="1" x14ac:dyDescent="0.3">
      <c r="B2238" s="493"/>
      <c r="C2238" s="526"/>
      <c r="D2238" s="463"/>
      <c r="E2238" s="491"/>
      <c r="F2238" s="492"/>
      <c r="G2238" s="561" t="str">
        <f>IFERROR(VLOOKUP(D2238,'Precios Equipos'!$C$1:$F$5052,3,0),"")</f>
        <v/>
      </c>
      <c r="H2238" s="561" t="str">
        <f t="shared" ref="H2238:H2251" si="216">IFERROR(G2238*C2238,"")</f>
        <v/>
      </c>
      <c r="I2238" s="477"/>
      <c r="K2238" s="539"/>
      <c r="L2238" s="540" t="s">
        <v>451</v>
      </c>
      <c r="M2238" s="541"/>
      <c r="O2238" s="468"/>
    </row>
    <row r="2239" spans="1:17" ht="16.5" thickBot="1" x14ac:dyDescent="0.3">
      <c r="B2239" s="493"/>
      <c r="C2239" s="526">
        <v>1</v>
      </c>
      <c r="D2239" s="500" t="str">
        <f>+'Precios Equipos'!$C$182</f>
        <v>Gabinete Adosado 900x700x200mm. (alto x ancho x profundidad) dimensiones aproximadas</v>
      </c>
      <c r="F2239" s="495"/>
      <c r="G2239" s="561">
        <f>IFERROR(VLOOKUP(D2239,'Precios Equipos'!$C$1:$F$5052,3,0),"")</f>
        <v>38</v>
      </c>
      <c r="H2239" s="561">
        <f t="shared" si="216"/>
        <v>38</v>
      </c>
      <c r="I2239" s="561">
        <f>SUM(H2239)</f>
        <v>38</v>
      </c>
      <c r="J2239" s="924">
        <f>+I2239/H2256</f>
        <v>1.8709995076317085E-2</v>
      </c>
      <c r="K2239" s="539"/>
      <c r="L2239" s="542" t="s">
        <v>88</v>
      </c>
      <c r="M2239" s="543" t="s">
        <v>85</v>
      </c>
      <c r="O2239" s="468"/>
      <c r="Q2239" s="465">
        <f>+C2239*$C$2236</f>
        <v>1</v>
      </c>
    </row>
    <row r="2240" spans="1:17" x14ac:dyDescent="0.25">
      <c r="B2240" s="493"/>
      <c r="C2240" s="526"/>
      <c r="D2240" s="494"/>
      <c r="F2240" s="495"/>
      <c r="G2240" s="561" t="str">
        <f>IFERROR(VLOOKUP(D2240,'Precios Equipos'!$C$1:$F$5052,3,0),"")</f>
        <v/>
      </c>
      <c r="H2240" s="561" t="str">
        <f t="shared" si="216"/>
        <v/>
      </c>
      <c r="I2240" s="477"/>
      <c r="K2240" s="539"/>
      <c r="L2240" s="544" t="str">
        <f>+'Precios Equipos'!C129</f>
        <v>COBRE TABLERO TFV-AC 14 C2.1</v>
      </c>
      <c r="M2240" s="545">
        <f>IFERROR(VLOOKUP(L2240,'Precios Equipos'!$C$11:$F$208,3,0),0)</f>
        <v>13</v>
      </c>
      <c r="O2240" s="468"/>
    </row>
    <row r="2241" spans="2:17" x14ac:dyDescent="0.25">
      <c r="B2241" s="493"/>
      <c r="C2241" s="526"/>
      <c r="D2241" s="620" t="s">
        <v>741</v>
      </c>
      <c r="F2241" s="495"/>
      <c r="G2241" s="561" t="str">
        <f>IFERROR(VLOOKUP(D2241,'Precios Equipos'!$C$1:$F$5052,3,0),"")</f>
        <v/>
      </c>
      <c r="H2241" s="561" t="str">
        <f t="shared" si="216"/>
        <v/>
      </c>
      <c r="I2241" s="477"/>
      <c r="K2241" s="539"/>
      <c r="L2241" s="544" t="str">
        <f>+'Precios Equipos'!C132</f>
        <v>CABLEADO 1 DIFERENCIALES, 2P</v>
      </c>
      <c r="M2241" s="545">
        <f>IFERROR(VLOOKUP(L2241,'Precios Equipos'!$C$11:$F$208,3,0),0)</f>
        <v>37</v>
      </c>
      <c r="O2241" s="468"/>
    </row>
    <row r="2242" spans="2:17" x14ac:dyDescent="0.25">
      <c r="B2242" s="493"/>
      <c r="C2242" s="526">
        <v>2</v>
      </c>
      <c r="D2242" s="494" t="str">
        <f>+'Precios Equipos'!$C$21</f>
        <v>ITM 3x50A, Caja Moldeada (35-50)A, 25kA en 380VAC, XT1C, ABB</v>
      </c>
      <c r="F2242" s="497"/>
      <c r="G2242" s="561">
        <f>IFERROR(VLOOKUP(D2242,'Precios Equipos'!$C$1:$F$5052,3,0),"")</f>
        <v>41</v>
      </c>
      <c r="H2242" s="561">
        <f t="shared" si="216"/>
        <v>82</v>
      </c>
      <c r="I2242" s="1087">
        <f>SUM(H2242:H2250)</f>
        <v>1860</v>
      </c>
      <c r="J2242" s="1088">
        <f>+I2242/H2256</f>
        <v>0.91580502215657311</v>
      </c>
      <c r="K2242" s="539"/>
      <c r="L2242" s="544" t="str">
        <f>+'Precios Equipos'!C140</f>
        <v>Mano de obra 6-10 polos (3-5 ITM)</v>
      </c>
      <c r="M2242" s="545">
        <f>IFERROR(VLOOKUP(L2242,'Precios Equipos'!$C$11:$F$208,3,0),0)</f>
        <v>17</v>
      </c>
      <c r="O2242" s="468"/>
      <c r="P2242" s="501"/>
      <c r="Q2242" s="465">
        <f>+C2242*$C$2236</f>
        <v>2</v>
      </c>
    </row>
    <row r="2243" spans="2:17" x14ac:dyDescent="0.25">
      <c r="B2243" s="493"/>
      <c r="C2243" s="526">
        <v>1</v>
      </c>
      <c r="D2243" s="494" t="str">
        <f>+'Precios Equipos'!$C$24</f>
        <v>ITM 4x100A, Caja Moldeada (70-100)A, 25kA en 380VAC, XT1C, ABB</v>
      </c>
      <c r="F2243" s="497"/>
      <c r="G2243" s="561">
        <f>IFERROR(VLOOKUP(D2243,'Precios Equipos'!$C$1:$F$5052,3,0),"")</f>
        <v>12</v>
      </c>
      <c r="H2243" s="561">
        <f t="shared" si="216"/>
        <v>12</v>
      </c>
      <c r="I2243" s="1087"/>
      <c r="J2243" s="1088"/>
      <c r="K2243" s="539"/>
      <c r="L2243" s="544" t="str">
        <f>+'Precios Equipos'!C162</f>
        <v>Mano de obra 1-2 Diferenciales</v>
      </c>
      <c r="M2243" s="545">
        <f>IFERROR(VLOOKUP(L2243,'Precios Equipos'!$C$11:$F$208,3,0),0)</f>
        <v>33</v>
      </c>
      <c r="O2243" s="468"/>
      <c r="P2243" s="501"/>
      <c r="Q2243" s="465">
        <f>+C2243*$C$2236</f>
        <v>1</v>
      </c>
    </row>
    <row r="2244" spans="2:17" ht="16.5" thickBot="1" x14ac:dyDescent="0.3">
      <c r="B2244" s="493"/>
      <c r="C2244" s="526"/>
      <c r="D2244" s="494"/>
      <c r="F2244" s="497"/>
      <c r="G2244" s="561" t="str">
        <f>IFERROR(VLOOKUP(D2244,'Precios Equipos'!$C$1:$F$5052,3,0),"")</f>
        <v/>
      </c>
      <c r="H2244" s="561" t="str">
        <f t="shared" si="216"/>
        <v/>
      </c>
      <c r="I2244" s="1087"/>
      <c r="J2244" s="1088"/>
      <c r="K2244" s="539"/>
      <c r="L2244" s="544" t="str">
        <f>+'Precios Equipos'!C204</f>
        <v>Diseño Ingenieria Tableros Adosados</v>
      </c>
      <c r="M2244" s="545">
        <f>IFERROR(VLOOKUP(L2244,'Precios Equipos'!$C$11:$F$208,3,0),0)</f>
        <v>33</v>
      </c>
      <c r="O2244" s="468"/>
      <c r="P2244" s="501"/>
    </row>
    <row r="2245" spans="2:17" ht="16.5" thickBot="1" x14ac:dyDescent="0.3">
      <c r="B2245" s="493"/>
      <c r="C2245" s="526"/>
      <c r="D2245" s="620" t="s">
        <v>71</v>
      </c>
      <c r="F2245" s="497"/>
      <c r="G2245" s="561" t="str">
        <f>IFERROR(VLOOKUP(D2245,'Precios Equipos'!$C$1:$F$5052,3,0),"")</f>
        <v/>
      </c>
      <c r="H2245" s="561" t="str">
        <f t="shared" si="216"/>
        <v/>
      </c>
      <c r="I2245" s="1087"/>
      <c r="J2245" s="1088"/>
      <c r="K2245" s="539"/>
      <c r="L2245" s="546" t="s">
        <v>89</v>
      </c>
      <c r="M2245" s="560">
        <f>SUM(M2240:M2244)</f>
        <v>133</v>
      </c>
      <c r="O2245" s="468"/>
      <c r="P2245" s="501"/>
    </row>
    <row r="2246" spans="2:17" x14ac:dyDescent="0.25">
      <c r="B2246" s="493"/>
      <c r="C2246" s="526">
        <v>9</v>
      </c>
      <c r="D2246" s="494" t="str">
        <f>+'Precios Equipos'!$C$18</f>
        <v>ITM 2x100A, Caja Moldeada 100A, 50kA en 220VAC, A1N/P, ABB</v>
      </c>
      <c r="F2246" s="497"/>
      <c r="G2246" s="561">
        <f>IFERROR(VLOOKUP(D2246,'Precios Equipos'!$C$1:$F$5052,3,0),"")</f>
        <v>138</v>
      </c>
      <c r="H2246" s="561">
        <f t="shared" si="216"/>
        <v>1242</v>
      </c>
      <c r="I2246" s="1087"/>
      <c r="J2246" s="1088"/>
      <c r="K2246" s="539"/>
      <c r="O2246" s="468"/>
      <c r="Q2246" s="465">
        <f>+C2246*$C$2236</f>
        <v>9</v>
      </c>
    </row>
    <row r="2247" spans="2:17" x14ac:dyDescent="0.25">
      <c r="B2247" s="493"/>
      <c r="C2247" s="526">
        <v>1</v>
      </c>
      <c r="D2247" s="494" t="str">
        <f>+'Precios Equipos'!$C$63</f>
        <v>Protector de sobretension SPD AC 3P+N, 230/400V, 1.5kV, 40kA</v>
      </c>
      <c r="F2247" s="495"/>
      <c r="G2247" s="561">
        <f>IFERROR(VLOOKUP(D2247,'Precios Equipos'!$C$1:$F$5052,3,0),"")</f>
        <v>38</v>
      </c>
      <c r="H2247" s="561">
        <f t="shared" si="216"/>
        <v>38</v>
      </c>
      <c r="I2247" s="1087"/>
      <c r="J2247" s="1088"/>
      <c r="K2247" s="539"/>
      <c r="O2247" s="468"/>
      <c r="Q2247" s="465">
        <f>+C2247*$C$2236</f>
        <v>1</v>
      </c>
    </row>
    <row r="2248" spans="2:17" x14ac:dyDescent="0.25">
      <c r="B2248" s="493"/>
      <c r="C2248" s="526"/>
      <c r="D2248" s="494"/>
      <c r="F2248" s="495"/>
      <c r="G2248" s="561" t="str">
        <f>IFERROR(VLOOKUP(D2248,'Precios Equipos'!$C$1:$F$5052,3,0),"")</f>
        <v/>
      </c>
      <c r="H2248" s="561" t="str">
        <f t="shared" si="216"/>
        <v/>
      </c>
      <c r="I2248" s="1087"/>
      <c r="J2248" s="1088"/>
      <c r="K2248" s="539"/>
      <c r="O2248" s="468"/>
    </row>
    <row r="2249" spans="2:17" x14ac:dyDescent="0.25">
      <c r="B2249" s="493"/>
      <c r="C2249" s="526"/>
      <c r="D2249" s="620" t="s">
        <v>737</v>
      </c>
      <c r="F2249" s="495"/>
      <c r="G2249" s="561" t="str">
        <f>IFERROR(VLOOKUP(D2249,'Precios Equipos'!$C$1:$F$5052,3,0),"")</f>
        <v/>
      </c>
      <c r="H2249" s="561" t="str">
        <f t="shared" si="216"/>
        <v/>
      </c>
      <c r="I2249" s="1087"/>
      <c r="J2249" s="1088"/>
      <c r="K2249" s="539"/>
      <c r="O2249" s="468"/>
    </row>
    <row r="2250" spans="2:17" x14ac:dyDescent="0.25">
      <c r="B2250" s="493"/>
      <c r="C2250" s="526">
        <v>3</v>
      </c>
      <c r="D2250" s="494" t="str">
        <f>+'Precios Equipos'!$C$48</f>
        <v>Interruptor Riel Din 2x04A. S200 20kA en 230V en 250VAC, ABB</v>
      </c>
      <c r="F2250" s="495"/>
      <c r="G2250" s="561">
        <f>IFERROR(VLOOKUP(D2250,'Precios Equipos'!$C$1:$F$5052,3,0),"")</f>
        <v>162</v>
      </c>
      <c r="H2250" s="561">
        <f t="shared" si="216"/>
        <v>486</v>
      </c>
      <c r="I2250" s="1087"/>
      <c r="J2250" s="1088"/>
      <c r="K2250" s="539"/>
      <c r="O2250" s="468"/>
      <c r="Q2250" s="465">
        <f>+C2250*$C$2236</f>
        <v>3</v>
      </c>
    </row>
    <row r="2251" spans="2:17" x14ac:dyDescent="0.25">
      <c r="B2251" s="493"/>
      <c r="C2251" s="526"/>
      <c r="D2251" s="494"/>
      <c r="F2251" s="495"/>
      <c r="G2251" s="561" t="str">
        <f>IFERROR(VLOOKUP(D2251,'Precios Equipos'!$C$1:$F$5052,3,0),"")</f>
        <v/>
      </c>
      <c r="H2251" s="561" t="str">
        <f t="shared" si="216"/>
        <v/>
      </c>
      <c r="I2251" s="477"/>
      <c r="K2251" s="539"/>
      <c r="O2251" s="468"/>
    </row>
    <row r="2252" spans="2:17" x14ac:dyDescent="0.25">
      <c r="B2252" s="493"/>
      <c r="C2252" s="526"/>
      <c r="D2252" s="620" t="s">
        <v>87</v>
      </c>
      <c r="F2252" s="495"/>
      <c r="G2252" s="561"/>
      <c r="H2252" s="561">
        <f>M2245</f>
        <v>133</v>
      </c>
      <c r="I2252" s="561">
        <f>SUM(H2252)</f>
        <v>133</v>
      </c>
      <c r="J2252" s="924">
        <f>+I2252/H2256</f>
        <v>6.5484982767109803E-2</v>
      </c>
      <c r="K2252" s="539"/>
      <c r="M2252" s="470"/>
      <c r="O2252" s="468"/>
    </row>
    <row r="2253" spans="2:17" x14ac:dyDescent="0.25">
      <c r="B2253" s="493"/>
      <c r="C2253" s="526">
        <v>1</v>
      </c>
      <c r="D2253" s="494" t="s">
        <v>49</v>
      </c>
      <c r="F2253" s="495"/>
      <c r="G2253" s="561"/>
      <c r="H2253" s="561">
        <f>$O$153</f>
        <v>0</v>
      </c>
      <c r="I2253" s="1087">
        <f>SUM(H2253:H2254)</f>
        <v>0</v>
      </c>
      <c r="J2253" s="1088">
        <f>+I2253/H2256</f>
        <v>0</v>
      </c>
      <c r="K2253" s="539"/>
      <c r="M2253" s="470"/>
      <c r="O2253" s="468"/>
    </row>
    <row r="2254" spans="2:17" x14ac:dyDescent="0.25">
      <c r="B2254" s="493"/>
      <c r="C2254" s="526">
        <v>1</v>
      </c>
      <c r="D2254" s="494" t="s">
        <v>51</v>
      </c>
      <c r="F2254" s="495"/>
      <c r="G2254" s="561"/>
      <c r="H2254" s="561">
        <f>$O$154</f>
        <v>0</v>
      </c>
      <c r="I2254" s="1087"/>
      <c r="J2254" s="1088"/>
      <c r="K2254" s="539"/>
      <c r="M2254" s="470"/>
      <c r="O2254" s="468"/>
    </row>
    <row r="2255" spans="2:17" x14ac:dyDescent="0.25">
      <c r="B2255" s="493"/>
      <c r="C2255" s="526">
        <v>1</v>
      </c>
      <c r="D2255" s="467" t="s">
        <v>20</v>
      </c>
      <c r="F2255" s="495"/>
      <c r="G2255" s="561"/>
      <c r="H2255" s="561"/>
      <c r="I2255" s="477"/>
      <c r="J2255" s="973"/>
      <c r="K2255" s="539"/>
      <c r="M2255" s="470"/>
      <c r="O2255" s="468"/>
    </row>
    <row r="2256" spans="2:17" x14ac:dyDescent="0.25">
      <c r="B2256" s="493"/>
      <c r="C2256" s="526">
        <v>1</v>
      </c>
      <c r="D2256" s="467" t="s">
        <v>52</v>
      </c>
      <c r="F2256" s="495"/>
      <c r="G2256" s="553" t="s">
        <v>97</v>
      </c>
      <c r="H2256" s="561">
        <f>SUM(H2239:H2255)</f>
        <v>2031</v>
      </c>
      <c r="I2256" s="477"/>
      <c r="J2256" s="973"/>
      <c r="K2256" s="539"/>
      <c r="M2256" s="470"/>
      <c r="O2256" s="468"/>
    </row>
    <row r="2257" spans="1:17" x14ac:dyDescent="0.25">
      <c r="B2257" s="493"/>
      <c r="C2257" s="526">
        <v>1</v>
      </c>
      <c r="D2257" s="467" t="s">
        <v>21</v>
      </c>
      <c r="F2257" s="495"/>
      <c r="G2257" s="553" t="s">
        <v>105</v>
      </c>
      <c r="H2257" s="561">
        <f>H2256*$M$155</f>
        <v>406.20000000000005</v>
      </c>
      <c r="I2257" s="477"/>
      <c r="J2257" s="973"/>
      <c r="K2257" s="539"/>
      <c r="M2257" s="470"/>
      <c r="O2257" s="468"/>
    </row>
    <row r="2258" spans="1:17" x14ac:dyDescent="0.25">
      <c r="B2258" s="521"/>
      <c r="C2258" s="527" t="s">
        <v>17</v>
      </c>
      <c r="D2258" s="522" t="s">
        <v>48</v>
      </c>
      <c r="E2258" s="523"/>
      <c r="F2258" s="524"/>
      <c r="G2258" s="553" t="s">
        <v>452</v>
      </c>
      <c r="H2258" s="561">
        <f>H2256+H2257</f>
        <v>2437.1999999999998</v>
      </c>
      <c r="I2258" s="477"/>
      <c r="J2258" s="973"/>
      <c r="K2258" s="539"/>
      <c r="M2258" s="470"/>
      <c r="O2258" s="468"/>
    </row>
    <row r="2259" spans="1:17" x14ac:dyDescent="0.25">
      <c r="M2259" s="470"/>
    </row>
    <row r="2260" spans="1:17" x14ac:dyDescent="0.25">
      <c r="B2260" s="514" t="s">
        <v>6</v>
      </c>
      <c r="C2260" s="515" t="s">
        <v>0</v>
      </c>
      <c r="D2260" s="606" t="s">
        <v>8</v>
      </c>
      <c r="E2260" s="516" t="s">
        <v>4</v>
      </c>
      <c r="F2260" s="516" t="s">
        <v>3</v>
      </c>
      <c r="G2260" s="477"/>
      <c r="H2260" s="477"/>
      <c r="I2260" s="477"/>
      <c r="K2260" s="539"/>
      <c r="M2260" s="470"/>
      <c r="O2260" s="468"/>
    </row>
    <row r="2261" spans="1:17" x14ac:dyDescent="0.25">
      <c r="A2261" s="463">
        <v>152</v>
      </c>
      <c r="B2261" s="1077">
        <f>B122</f>
        <v>6.2099999999999955</v>
      </c>
      <c r="C2261" s="1077">
        <f>C122</f>
        <v>1</v>
      </c>
      <c r="D2261" s="1077" t="str">
        <f>D122</f>
        <v>TABLERO TFV-AC - TIPO 14 (C1.2)</v>
      </c>
      <c r="E2261" s="518">
        <f>H2283</f>
        <v>2436</v>
      </c>
      <c r="F2261" s="518">
        <f>+E2261*C2261</f>
        <v>2436</v>
      </c>
      <c r="G2261" s="553" t="s">
        <v>450</v>
      </c>
      <c r="H2261" s="553" t="s">
        <v>1</v>
      </c>
      <c r="I2261" s="477"/>
      <c r="K2261" s="539"/>
      <c r="M2261" s="470"/>
      <c r="O2261" s="468"/>
    </row>
    <row r="2262" spans="1:17" x14ac:dyDescent="0.25">
      <c r="B2262" s="1078"/>
      <c r="C2262" s="1078"/>
      <c r="D2262" s="1078"/>
      <c r="E2262" s="520" t="s">
        <v>50</v>
      </c>
      <c r="F2262" s="520" t="s">
        <v>50</v>
      </c>
      <c r="G2262" s="553" t="s">
        <v>50</v>
      </c>
      <c r="H2262" s="553" t="s">
        <v>50</v>
      </c>
      <c r="I2262" s="477"/>
      <c r="K2262" s="539"/>
      <c r="M2262" s="470"/>
      <c r="O2262" s="468"/>
    </row>
    <row r="2263" spans="1:17" ht="16.5" thickBot="1" x14ac:dyDescent="0.3">
      <c r="B2263" s="493"/>
      <c r="C2263" s="526"/>
      <c r="D2263" s="463"/>
      <c r="E2263" s="491"/>
      <c r="F2263" s="492"/>
      <c r="G2263" s="561" t="str">
        <f>IFERROR(VLOOKUP(D2263,'Precios Equipos'!$C$1:$F$5052,3,0),"")</f>
        <v/>
      </c>
      <c r="H2263" s="561" t="str">
        <f t="shared" ref="H2263:H2276" si="217">IFERROR(G2263*C2263,"")</f>
        <v/>
      </c>
      <c r="I2263" s="477"/>
      <c r="K2263" s="539"/>
      <c r="M2263" s="470"/>
      <c r="O2263" s="468"/>
    </row>
    <row r="2264" spans="1:17" ht="16.5" thickBot="1" x14ac:dyDescent="0.3">
      <c r="B2264" s="493"/>
      <c r="C2264" s="526">
        <v>1</v>
      </c>
      <c r="D2264" s="500" t="str">
        <f>+'Precios Equipos'!$C$182</f>
        <v>Gabinete Adosado 900x700x200mm. (alto x ancho x profundidad) dimensiones aproximadas</v>
      </c>
      <c r="F2264" s="495"/>
      <c r="G2264" s="561">
        <f>IFERROR(VLOOKUP(D2264,'Precios Equipos'!$C$1:$F$5052,3,0),"")</f>
        <v>38</v>
      </c>
      <c r="H2264" s="561">
        <f t="shared" si="217"/>
        <v>38</v>
      </c>
      <c r="I2264" s="561">
        <f>SUM(H2264)</f>
        <v>38</v>
      </c>
      <c r="J2264" s="924">
        <f>+I2264/H2281</f>
        <v>1.8719211822660099E-2</v>
      </c>
      <c r="K2264" s="539"/>
      <c r="L2264" s="540" t="s">
        <v>451</v>
      </c>
      <c r="M2264" s="541"/>
      <c r="O2264" s="468"/>
      <c r="Q2264" s="465">
        <f>+C2264*$C$2261</f>
        <v>1</v>
      </c>
    </row>
    <row r="2265" spans="1:17" ht="16.5" thickBot="1" x14ac:dyDescent="0.3">
      <c r="B2265" s="493"/>
      <c r="C2265" s="526"/>
      <c r="D2265" s="494"/>
      <c r="F2265" s="495"/>
      <c r="G2265" s="561" t="str">
        <f>IFERROR(VLOOKUP(D2265,'Precios Equipos'!$C$1:$F$5052,3,0),"")</f>
        <v/>
      </c>
      <c r="H2265" s="561" t="str">
        <f t="shared" si="217"/>
        <v/>
      </c>
      <c r="I2265" s="477"/>
      <c r="K2265" s="539"/>
      <c r="L2265" s="542" t="s">
        <v>88</v>
      </c>
      <c r="M2265" s="543" t="s">
        <v>85</v>
      </c>
      <c r="O2265" s="468"/>
    </row>
    <row r="2266" spans="1:17" x14ac:dyDescent="0.25">
      <c r="B2266" s="493"/>
      <c r="C2266" s="526"/>
      <c r="D2266" s="620" t="s">
        <v>741</v>
      </c>
      <c r="F2266" s="495"/>
      <c r="G2266" s="561" t="str">
        <f>IFERROR(VLOOKUP(D2266,'Precios Equipos'!$C$1:$F$5052,3,0),"")</f>
        <v/>
      </c>
      <c r="H2266" s="561" t="str">
        <f t="shared" si="217"/>
        <v/>
      </c>
      <c r="I2266" s="477"/>
      <c r="K2266" s="539"/>
      <c r="L2266" s="544" t="str">
        <f>+'Precios Equipos'!C129</f>
        <v>COBRE TABLERO TFV-AC 14 C2.1</v>
      </c>
      <c r="M2266" s="545">
        <f>IFERROR(VLOOKUP(L2266,'Precios Equipos'!$C$11:$F$208,3,0),0)</f>
        <v>13</v>
      </c>
      <c r="O2266" s="468"/>
    </row>
    <row r="2267" spans="1:17" x14ac:dyDescent="0.25">
      <c r="B2267" s="493"/>
      <c r="C2267" s="526">
        <v>2</v>
      </c>
      <c r="D2267" s="494" t="str">
        <f>+'Precios Equipos'!$C$21</f>
        <v>ITM 3x50A, Caja Moldeada (35-50)A, 25kA en 380VAC, XT1C, ABB</v>
      </c>
      <c r="F2267" s="497"/>
      <c r="G2267" s="561">
        <f>IFERROR(VLOOKUP(D2267,'Precios Equipos'!$C$1:$F$5052,3,0),"")</f>
        <v>41</v>
      </c>
      <c r="H2267" s="561">
        <f t="shared" si="217"/>
        <v>82</v>
      </c>
      <c r="I2267" s="1087">
        <f>SUM(H2267:H2275)</f>
        <v>1860</v>
      </c>
      <c r="J2267" s="1088">
        <f>+I2267/H2281</f>
        <v>0.91625615763546797</v>
      </c>
      <c r="K2267" s="539"/>
      <c r="L2267" s="544" t="str">
        <f>+'Precios Equipos'!C132</f>
        <v>CABLEADO 1 DIFERENCIALES, 2P</v>
      </c>
      <c r="M2267" s="545">
        <f>IFERROR(VLOOKUP(L2267,'Precios Equipos'!$C$11:$F$208,3,0),0)</f>
        <v>37</v>
      </c>
      <c r="O2267" s="468"/>
      <c r="Q2267" s="465">
        <f>+C2267*$C$2261</f>
        <v>2</v>
      </c>
    </row>
    <row r="2268" spans="1:17" x14ac:dyDescent="0.25">
      <c r="B2268" s="493"/>
      <c r="C2268" s="526">
        <v>1</v>
      </c>
      <c r="D2268" s="494" t="str">
        <f>+'Precios Equipos'!$C$24</f>
        <v>ITM 4x100A, Caja Moldeada (70-100)A, 25kA en 380VAC, XT1C, ABB</v>
      </c>
      <c r="F2268" s="497"/>
      <c r="G2268" s="561">
        <f>IFERROR(VLOOKUP(D2268,'Precios Equipos'!$C$1:$F$5052,3,0),"")</f>
        <v>12</v>
      </c>
      <c r="H2268" s="561">
        <f t="shared" si="217"/>
        <v>12</v>
      </c>
      <c r="I2268" s="1087"/>
      <c r="J2268" s="1088"/>
      <c r="K2268" s="539"/>
      <c r="L2268" s="544" t="str">
        <f>+'Precios Equipos'!C141</f>
        <v>Mano de obra 12-16 polos (6-8 ITM)</v>
      </c>
      <c r="M2268" s="545">
        <f>IFERROR(VLOOKUP(L2268,'Precios Equipos'!$C$11:$F$208,3,0),0)</f>
        <v>16</v>
      </c>
      <c r="O2268" s="468"/>
      <c r="Q2268" s="465">
        <f>+C2268*$C$2261</f>
        <v>1</v>
      </c>
    </row>
    <row r="2269" spans="1:17" x14ac:dyDescent="0.25">
      <c r="B2269" s="493"/>
      <c r="C2269" s="526"/>
      <c r="D2269" s="494"/>
      <c r="F2269" s="497"/>
      <c r="G2269" s="561" t="str">
        <f>IFERROR(VLOOKUP(D2269,'Precios Equipos'!$C$1:$F$5052,3,0),"")</f>
        <v/>
      </c>
      <c r="H2269" s="561" t="str">
        <f t="shared" si="217"/>
        <v/>
      </c>
      <c r="I2269" s="1087"/>
      <c r="J2269" s="1088"/>
      <c r="K2269" s="539"/>
      <c r="L2269" s="544" t="str">
        <f>+'Precios Equipos'!C162</f>
        <v>Mano de obra 1-2 Diferenciales</v>
      </c>
      <c r="M2269" s="545">
        <f>IFERROR(VLOOKUP(L2269,'Precios Equipos'!$C$11:$F$208,3,0),0)</f>
        <v>33</v>
      </c>
      <c r="O2269" s="468"/>
    </row>
    <row r="2270" spans="1:17" ht="16.5" thickBot="1" x14ac:dyDescent="0.3">
      <c r="B2270" s="493"/>
      <c r="C2270" s="526"/>
      <c r="D2270" s="620" t="s">
        <v>71</v>
      </c>
      <c r="F2270" s="497"/>
      <c r="G2270" s="561" t="str">
        <f>IFERROR(VLOOKUP(D2270,'Precios Equipos'!$C$1:$F$5052,3,0),"")</f>
        <v/>
      </c>
      <c r="H2270" s="561" t="str">
        <f t="shared" si="217"/>
        <v/>
      </c>
      <c r="I2270" s="1087"/>
      <c r="J2270" s="1088"/>
      <c r="K2270" s="539"/>
      <c r="L2270" s="544" t="str">
        <f>+'Precios Equipos'!C204</f>
        <v>Diseño Ingenieria Tableros Adosados</v>
      </c>
      <c r="M2270" s="545">
        <f>IFERROR(VLOOKUP(L2270,'Precios Equipos'!$C$11:$F$208,3,0),0)</f>
        <v>33</v>
      </c>
      <c r="O2270" s="468"/>
    </row>
    <row r="2271" spans="1:17" ht="16.5" thickBot="1" x14ac:dyDescent="0.3">
      <c r="B2271" s="493"/>
      <c r="C2271" s="526">
        <v>9</v>
      </c>
      <c r="D2271" s="494" t="str">
        <f>+'Precios Equipos'!$C$18</f>
        <v>ITM 2x100A, Caja Moldeada 100A, 50kA en 220VAC, A1N/P, ABB</v>
      </c>
      <c r="F2271" s="495"/>
      <c r="G2271" s="561">
        <f>IFERROR(VLOOKUP(D2271,'Precios Equipos'!$C$1:$F$5052,3,0),"")</f>
        <v>138</v>
      </c>
      <c r="H2271" s="561">
        <f t="shared" si="217"/>
        <v>1242</v>
      </c>
      <c r="I2271" s="1087"/>
      <c r="J2271" s="1088"/>
      <c r="K2271" s="539"/>
      <c r="L2271" s="546" t="s">
        <v>89</v>
      </c>
      <c r="M2271" s="560">
        <f>SUM(M2266:M2270)</f>
        <v>132</v>
      </c>
      <c r="O2271" s="468"/>
      <c r="Q2271" s="465">
        <f>+C2271*$C$2261</f>
        <v>9</v>
      </c>
    </row>
    <row r="2272" spans="1:17" x14ac:dyDescent="0.25">
      <c r="B2272" s="493"/>
      <c r="C2272" s="526">
        <v>1</v>
      </c>
      <c r="D2272" s="494" t="str">
        <f>+'Precios Equipos'!$C$63</f>
        <v>Protector de sobretension SPD AC 3P+N, 230/400V, 1.5kV, 40kA</v>
      </c>
      <c r="F2272" s="495"/>
      <c r="G2272" s="561">
        <f>IFERROR(VLOOKUP(D2272,'Precios Equipos'!$C$1:$F$5052,3,0),"")</f>
        <v>38</v>
      </c>
      <c r="H2272" s="561">
        <f t="shared" si="217"/>
        <v>38</v>
      </c>
      <c r="I2272" s="1087"/>
      <c r="J2272" s="1088"/>
      <c r="K2272" s="539"/>
      <c r="O2272" s="468"/>
      <c r="P2272" s="501"/>
      <c r="Q2272" s="465">
        <f>+C2272*$C$2261</f>
        <v>1</v>
      </c>
    </row>
    <row r="2273" spans="1:17" x14ac:dyDescent="0.25">
      <c r="B2273" s="493"/>
      <c r="C2273" s="526"/>
      <c r="D2273" s="494"/>
      <c r="F2273" s="495"/>
      <c r="G2273" s="561" t="str">
        <f>IFERROR(VLOOKUP(D2273,'Precios Equipos'!$C$1:$F$5052,3,0),"")</f>
        <v/>
      </c>
      <c r="H2273" s="561" t="str">
        <f t="shared" si="217"/>
        <v/>
      </c>
      <c r="I2273" s="1087"/>
      <c r="J2273" s="1088"/>
      <c r="K2273" s="539"/>
      <c r="O2273" s="468"/>
      <c r="P2273" s="501"/>
    </row>
    <row r="2274" spans="1:17" x14ac:dyDescent="0.25">
      <c r="B2274" s="493"/>
      <c r="C2274" s="526"/>
      <c r="D2274" s="620" t="s">
        <v>737</v>
      </c>
      <c r="F2274" s="495"/>
      <c r="G2274" s="561" t="str">
        <f>IFERROR(VLOOKUP(D2274,'Precios Equipos'!$C$1:$F$5052,3,0),"")</f>
        <v/>
      </c>
      <c r="H2274" s="561" t="str">
        <f t="shared" si="217"/>
        <v/>
      </c>
      <c r="I2274" s="1087"/>
      <c r="J2274" s="1088"/>
      <c r="K2274" s="539"/>
      <c r="O2274" s="468"/>
      <c r="P2274" s="501"/>
    </row>
    <row r="2275" spans="1:17" x14ac:dyDescent="0.25">
      <c r="B2275" s="493"/>
      <c r="C2275" s="526">
        <v>3</v>
      </c>
      <c r="D2275" s="494" t="str">
        <f>+'Precios Equipos'!$C$48</f>
        <v>Interruptor Riel Din 2x04A. S200 20kA en 230V en 250VAC, ABB</v>
      </c>
      <c r="F2275" s="495"/>
      <c r="G2275" s="561">
        <f>IFERROR(VLOOKUP(D2275,'Precios Equipos'!$C$1:$F$5052,3,0),"")</f>
        <v>162</v>
      </c>
      <c r="H2275" s="561">
        <f t="shared" si="217"/>
        <v>486</v>
      </c>
      <c r="I2275" s="1087"/>
      <c r="J2275" s="1088"/>
      <c r="K2275" s="539"/>
      <c r="L2275" s="593"/>
      <c r="M2275" s="594"/>
      <c r="O2275" s="468"/>
      <c r="P2275" s="501"/>
      <c r="Q2275" s="465">
        <f>+C2275*$C$2261</f>
        <v>3</v>
      </c>
    </row>
    <row r="2276" spans="1:17" x14ac:dyDescent="0.25">
      <c r="B2276" s="493"/>
      <c r="C2276" s="526"/>
      <c r="D2276" s="494"/>
      <c r="F2276" s="495"/>
      <c r="G2276" s="561" t="str">
        <f>IFERROR(VLOOKUP(D2276,'Precios Equipos'!$C$1:$F$5052,3,0),"")</f>
        <v/>
      </c>
      <c r="H2276" s="561" t="str">
        <f t="shared" si="217"/>
        <v/>
      </c>
      <c r="I2276" s="477"/>
      <c r="K2276" s="539"/>
      <c r="M2276" s="470"/>
      <c r="O2276" s="468"/>
    </row>
    <row r="2277" spans="1:17" x14ac:dyDescent="0.25">
      <c r="B2277" s="493"/>
      <c r="C2277" s="526"/>
      <c r="D2277" s="620" t="s">
        <v>87</v>
      </c>
      <c r="F2277" s="495"/>
      <c r="G2277" s="561"/>
      <c r="H2277" s="561">
        <f>M2271</f>
        <v>132</v>
      </c>
      <c r="I2277" s="561">
        <f>SUM(H2277)</f>
        <v>132</v>
      </c>
      <c r="J2277" s="924">
        <f>+I2277/H2281</f>
        <v>6.5024630541871922E-2</v>
      </c>
      <c r="K2277" s="539"/>
      <c r="M2277" s="470"/>
      <c r="O2277" s="468"/>
    </row>
    <row r="2278" spans="1:17" x14ac:dyDescent="0.25">
      <c r="B2278" s="493"/>
      <c r="C2278" s="526">
        <v>1</v>
      </c>
      <c r="D2278" s="494" t="s">
        <v>49</v>
      </c>
      <c r="F2278" s="495"/>
      <c r="G2278" s="561"/>
      <c r="H2278" s="561">
        <f>$O$153</f>
        <v>0</v>
      </c>
      <c r="I2278" s="1087">
        <f>SUM(H2278:H2279)</f>
        <v>0</v>
      </c>
      <c r="J2278" s="1088">
        <f>+I2278/H2281</f>
        <v>0</v>
      </c>
      <c r="K2278" s="539"/>
      <c r="M2278" s="470"/>
      <c r="O2278" s="468"/>
    </row>
    <row r="2279" spans="1:17" x14ac:dyDescent="0.25">
      <c r="B2279" s="493"/>
      <c r="C2279" s="526">
        <v>1</v>
      </c>
      <c r="D2279" s="494" t="s">
        <v>51</v>
      </c>
      <c r="F2279" s="495"/>
      <c r="G2279" s="561"/>
      <c r="H2279" s="561">
        <f>$O$154</f>
        <v>0</v>
      </c>
      <c r="I2279" s="1087"/>
      <c r="J2279" s="1088"/>
      <c r="K2279" s="539"/>
      <c r="M2279" s="470"/>
      <c r="O2279" s="468"/>
    </row>
    <row r="2280" spans="1:17" x14ac:dyDescent="0.25">
      <c r="B2280" s="493"/>
      <c r="C2280" s="526">
        <v>1</v>
      </c>
      <c r="D2280" s="467" t="s">
        <v>20</v>
      </c>
      <c r="F2280" s="495"/>
      <c r="G2280" s="561"/>
      <c r="H2280" s="561"/>
      <c r="I2280" s="477"/>
      <c r="J2280" s="973"/>
      <c r="K2280" s="539"/>
      <c r="M2280" s="470"/>
      <c r="O2280" s="468"/>
    </row>
    <row r="2281" spans="1:17" x14ac:dyDescent="0.25">
      <c r="B2281" s="493"/>
      <c r="C2281" s="526">
        <v>1</v>
      </c>
      <c r="D2281" s="467" t="s">
        <v>52</v>
      </c>
      <c r="F2281" s="495"/>
      <c r="G2281" s="553" t="s">
        <v>97</v>
      </c>
      <c r="H2281" s="561">
        <f>SUM(H2264:H2280)</f>
        <v>2030</v>
      </c>
      <c r="I2281" s="477"/>
      <c r="J2281" s="973"/>
      <c r="K2281" s="539"/>
      <c r="M2281" s="470"/>
      <c r="O2281" s="468"/>
    </row>
    <row r="2282" spans="1:17" x14ac:dyDescent="0.25">
      <c r="B2282" s="493"/>
      <c r="C2282" s="526">
        <v>1</v>
      </c>
      <c r="D2282" s="467" t="s">
        <v>21</v>
      </c>
      <c r="F2282" s="495"/>
      <c r="G2282" s="553" t="s">
        <v>105</v>
      </c>
      <c r="H2282" s="561">
        <f>H2281*$M$155</f>
        <v>406</v>
      </c>
      <c r="I2282" s="477"/>
      <c r="J2282" s="973"/>
      <c r="K2282" s="539"/>
      <c r="M2282" s="470"/>
      <c r="O2282" s="468"/>
    </row>
    <row r="2283" spans="1:17" x14ac:dyDescent="0.25">
      <c r="B2283" s="521"/>
      <c r="C2283" s="527" t="s">
        <v>17</v>
      </c>
      <c r="D2283" s="522" t="s">
        <v>48</v>
      </c>
      <c r="E2283" s="523"/>
      <c r="F2283" s="524"/>
      <c r="G2283" s="553" t="s">
        <v>452</v>
      </c>
      <c r="H2283" s="561">
        <f>H2281+H2282</f>
        <v>2436</v>
      </c>
      <c r="I2283" s="477"/>
      <c r="J2283" s="973"/>
      <c r="K2283" s="539"/>
      <c r="M2283" s="470"/>
      <c r="O2283" s="468"/>
    </row>
    <row r="2284" spans="1:17" x14ac:dyDescent="0.25">
      <c r="M2284" s="470"/>
    </row>
    <row r="2285" spans="1:17" x14ac:dyDescent="0.25">
      <c r="B2285" s="514" t="s">
        <v>6</v>
      </c>
      <c r="C2285" s="515" t="s">
        <v>0</v>
      </c>
      <c r="D2285" s="606" t="s">
        <v>8</v>
      </c>
      <c r="E2285" s="516" t="s">
        <v>4</v>
      </c>
      <c r="F2285" s="516" t="s">
        <v>3</v>
      </c>
      <c r="G2285" s="477"/>
      <c r="H2285" s="477"/>
      <c r="I2285" s="477"/>
      <c r="K2285" s="539"/>
      <c r="M2285" s="470"/>
      <c r="O2285" s="468"/>
    </row>
    <row r="2286" spans="1:17" x14ac:dyDescent="0.25">
      <c r="A2286" s="463">
        <v>152</v>
      </c>
      <c r="B2286" s="1077">
        <f>B123</f>
        <v>6.2199999999999953</v>
      </c>
      <c r="C2286" s="1077">
        <f>C123</f>
        <v>1</v>
      </c>
      <c r="D2286" s="1077" t="str">
        <f>D123</f>
        <v>TABLERO TFV-AC - TIPO 14 (C1.3)</v>
      </c>
      <c r="E2286" s="518">
        <f>H2308</f>
        <v>2436</v>
      </c>
      <c r="F2286" s="518">
        <f>+E2286*C2286</f>
        <v>2436</v>
      </c>
      <c r="G2286" s="553" t="s">
        <v>450</v>
      </c>
      <c r="H2286" s="553" t="s">
        <v>1</v>
      </c>
      <c r="I2286" s="477"/>
      <c r="K2286" s="539"/>
      <c r="M2286" s="470"/>
      <c r="O2286" s="468"/>
    </row>
    <row r="2287" spans="1:17" x14ac:dyDescent="0.25">
      <c r="B2287" s="1078"/>
      <c r="C2287" s="1078"/>
      <c r="D2287" s="1078"/>
      <c r="E2287" s="520" t="s">
        <v>50</v>
      </c>
      <c r="F2287" s="520" t="s">
        <v>50</v>
      </c>
      <c r="G2287" s="553" t="s">
        <v>50</v>
      </c>
      <c r="H2287" s="553" t="s">
        <v>50</v>
      </c>
      <c r="I2287" s="477"/>
      <c r="K2287" s="539"/>
      <c r="M2287" s="470"/>
      <c r="O2287" s="468"/>
    </row>
    <row r="2288" spans="1:17" x14ac:dyDescent="0.25">
      <c r="B2288" s="493"/>
      <c r="C2288" s="526"/>
      <c r="D2288" s="463"/>
      <c r="E2288" s="491"/>
      <c r="F2288" s="492"/>
      <c r="G2288" s="561" t="str">
        <f>IFERROR(VLOOKUP(D2288,'Precios Equipos'!$C$1:$F$5052,3,0),"")</f>
        <v/>
      </c>
      <c r="H2288" s="561" t="str">
        <f t="shared" ref="H2288:H2301" si="218">IFERROR(G2288*C2288,"")</f>
        <v/>
      </c>
      <c r="I2288" s="477"/>
      <c r="K2288" s="539"/>
      <c r="M2288" s="470"/>
      <c r="O2288" s="468"/>
    </row>
    <row r="2289" spans="2:17" x14ac:dyDescent="0.25">
      <c r="B2289" s="493"/>
      <c r="C2289" s="526">
        <v>1</v>
      </c>
      <c r="D2289" s="500" t="str">
        <f>+'Precios Equipos'!$C$182</f>
        <v>Gabinete Adosado 900x700x200mm. (alto x ancho x profundidad) dimensiones aproximadas</v>
      </c>
      <c r="F2289" s="495"/>
      <c r="G2289" s="561">
        <f>IFERROR(VLOOKUP(D2289,'Precios Equipos'!$C$1:$F$5052,3,0),"")</f>
        <v>38</v>
      </c>
      <c r="H2289" s="561">
        <f t="shared" si="218"/>
        <v>38</v>
      </c>
      <c r="I2289" s="561">
        <f>SUM(H2289)</f>
        <v>38</v>
      </c>
      <c r="J2289" s="924">
        <f>+I2289/H2306</f>
        <v>1.8719211822660099E-2</v>
      </c>
      <c r="K2289" s="539"/>
      <c r="M2289" s="470"/>
      <c r="O2289" s="468"/>
      <c r="Q2289" s="465">
        <f>+C2289*$C$2286</f>
        <v>1</v>
      </c>
    </row>
    <row r="2290" spans="2:17" x14ac:dyDescent="0.25">
      <c r="B2290" s="493"/>
      <c r="C2290" s="526"/>
      <c r="D2290" s="494"/>
      <c r="F2290" s="495"/>
      <c r="G2290" s="561" t="str">
        <f>IFERROR(VLOOKUP(D2290,'Precios Equipos'!$C$1:$F$5052,3,0),"")</f>
        <v/>
      </c>
      <c r="H2290" s="561" t="str">
        <f t="shared" si="218"/>
        <v/>
      </c>
      <c r="I2290" s="477"/>
      <c r="K2290" s="539"/>
      <c r="M2290" s="470"/>
      <c r="O2290" s="468"/>
    </row>
    <row r="2291" spans="2:17" x14ac:dyDescent="0.25">
      <c r="B2291" s="493"/>
      <c r="C2291" s="526"/>
      <c r="D2291" s="620" t="s">
        <v>741</v>
      </c>
      <c r="F2291" s="495"/>
      <c r="G2291" s="561" t="str">
        <f>IFERROR(VLOOKUP(D2291,'Precios Equipos'!$C$1:$F$5052,3,0),"")</f>
        <v/>
      </c>
      <c r="H2291" s="561" t="str">
        <f t="shared" si="218"/>
        <v/>
      </c>
      <c r="I2291" s="477"/>
      <c r="K2291" s="539"/>
      <c r="M2291" s="470"/>
      <c r="O2291" s="468"/>
    </row>
    <row r="2292" spans="2:17" ht="16.5" thickBot="1" x14ac:dyDescent="0.3">
      <c r="B2292" s="493"/>
      <c r="C2292" s="526">
        <v>2</v>
      </c>
      <c r="D2292" s="494" t="str">
        <f>+'Precios Equipos'!$C$21</f>
        <v>ITM 3x50A, Caja Moldeada (35-50)A, 25kA en 380VAC, XT1C, ABB</v>
      </c>
      <c r="F2292" s="497"/>
      <c r="G2292" s="561">
        <f>IFERROR(VLOOKUP(D2292,'Precios Equipos'!$C$1:$F$5052,3,0),"")</f>
        <v>41</v>
      </c>
      <c r="H2292" s="561">
        <f t="shared" si="218"/>
        <v>82</v>
      </c>
      <c r="I2292" s="1087">
        <f>SUM(H2292:H2300)</f>
        <v>1860</v>
      </c>
      <c r="J2292" s="1088">
        <f>+I2292/H2306</f>
        <v>0.91625615763546797</v>
      </c>
      <c r="K2292" s="539"/>
      <c r="M2292" s="470"/>
      <c r="O2292" s="468"/>
      <c r="Q2292" s="465">
        <f>+C2292*$C$2286</f>
        <v>2</v>
      </c>
    </row>
    <row r="2293" spans="2:17" ht="16.5" thickBot="1" x14ac:dyDescent="0.3">
      <c r="B2293" s="493"/>
      <c r="C2293" s="526">
        <v>1</v>
      </c>
      <c r="D2293" s="494" t="str">
        <f>+'Precios Equipos'!$C$24</f>
        <v>ITM 4x100A, Caja Moldeada (70-100)A, 25kA en 380VAC, XT1C, ABB</v>
      </c>
      <c r="F2293" s="497"/>
      <c r="G2293" s="561">
        <f>IFERROR(VLOOKUP(D2293,'Precios Equipos'!$C$1:$F$5052,3,0),"")</f>
        <v>12</v>
      </c>
      <c r="H2293" s="561">
        <f t="shared" si="218"/>
        <v>12</v>
      </c>
      <c r="I2293" s="1087"/>
      <c r="J2293" s="1088"/>
      <c r="K2293" s="539"/>
      <c r="L2293" s="540" t="s">
        <v>451</v>
      </c>
      <c r="M2293" s="541"/>
      <c r="O2293" s="468"/>
      <c r="Q2293" s="465">
        <f>+C2293*$C$2286</f>
        <v>1</v>
      </c>
    </row>
    <row r="2294" spans="2:17" ht="16.5" thickBot="1" x14ac:dyDescent="0.3">
      <c r="B2294" s="493"/>
      <c r="C2294" s="526"/>
      <c r="D2294" s="494"/>
      <c r="F2294" s="497"/>
      <c r="G2294" s="561" t="str">
        <f>IFERROR(VLOOKUP(D2294,'Precios Equipos'!$C$1:$F$5052,3,0),"")</f>
        <v/>
      </c>
      <c r="H2294" s="561" t="str">
        <f t="shared" si="218"/>
        <v/>
      </c>
      <c r="I2294" s="1087"/>
      <c r="J2294" s="1088"/>
      <c r="K2294" s="539"/>
      <c r="L2294" s="542" t="s">
        <v>88</v>
      </c>
      <c r="M2294" s="543" t="s">
        <v>85</v>
      </c>
      <c r="O2294" s="468"/>
    </row>
    <row r="2295" spans="2:17" x14ac:dyDescent="0.25">
      <c r="B2295" s="493"/>
      <c r="C2295" s="526"/>
      <c r="D2295" s="620" t="s">
        <v>71</v>
      </c>
      <c r="F2295" s="497"/>
      <c r="G2295" s="561" t="str">
        <f>IFERROR(VLOOKUP(D2295,'Precios Equipos'!$C$1:$F$5052,3,0),"")</f>
        <v/>
      </c>
      <c r="H2295" s="561" t="str">
        <f t="shared" si="218"/>
        <v/>
      </c>
      <c r="I2295" s="1087"/>
      <c r="J2295" s="1088"/>
      <c r="K2295" s="539"/>
      <c r="L2295" s="544" t="str">
        <f>+'Precios Equipos'!C129</f>
        <v>COBRE TABLERO TFV-AC 14 C2.1</v>
      </c>
      <c r="M2295" s="545">
        <f>IFERROR(VLOOKUP(L2295,'Precios Equipos'!$C$11:$F$208,3,0),0)</f>
        <v>13</v>
      </c>
      <c r="O2295" s="468"/>
      <c r="P2295" s="501"/>
    </row>
    <row r="2296" spans="2:17" x14ac:dyDescent="0.25">
      <c r="B2296" s="493"/>
      <c r="C2296" s="526">
        <v>9</v>
      </c>
      <c r="D2296" s="494" t="str">
        <f>+'Precios Equipos'!$C$18</f>
        <v>ITM 2x100A, Caja Moldeada 100A, 50kA en 220VAC, A1N/P, ABB</v>
      </c>
      <c r="F2296" s="495"/>
      <c r="G2296" s="561">
        <f>IFERROR(VLOOKUP(D2296,'Precios Equipos'!$C$1:$F$5052,3,0),"")</f>
        <v>138</v>
      </c>
      <c r="H2296" s="561">
        <f t="shared" si="218"/>
        <v>1242</v>
      </c>
      <c r="I2296" s="1087"/>
      <c r="J2296" s="1088"/>
      <c r="K2296" s="539"/>
      <c r="L2296" s="544" t="str">
        <f>+'Precios Equipos'!C132</f>
        <v>CABLEADO 1 DIFERENCIALES, 2P</v>
      </c>
      <c r="M2296" s="545">
        <f>IFERROR(VLOOKUP(L2296,'Precios Equipos'!$C$11:$F$208,3,0),0)</f>
        <v>37</v>
      </c>
      <c r="O2296" s="468"/>
      <c r="P2296" s="501"/>
      <c r="Q2296" s="465">
        <f>+C2296*$C$2286</f>
        <v>9</v>
      </c>
    </row>
    <row r="2297" spans="2:17" x14ac:dyDescent="0.25">
      <c r="B2297" s="493"/>
      <c r="C2297" s="526">
        <v>1</v>
      </c>
      <c r="D2297" s="494" t="str">
        <f>+'Precios Equipos'!$C$63</f>
        <v>Protector de sobretension SPD AC 3P+N, 230/400V, 1.5kV, 40kA</v>
      </c>
      <c r="F2297" s="495"/>
      <c r="G2297" s="561">
        <f>IFERROR(VLOOKUP(D2297,'Precios Equipos'!$C$1:$F$5052,3,0),"")</f>
        <v>38</v>
      </c>
      <c r="H2297" s="561">
        <f t="shared" si="218"/>
        <v>38</v>
      </c>
      <c r="I2297" s="1087"/>
      <c r="J2297" s="1088"/>
      <c r="K2297" s="539"/>
      <c r="L2297" s="544" t="str">
        <f>+'Precios Equipos'!C141</f>
        <v>Mano de obra 12-16 polos (6-8 ITM)</v>
      </c>
      <c r="M2297" s="545">
        <f>IFERROR(VLOOKUP(L2297,'Precios Equipos'!$C$11:$F$208,3,0),0)</f>
        <v>16</v>
      </c>
      <c r="O2297" s="468"/>
      <c r="P2297" s="501"/>
      <c r="Q2297" s="465">
        <f>+C2297*$C$2286</f>
        <v>1</v>
      </c>
    </row>
    <row r="2298" spans="2:17" x14ac:dyDescent="0.25">
      <c r="B2298" s="493"/>
      <c r="C2298" s="526"/>
      <c r="D2298" s="494"/>
      <c r="F2298" s="495"/>
      <c r="G2298" s="561" t="str">
        <f>IFERROR(VLOOKUP(D2298,'Precios Equipos'!$C$1:$F$5052,3,0),"")</f>
        <v/>
      </c>
      <c r="H2298" s="561" t="str">
        <f t="shared" si="218"/>
        <v/>
      </c>
      <c r="I2298" s="1087"/>
      <c r="J2298" s="1088"/>
      <c r="K2298" s="539"/>
      <c r="L2298" s="544" t="str">
        <f>+'Precios Equipos'!C162</f>
        <v>Mano de obra 1-2 Diferenciales</v>
      </c>
      <c r="M2298" s="545">
        <f>IFERROR(VLOOKUP(L2298,'Precios Equipos'!$C$11:$F$208,3,0),0)</f>
        <v>33</v>
      </c>
      <c r="O2298" s="468"/>
    </row>
    <row r="2299" spans="2:17" ht="16.5" thickBot="1" x14ac:dyDescent="0.3">
      <c r="B2299" s="493"/>
      <c r="C2299" s="526"/>
      <c r="D2299" s="620" t="s">
        <v>737</v>
      </c>
      <c r="F2299" s="495"/>
      <c r="G2299" s="561" t="str">
        <f>IFERROR(VLOOKUP(D2299,'Precios Equipos'!$C$1:$F$5052,3,0),"")</f>
        <v/>
      </c>
      <c r="H2299" s="561" t="str">
        <f t="shared" si="218"/>
        <v/>
      </c>
      <c r="I2299" s="1087"/>
      <c r="J2299" s="1088"/>
      <c r="K2299" s="539"/>
      <c r="L2299" s="544" t="str">
        <f>+'Precios Equipos'!C204</f>
        <v>Diseño Ingenieria Tableros Adosados</v>
      </c>
      <c r="M2299" s="545">
        <f>IFERROR(VLOOKUP(L2299,'Precios Equipos'!$C$11:$F$208,3,0),0)</f>
        <v>33</v>
      </c>
      <c r="O2299" s="468"/>
    </row>
    <row r="2300" spans="2:17" ht="16.5" thickBot="1" x14ac:dyDescent="0.3">
      <c r="B2300" s="493"/>
      <c r="C2300" s="526">
        <v>3</v>
      </c>
      <c r="D2300" s="494" t="str">
        <f>+'Precios Equipos'!$C$48</f>
        <v>Interruptor Riel Din 2x04A. S200 20kA en 230V en 250VAC, ABB</v>
      </c>
      <c r="F2300" s="495"/>
      <c r="G2300" s="561">
        <f>IFERROR(VLOOKUP(D2300,'Precios Equipos'!$C$1:$F$5052,3,0),"")</f>
        <v>162</v>
      </c>
      <c r="H2300" s="561">
        <f t="shared" si="218"/>
        <v>486</v>
      </c>
      <c r="I2300" s="1087"/>
      <c r="J2300" s="1088"/>
      <c r="K2300" s="539"/>
      <c r="L2300" s="546" t="s">
        <v>89</v>
      </c>
      <c r="M2300" s="560">
        <f>SUM(M2295:M2299)</f>
        <v>132</v>
      </c>
      <c r="O2300" s="468"/>
      <c r="Q2300" s="465">
        <f>+C2300*$C$2286</f>
        <v>3</v>
      </c>
    </row>
    <row r="2301" spans="2:17" x14ac:dyDescent="0.25">
      <c r="B2301" s="493"/>
      <c r="C2301" s="526"/>
      <c r="D2301" s="494"/>
      <c r="F2301" s="495"/>
      <c r="G2301" s="561" t="str">
        <f>IFERROR(VLOOKUP(D2301,'Precios Equipos'!$C$1:$F$5052,3,0),"")</f>
        <v/>
      </c>
      <c r="H2301" s="561" t="str">
        <f t="shared" si="218"/>
        <v/>
      </c>
      <c r="I2301" s="477"/>
      <c r="K2301" s="539"/>
      <c r="M2301" s="470"/>
      <c r="O2301" s="468"/>
    </row>
    <row r="2302" spans="2:17" x14ac:dyDescent="0.25">
      <c r="B2302" s="493"/>
      <c r="C2302" s="526"/>
      <c r="D2302" s="496" t="s">
        <v>87</v>
      </c>
      <c r="F2302" s="495"/>
      <c r="G2302" s="561"/>
      <c r="H2302" s="561">
        <f>M2300</f>
        <v>132</v>
      </c>
      <c r="I2302" s="561">
        <f>SUM(H2302)</f>
        <v>132</v>
      </c>
      <c r="J2302" s="924">
        <f>+I2302/H2306</f>
        <v>6.5024630541871922E-2</v>
      </c>
      <c r="K2302" s="539"/>
      <c r="M2302" s="470"/>
      <c r="O2302" s="468"/>
    </row>
    <row r="2303" spans="2:17" x14ac:dyDescent="0.25">
      <c r="B2303" s="493"/>
      <c r="C2303" s="526">
        <v>1</v>
      </c>
      <c r="D2303" s="494" t="s">
        <v>49</v>
      </c>
      <c r="F2303" s="495"/>
      <c r="G2303" s="561"/>
      <c r="H2303" s="561">
        <f>$O$153</f>
        <v>0</v>
      </c>
      <c r="I2303" s="1087">
        <f>SUM(H2303:H2304)</f>
        <v>0</v>
      </c>
      <c r="J2303" s="1088">
        <f>+I2303/H2306</f>
        <v>0</v>
      </c>
      <c r="K2303" s="539"/>
      <c r="M2303" s="470"/>
      <c r="O2303" s="468"/>
    </row>
    <row r="2304" spans="2:17" x14ac:dyDescent="0.25">
      <c r="B2304" s="493"/>
      <c r="C2304" s="526">
        <v>1</v>
      </c>
      <c r="D2304" s="494" t="s">
        <v>51</v>
      </c>
      <c r="F2304" s="495"/>
      <c r="G2304" s="561"/>
      <c r="H2304" s="561">
        <f>$O$154</f>
        <v>0</v>
      </c>
      <c r="I2304" s="1087"/>
      <c r="J2304" s="1088"/>
      <c r="K2304" s="539"/>
      <c r="M2304" s="470"/>
      <c r="O2304" s="468"/>
    </row>
    <row r="2305" spans="1:17" x14ac:dyDescent="0.25">
      <c r="B2305" s="493"/>
      <c r="C2305" s="526">
        <v>1</v>
      </c>
      <c r="D2305" s="467" t="s">
        <v>20</v>
      </c>
      <c r="F2305" s="495"/>
      <c r="G2305" s="561"/>
      <c r="H2305" s="561"/>
      <c r="I2305" s="477"/>
      <c r="J2305" s="973"/>
      <c r="K2305" s="539"/>
      <c r="M2305" s="470"/>
      <c r="O2305" s="468"/>
    </row>
    <row r="2306" spans="1:17" x14ac:dyDescent="0.25">
      <c r="B2306" s="493"/>
      <c r="C2306" s="526">
        <v>1</v>
      </c>
      <c r="D2306" s="467" t="s">
        <v>52</v>
      </c>
      <c r="F2306" s="495"/>
      <c r="G2306" s="553" t="s">
        <v>97</v>
      </c>
      <c r="H2306" s="561">
        <f>SUM(H2289:H2305)</f>
        <v>2030</v>
      </c>
      <c r="I2306" s="477"/>
      <c r="J2306" s="973"/>
      <c r="K2306" s="539"/>
      <c r="M2306" s="470"/>
      <c r="O2306" s="468"/>
    </row>
    <row r="2307" spans="1:17" x14ac:dyDescent="0.25">
      <c r="B2307" s="493"/>
      <c r="C2307" s="526">
        <v>1</v>
      </c>
      <c r="D2307" s="467" t="s">
        <v>21</v>
      </c>
      <c r="F2307" s="495"/>
      <c r="G2307" s="553" t="s">
        <v>105</v>
      </c>
      <c r="H2307" s="561">
        <f>H2306*$M$155</f>
        <v>406</v>
      </c>
      <c r="I2307" s="477"/>
      <c r="J2307" s="973"/>
      <c r="K2307" s="539"/>
      <c r="M2307" s="470"/>
      <c r="O2307" s="468"/>
    </row>
    <row r="2308" spans="1:17" x14ac:dyDescent="0.25">
      <c r="B2308" s="521"/>
      <c r="C2308" s="527" t="s">
        <v>17</v>
      </c>
      <c r="D2308" s="522" t="s">
        <v>48</v>
      </c>
      <c r="E2308" s="523"/>
      <c r="F2308" s="524"/>
      <c r="G2308" s="553" t="s">
        <v>452</v>
      </c>
      <c r="H2308" s="561">
        <f>H2306+H2307</f>
        <v>2436</v>
      </c>
      <c r="I2308" s="477"/>
      <c r="J2308" s="973"/>
      <c r="K2308" s="539"/>
      <c r="M2308" s="470"/>
      <c r="O2308" s="468"/>
    </row>
    <row r="2309" spans="1:17" x14ac:dyDescent="0.25">
      <c r="M2309" s="470"/>
    </row>
    <row r="2310" spans="1:17" x14ac:dyDescent="0.25">
      <c r="B2310" s="514" t="s">
        <v>6</v>
      </c>
      <c r="C2310" s="515" t="s">
        <v>0</v>
      </c>
      <c r="D2310" s="606" t="s">
        <v>8</v>
      </c>
      <c r="E2310" s="516" t="s">
        <v>4</v>
      </c>
      <c r="F2310" s="516" t="s">
        <v>3</v>
      </c>
      <c r="G2310" s="477"/>
      <c r="H2310" s="477"/>
      <c r="I2310" s="477"/>
      <c r="K2310" s="539"/>
      <c r="M2310" s="470"/>
      <c r="O2310" s="468"/>
    </row>
    <row r="2311" spans="1:17" x14ac:dyDescent="0.25">
      <c r="A2311" s="463">
        <v>152</v>
      </c>
      <c r="B2311" s="1077">
        <f>B124</f>
        <v>6.2299999999999951</v>
      </c>
      <c r="C2311" s="1077">
        <f>C124</f>
        <v>1</v>
      </c>
      <c r="D2311" s="1077" t="str">
        <f>D124</f>
        <v>TABLERO TFV-AC - TIPO 14 (C1.4)</v>
      </c>
      <c r="E2311" s="518">
        <f>H2333</f>
        <v>2436</v>
      </c>
      <c r="F2311" s="518">
        <f>+E2311*C2311</f>
        <v>2436</v>
      </c>
      <c r="G2311" s="553" t="s">
        <v>450</v>
      </c>
      <c r="H2311" s="553" t="s">
        <v>1</v>
      </c>
      <c r="I2311" s="477"/>
      <c r="K2311" s="539"/>
      <c r="M2311" s="470"/>
      <c r="O2311" s="468"/>
    </row>
    <row r="2312" spans="1:17" x14ac:dyDescent="0.25">
      <c r="B2312" s="1078"/>
      <c r="C2312" s="1078"/>
      <c r="D2312" s="1078"/>
      <c r="E2312" s="520" t="s">
        <v>50</v>
      </c>
      <c r="F2312" s="520" t="s">
        <v>50</v>
      </c>
      <c r="G2312" s="553" t="s">
        <v>50</v>
      </c>
      <c r="H2312" s="553" t="s">
        <v>50</v>
      </c>
      <c r="I2312" s="477"/>
      <c r="K2312" s="539"/>
      <c r="M2312" s="470"/>
      <c r="O2312" s="468"/>
    </row>
    <row r="2313" spans="1:17" x14ac:dyDescent="0.25">
      <c r="B2313" s="493"/>
      <c r="C2313" s="526"/>
      <c r="D2313" s="463"/>
      <c r="E2313" s="491"/>
      <c r="F2313" s="492"/>
      <c r="G2313" s="561" t="str">
        <f>IFERROR(VLOOKUP(D2313,'Precios Equipos'!$C$1:$F$5052,3,0),"")</f>
        <v/>
      </c>
      <c r="H2313" s="561" t="str">
        <f t="shared" ref="H2313:H2326" si="219">IFERROR(G2313*C2313,"")</f>
        <v/>
      </c>
      <c r="I2313" s="477"/>
      <c r="K2313" s="539"/>
      <c r="M2313" s="470"/>
      <c r="O2313" s="468"/>
    </row>
    <row r="2314" spans="1:17" x14ac:dyDescent="0.25">
      <c r="B2314" s="493"/>
      <c r="C2314" s="526">
        <v>1</v>
      </c>
      <c r="D2314" s="500" t="str">
        <f>+'Precios Equipos'!$C$182</f>
        <v>Gabinete Adosado 900x700x200mm. (alto x ancho x profundidad) dimensiones aproximadas</v>
      </c>
      <c r="F2314" s="495"/>
      <c r="G2314" s="561">
        <f>IFERROR(VLOOKUP(D2314,'Precios Equipos'!$C$1:$F$5052,3,0),"")</f>
        <v>38</v>
      </c>
      <c r="H2314" s="561">
        <f t="shared" si="219"/>
        <v>38</v>
      </c>
      <c r="I2314" s="561">
        <f>SUM(H2314)</f>
        <v>38</v>
      </c>
      <c r="J2314" s="924">
        <f>+I2314/H2331</f>
        <v>1.8719211822660099E-2</v>
      </c>
      <c r="K2314" s="539"/>
      <c r="M2314" s="470"/>
      <c r="O2314" s="468"/>
      <c r="Q2314" s="465">
        <f>+C2314*$C$2311</f>
        <v>1</v>
      </c>
    </row>
    <row r="2315" spans="1:17" x14ac:dyDescent="0.25">
      <c r="B2315" s="493"/>
      <c r="C2315" s="526"/>
      <c r="D2315" s="494"/>
      <c r="F2315" s="495"/>
      <c r="G2315" s="561" t="str">
        <f>IFERROR(VLOOKUP(D2315,'Precios Equipos'!$C$1:$F$5052,3,0),"")</f>
        <v/>
      </c>
      <c r="H2315" s="561" t="str">
        <f t="shared" si="219"/>
        <v/>
      </c>
      <c r="I2315" s="477"/>
      <c r="K2315" s="539"/>
      <c r="M2315" s="470"/>
      <c r="O2315" s="468"/>
    </row>
    <row r="2316" spans="1:17" ht="16.5" thickBot="1" x14ac:dyDescent="0.3">
      <c r="B2316" s="493"/>
      <c r="C2316" s="526"/>
      <c r="D2316" s="620" t="s">
        <v>741</v>
      </c>
      <c r="F2316" s="495"/>
      <c r="G2316" s="561" t="str">
        <f>IFERROR(VLOOKUP(D2316,'Precios Equipos'!$C$1:$F$5052,3,0),"")</f>
        <v/>
      </c>
      <c r="H2316" s="561" t="str">
        <f t="shared" si="219"/>
        <v/>
      </c>
      <c r="I2316" s="477"/>
      <c r="K2316" s="539"/>
      <c r="M2316" s="470"/>
      <c r="O2316" s="468"/>
    </row>
    <row r="2317" spans="1:17" ht="16.5" thickBot="1" x14ac:dyDescent="0.3">
      <c r="B2317" s="493"/>
      <c r="C2317" s="526">
        <v>2</v>
      </c>
      <c r="D2317" s="494" t="str">
        <f>+'Precios Equipos'!$C$21</f>
        <v>ITM 3x50A, Caja Moldeada (35-50)A, 25kA en 380VAC, XT1C, ABB</v>
      </c>
      <c r="F2317" s="497"/>
      <c r="G2317" s="561">
        <f>IFERROR(VLOOKUP(D2317,'Precios Equipos'!$C$1:$F$5052,3,0),"")</f>
        <v>41</v>
      </c>
      <c r="H2317" s="561">
        <f t="shared" si="219"/>
        <v>82</v>
      </c>
      <c r="I2317" s="1087">
        <f>SUM(H2317:H2325)</f>
        <v>1860</v>
      </c>
      <c r="J2317" s="1088">
        <f>+I2317/H2331</f>
        <v>0.91625615763546797</v>
      </c>
      <c r="K2317" s="539"/>
      <c r="L2317" s="540" t="s">
        <v>451</v>
      </c>
      <c r="M2317" s="541"/>
      <c r="O2317" s="468"/>
      <c r="Q2317" s="465">
        <f>+C2317*$C$2311</f>
        <v>2</v>
      </c>
    </row>
    <row r="2318" spans="1:17" ht="16.5" thickBot="1" x14ac:dyDescent="0.3">
      <c r="B2318" s="493"/>
      <c r="C2318" s="526">
        <v>1</v>
      </c>
      <c r="D2318" s="494" t="str">
        <f>+'Precios Equipos'!$C$24</f>
        <v>ITM 4x100A, Caja Moldeada (70-100)A, 25kA en 380VAC, XT1C, ABB</v>
      </c>
      <c r="F2318" s="497"/>
      <c r="G2318" s="561">
        <f>IFERROR(VLOOKUP(D2318,'Precios Equipos'!$C$1:$F$5052,3,0),"")</f>
        <v>12</v>
      </c>
      <c r="H2318" s="561">
        <f t="shared" si="219"/>
        <v>12</v>
      </c>
      <c r="I2318" s="1087"/>
      <c r="J2318" s="1088"/>
      <c r="K2318" s="539"/>
      <c r="L2318" s="542" t="s">
        <v>88</v>
      </c>
      <c r="M2318" s="543" t="s">
        <v>85</v>
      </c>
      <c r="O2318" s="468"/>
      <c r="Q2318" s="465">
        <f>+C2318*$C$2311</f>
        <v>1</v>
      </c>
    </row>
    <row r="2319" spans="1:17" x14ac:dyDescent="0.25">
      <c r="B2319" s="493"/>
      <c r="C2319" s="526"/>
      <c r="D2319" s="494"/>
      <c r="F2319" s="497"/>
      <c r="G2319" s="561" t="str">
        <f>IFERROR(VLOOKUP(D2319,'Precios Equipos'!$C$1:$F$5052,3,0),"")</f>
        <v/>
      </c>
      <c r="H2319" s="561" t="str">
        <f t="shared" si="219"/>
        <v/>
      </c>
      <c r="I2319" s="1087"/>
      <c r="J2319" s="1088"/>
      <c r="K2319" s="539"/>
      <c r="L2319" s="544" t="str">
        <f>+'Precios Equipos'!C129</f>
        <v>COBRE TABLERO TFV-AC 14 C2.1</v>
      </c>
      <c r="M2319" s="545">
        <f>IFERROR(VLOOKUP(L2319,'Precios Equipos'!$C$11:$F$208,3,0),0)</f>
        <v>13</v>
      </c>
      <c r="O2319" s="468"/>
    </row>
    <row r="2320" spans="1:17" x14ac:dyDescent="0.25">
      <c r="B2320" s="493"/>
      <c r="C2320" s="526"/>
      <c r="D2320" s="620" t="s">
        <v>71</v>
      </c>
      <c r="F2320" s="497"/>
      <c r="G2320" s="561" t="str">
        <f>IFERROR(VLOOKUP(D2320,'Precios Equipos'!$C$1:$F$5052,3,0),"")</f>
        <v/>
      </c>
      <c r="H2320" s="561" t="str">
        <f t="shared" si="219"/>
        <v/>
      </c>
      <c r="I2320" s="1087"/>
      <c r="J2320" s="1088"/>
      <c r="K2320" s="539"/>
      <c r="L2320" s="544" t="str">
        <f>+'Precios Equipos'!C132</f>
        <v>CABLEADO 1 DIFERENCIALES, 2P</v>
      </c>
      <c r="M2320" s="545">
        <f>IFERROR(VLOOKUP(L2320,'Precios Equipos'!$C$11:$F$208,3,0),0)</f>
        <v>37</v>
      </c>
      <c r="O2320" s="468"/>
      <c r="P2320" s="501"/>
    </row>
    <row r="2321" spans="1:17" x14ac:dyDescent="0.25">
      <c r="B2321" s="493"/>
      <c r="C2321" s="526">
        <v>9</v>
      </c>
      <c r="D2321" s="494" t="str">
        <f>+'Precios Equipos'!$C$18</f>
        <v>ITM 2x100A, Caja Moldeada 100A, 50kA en 220VAC, A1N/P, ABB</v>
      </c>
      <c r="F2321" s="495"/>
      <c r="G2321" s="561">
        <f>IFERROR(VLOOKUP(D2321,'Precios Equipos'!$C$1:$F$5052,3,0),"")</f>
        <v>138</v>
      </c>
      <c r="H2321" s="561">
        <f t="shared" si="219"/>
        <v>1242</v>
      </c>
      <c r="I2321" s="1087"/>
      <c r="J2321" s="1088"/>
      <c r="K2321" s="539"/>
      <c r="L2321" s="544" t="str">
        <f>+'Precios Equipos'!C141</f>
        <v>Mano de obra 12-16 polos (6-8 ITM)</v>
      </c>
      <c r="M2321" s="545">
        <f>IFERROR(VLOOKUP(L2321,'Precios Equipos'!$C$11:$F$208,3,0),0)</f>
        <v>16</v>
      </c>
      <c r="O2321" s="468"/>
      <c r="P2321" s="501"/>
      <c r="Q2321" s="465">
        <f>+C2321*$C$2311</f>
        <v>9</v>
      </c>
    </row>
    <row r="2322" spans="1:17" x14ac:dyDescent="0.25">
      <c r="B2322" s="493"/>
      <c r="C2322" s="526">
        <v>1</v>
      </c>
      <c r="D2322" s="494" t="str">
        <f>+'Precios Equipos'!$C$63</f>
        <v>Protector de sobretension SPD AC 3P+N, 230/400V, 1.5kV, 40kA</v>
      </c>
      <c r="F2322" s="495"/>
      <c r="G2322" s="561">
        <f>IFERROR(VLOOKUP(D2322,'Precios Equipos'!$C$1:$F$5052,3,0),"")</f>
        <v>38</v>
      </c>
      <c r="H2322" s="561">
        <f t="shared" si="219"/>
        <v>38</v>
      </c>
      <c r="I2322" s="1087"/>
      <c r="J2322" s="1088"/>
      <c r="K2322" s="539"/>
      <c r="L2322" s="544" t="str">
        <f>+'Precios Equipos'!C162</f>
        <v>Mano de obra 1-2 Diferenciales</v>
      </c>
      <c r="M2322" s="545">
        <f>IFERROR(VLOOKUP(L2322,'Precios Equipos'!$C$11:$F$208,3,0),0)</f>
        <v>33</v>
      </c>
      <c r="O2322" s="468"/>
      <c r="P2322" s="501"/>
      <c r="Q2322" s="465">
        <f>+C2322*$C$2311</f>
        <v>1</v>
      </c>
    </row>
    <row r="2323" spans="1:17" ht="16.5" thickBot="1" x14ac:dyDescent="0.3">
      <c r="B2323" s="493"/>
      <c r="C2323" s="526"/>
      <c r="D2323" s="494"/>
      <c r="F2323" s="495"/>
      <c r="G2323" s="561" t="str">
        <f>IFERROR(VLOOKUP(D2323,'Precios Equipos'!$C$1:$F$5052,3,0),"")</f>
        <v/>
      </c>
      <c r="H2323" s="561" t="str">
        <f t="shared" si="219"/>
        <v/>
      </c>
      <c r="I2323" s="1087"/>
      <c r="J2323" s="1088"/>
      <c r="K2323" s="539"/>
      <c r="L2323" s="544" t="str">
        <f>+'Precios Equipos'!C204</f>
        <v>Diseño Ingenieria Tableros Adosados</v>
      </c>
      <c r="M2323" s="545">
        <f>IFERROR(VLOOKUP(L2323,'Precios Equipos'!$C$11:$F$208,3,0),0)</f>
        <v>33</v>
      </c>
      <c r="O2323" s="468"/>
    </row>
    <row r="2324" spans="1:17" ht="16.5" thickBot="1" x14ac:dyDescent="0.3">
      <c r="B2324" s="493"/>
      <c r="C2324" s="526"/>
      <c r="D2324" s="620" t="s">
        <v>737</v>
      </c>
      <c r="F2324" s="495"/>
      <c r="G2324" s="561" t="str">
        <f>IFERROR(VLOOKUP(D2324,'Precios Equipos'!$C$1:$F$5052,3,0),"")</f>
        <v/>
      </c>
      <c r="H2324" s="561" t="str">
        <f t="shared" si="219"/>
        <v/>
      </c>
      <c r="I2324" s="1087"/>
      <c r="J2324" s="1088"/>
      <c r="K2324" s="539"/>
      <c r="L2324" s="546" t="s">
        <v>89</v>
      </c>
      <c r="M2324" s="560">
        <f>SUM(M2319:M2323)</f>
        <v>132</v>
      </c>
      <c r="O2324" s="468"/>
    </row>
    <row r="2325" spans="1:17" x14ac:dyDescent="0.25">
      <c r="B2325" s="493"/>
      <c r="C2325" s="526">
        <v>3</v>
      </c>
      <c r="D2325" s="494" t="str">
        <f>+'Precios Equipos'!$C$48</f>
        <v>Interruptor Riel Din 2x04A. S200 20kA en 230V en 250VAC, ABB</v>
      </c>
      <c r="F2325" s="495"/>
      <c r="G2325" s="561">
        <f>IFERROR(VLOOKUP(D2325,'Precios Equipos'!$C$1:$F$5052,3,0),"")</f>
        <v>162</v>
      </c>
      <c r="H2325" s="561">
        <f t="shared" si="219"/>
        <v>486</v>
      </c>
      <c r="I2325" s="1087"/>
      <c r="J2325" s="1088"/>
      <c r="K2325" s="539"/>
      <c r="L2325" s="489"/>
      <c r="M2325" s="499"/>
      <c r="O2325" s="468"/>
      <c r="Q2325" s="465">
        <f>+C2325*$C$2311</f>
        <v>3</v>
      </c>
    </row>
    <row r="2326" spans="1:17" x14ac:dyDescent="0.25">
      <c r="B2326" s="493"/>
      <c r="C2326" s="526"/>
      <c r="D2326" s="494"/>
      <c r="F2326" s="495"/>
      <c r="G2326" s="561" t="str">
        <f>IFERROR(VLOOKUP(D2326,'Precios Equipos'!$C$1:$F$5052,3,0),"")</f>
        <v/>
      </c>
      <c r="H2326" s="561" t="str">
        <f t="shared" si="219"/>
        <v/>
      </c>
      <c r="I2326" s="477"/>
      <c r="K2326" s="539"/>
      <c r="M2326" s="470"/>
      <c r="O2326" s="468"/>
    </row>
    <row r="2327" spans="1:17" x14ac:dyDescent="0.25">
      <c r="B2327" s="493"/>
      <c r="C2327" s="526"/>
      <c r="D2327" s="496" t="s">
        <v>87</v>
      </c>
      <c r="F2327" s="495"/>
      <c r="G2327" s="561"/>
      <c r="H2327" s="561">
        <f>M2324</f>
        <v>132</v>
      </c>
      <c r="I2327" s="561">
        <f>SUM(H2327)</f>
        <v>132</v>
      </c>
      <c r="J2327" s="924">
        <f>+I2327/H2331</f>
        <v>6.5024630541871922E-2</v>
      </c>
      <c r="K2327" s="539"/>
      <c r="M2327" s="470"/>
      <c r="O2327" s="468"/>
    </row>
    <row r="2328" spans="1:17" x14ac:dyDescent="0.25">
      <c r="B2328" s="493"/>
      <c r="C2328" s="526">
        <v>1</v>
      </c>
      <c r="D2328" s="494" t="s">
        <v>49</v>
      </c>
      <c r="F2328" s="495"/>
      <c r="G2328" s="561"/>
      <c r="H2328" s="561">
        <f>$O$153</f>
        <v>0</v>
      </c>
      <c r="I2328" s="1087">
        <f>SUM(H2328:H2329)</f>
        <v>0</v>
      </c>
      <c r="J2328" s="1088">
        <f>+I2328/H2331</f>
        <v>0</v>
      </c>
      <c r="K2328" s="539"/>
      <c r="M2328" s="470"/>
      <c r="O2328" s="468"/>
    </row>
    <row r="2329" spans="1:17" x14ac:dyDescent="0.25">
      <c r="B2329" s="493"/>
      <c r="C2329" s="526">
        <v>1</v>
      </c>
      <c r="D2329" s="494" t="s">
        <v>51</v>
      </c>
      <c r="F2329" s="495"/>
      <c r="G2329" s="561"/>
      <c r="H2329" s="561">
        <f>$O$154</f>
        <v>0</v>
      </c>
      <c r="I2329" s="1087"/>
      <c r="J2329" s="1088"/>
      <c r="K2329" s="539"/>
      <c r="M2329" s="470"/>
      <c r="O2329" s="468"/>
    </row>
    <row r="2330" spans="1:17" x14ac:dyDescent="0.25">
      <c r="B2330" s="493"/>
      <c r="C2330" s="526">
        <v>1</v>
      </c>
      <c r="D2330" s="467" t="s">
        <v>20</v>
      </c>
      <c r="F2330" s="495"/>
      <c r="G2330" s="561"/>
      <c r="H2330" s="561"/>
      <c r="I2330" s="477"/>
      <c r="J2330" s="973"/>
      <c r="K2330" s="539"/>
      <c r="M2330" s="470"/>
      <c r="O2330" s="468"/>
    </row>
    <row r="2331" spans="1:17" x14ac:dyDescent="0.25">
      <c r="B2331" s="493"/>
      <c r="C2331" s="526">
        <v>1</v>
      </c>
      <c r="D2331" s="467" t="s">
        <v>52</v>
      </c>
      <c r="F2331" s="495"/>
      <c r="G2331" s="553" t="s">
        <v>97</v>
      </c>
      <c r="H2331" s="561">
        <f>SUM(H2314:H2330)</f>
        <v>2030</v>
      </c>
      <c r="I2331" s="477"/>
      <c r="J2331" s="973"/>
      <c r="K2331" s="539"/>
      <c r="M2331" s="470"/>
      <c r="O2331" s="468"/>
    </row>
    <row r="2332" spans="1:17" x14ac:dyDescent="0.25">
      <c r="B2332" s="493"/>
      <c r="C2332" s="526">
        <v>1</v>
      </c>
      <c r="D2332" s="467" t="s">
        <v>21</v>
      </c>
      <c r="F2332" s="495"/>
      <c r="G2332" s="553" t="s">
        <v>105</v>
      </c>
      <c r="H2332" s="561">
        <f>H2331*$M$155</f>
        <v>406</v>
      </c>
      <c r="I2332" s="477"/>
      <c r="J2332" s="973"/>
      <c r="K2332" s="539"/>
      <c r="M2332" s="470"/>
      <c r="O2332" s="468"/>
    </row>
    <row r="2333" spans="1:17" x14ac:dyDescent="0.25">
      <c r="B2333" s="521"/>
      <c r="C2333" s="527" t="s">
        <v>17</v>
      </c>
      <c r="D2333" s="522" t="s">
        <v>48</v>
      </c>
      <c r="E2333" s="523"/>
      <c r="F2333" s="524"/>
      <c r="G2333" s="553" t="s">
        <v>452</v>
      </c>
      <c r="H2333" s="561">
        <f>H2331+H2332</f>
        <v>2436</v>
      </c>
      <c r="I2333" s="477"/>
      <c r="J2333" s="973"/>
      <c r="K2333" s="539"/>
      <c r="M2333" s="470"/>
      <c r="O2333" s="468"/>
    </row>
    <row r="2334" spans="1:17" x14ac:dyDescent="0.25">
      <c r="M2334" s="470"/>
    </row>
    <row r="2335" spans="1:17" x14ac:dyDescent="0.25">
      <c r="B2335" s="514" t="s">
        <v>6</v>
      </c>
      <c r="C2335" s="515" t="s">
        <v>0</v>
      </c>
      <c r="D2335" s="606" t="s">
        <v>8</v>
      </c>
      <c r="E2335" s="516" t="s">
        <v>4</v>
      </c>
      <c r="F2335" s="516" t="s">
        <v>3</v>
      </c>
      <c r="G2335" s="477"/>
      <c r="H2335" s="477"/>
      <c r="I2335" s="477"/>
      <c r="K2335" s="539"/>
      <c r="M2335" s="470"/>
      <c r="O2335" s="468"/>
    </row>
    <row r="2336" spans="1:17" x14ac:dyDescent="0.25">
      <c r="A2336" s="463">
        <v>152</v>
      </c>
      <c r="B2336" s="1077">
        <f>B125</f>
        <v>6.2399999999999949</v>
      </c>
      <c r="C2336" s="1077">
        <f>C125</f>
        <v>1</v>
      </c>
      <c r="D2336" s="1077" t="str">
        <f>D125</f>
        <v>TABLERO TFV-AC - TIPO 14 (C2.1)</v>
      </c>
      <c r="E2336" s="518">
        <f>H2358</f>
        <v>2436</v>
      </c>
      <c r="F2336" s="518">
        <f>+E2336*C2336</f>
        <v>2436</v>
      </c>
      <c r="G2336" s="553" t="s">
        <v>450</v>
      </c>
      <c r="H2336" s="553" t="s">
        <v>1</v>
      </c>
      <c r="I2336" s="477"/>
      <c r="K2336" s="539"/>
      <c r="M2336" s="470"/>
      <c r="O2336" s="468"/>
    </row>
    <row r="2337" spans="2:17" x14ac:dyDescent="0.25">
      <c r="B2337" s="1078"/>
      <c r="C2337" s="1078"/>
      <c r="D2337" s="1078"/>
      <c r="E2337" s="520" t="s">
        <v>50</v>
      </c>
      <c r="F2337" s="520" t="s">
        <v>50</v>
      </c>
      <c r="G2337" s="553" t="s">
        <v>50</v>
      </c>
      <c r="H2337" s="553" t="s">
        <v>50</v>
      </c>
      <c r="I2337" s="477"/>
      <c r="K2337" s="539"/>
      <c r="M2337" s="470"/>
      <c r="O2337" s="468"/>
    </row>
    <row r="2338" spans="2:17" x14ac:dyDescent="0.25">
      <c r="B2338" s="493"/>
      <c r="C2338" s="526"/>
      <c r="D2338" s="463"/>
      <c r="E2338" s="491"/>
      <c r="F2338" s="492"/>
      <c r="G2338" s="561" t="str">
        <f>IFERROR(VLOOKUP(D2338,'Precios Equipos'!$C$1:$F$5052,3,0),"")</f>
        <v/>
      </c>
      <c r="H2338" s="561" t="str">
        <f t="shared" ref="H2338:H2351" si="220">IFERROR(G2338*C2338,"")</f>
        <v/>
      </c>
      <c r="I2338" s="477"/>
      <c r="K2338" s="539"/>
      <c r="M2338" s="470"/>
      <c r="O2338" s="468"/>
    </row>
    <row r="2339" spans="2:17" x14ac:dyDescent="0.25">
      <c r="B2339" s="493"/>
      <c r="C2339" s="526">
        <v>1</v>
      </c>
      <c r="D2339" s="500" t="str">
        <f>+'Precios Equipos'!$C$182</f>
        <v>Gabinete Adosado 900x700x200mm. (alto x ancho x profundidad) dimensiones aproximadas</v>
      </c>
      <c r="F2339" s="495"/>
      <c r="G2339" s="561">
        <f>IFERROR(VLOOKUP(D2339,'Precios Equipos'!$C$1:$F$5052,3,0),"")</f>
        <v>38</v>
      </c>
      <c r="H2339" s="561">
        <f t="shared" si="220"/>
        <v>38</v>
      </c>
      <c r="I2339" s="561">
        <f>SUM(H2339)</f>
        <v>38</v>
      </c>
      <c r="J2339" s="924">
        <f>+I2339/H2356</f>
        <v>1.8719211822660099E-2</v>
      </c>
      <c r="K2339" s="539"/>
      <c r="M2339" s="470"/>
      <c r="O2339" s="468"/>
      <c r="Q2339" s="465">
        <f>+C2339*$C$2336</f>
        <v>1</v>
      </c>
    </row>
    <row r="2340" spans="2:17" x14ac:dyDescent="0.25">
      <c r="B2340" s="493"/>
      <c r="C2340" s="526"/>
      <c r="D2340" s="494"/>
      <c r="F2340" s="495"/>
      <c r="G2340" s="561" t="str">
        <f>IFERROR(VLOOKUP(D2340,'Precios Equipos'!$C$1:$F$5052,3,0),"")</f>
        <v/>
      </c>
      <c r="H2340" s="561" t="str">
        <f t="shared" si="220"/>
        <v/>
      </c>
      <c r="I2340" s="477"/>
      <c r="K2340" s="539"/>
      <c r="M2340" s="470"/>
      <c r="O2340" s="468"/>
    </row>
    <row r="2341" spans="2:17" x14ac:dyDescent="0.25">
      <c r="B2341" s="493"/>
      <c r="C2341" s="526"/>
      <c r="D2341" s="620" t="s">
        <v>741</v>
      </c>
      <c r="F2341" s="495"/>
      <c r="G2341" s="561" t="str">
        <f>IFERROR(VLOOKUP(D2341,'Precios Equipos'!$C$1:$F$5052,3,0),"")</f>
        <v/>
      </c>
      <c r="H2341" s="561" t="str">
        <f t="shared" si="220"/>
        <v/>
      </c>
      <c r="I2341" s="477"/>
      <c r="K2341" s="539"/>
      <c r="M2341" s="470"/>
      <c r="O2341" s="468"/>
    </row>
    <row r="2342" spans="2:17" ht="16.5" thickBot="1" x14ac:dyDescent="0.3">
      <c r="B2342" s="493"/>
      <c r="C2342" s="526">
        <v>2</v>
      </c>
      <c r="D2342" s="494" t="str">
        <f>+'Precios Equipos'!$C$21</f>
        <v>ITM 3x50A, Caja Moldeada (35-50)A, 25kA en 380VAC, XT1C, ABB</v>
      </c>
      <c r="F2342" s="497"/>
      <c r="G2342" s="561">
        <f>IFERROR(VLOOKUP(D2342,'Precios Equipos'!$C$1:$F$5052,3,0),"")</f>
        <v>41</v>
      </c>
      <c r="H2342" s="561">
        <f t="shared" si="220"/>
        <v>82</v>
      </c>
      <c r="I2342" s="1087">
        <f>SUM(H2342:H2350)</f>
        <v>1860</v>
      </c>
      <c r="J2342" s="1088">
        <f>+I2342/H2356</f>
        <v>0.91625615763546797</v>
      </c>
      <c r="K2342" s="539"/>
      <c r="M2342" s="470"/>
      <c r="O2342" s="468"/>
      <c r="Q2342" s="465">
        <f>+C2342*$C$2336</f>
        <v>2</v>
      </c>
    </row>
    <row r="2343" spans="2:17" ht="16.5" thickBot="1" x14ac:dyDescent="0.3">
      <c r="B2343" s="493"/>
      <c r="C2343" s="526">
        <v>1</v>
      </c>
      <c r="D2343" s="494" t="str">
        <f>+'Precios Equipos'!$C$24</f>
        <v>ITM 4x100A, Caja Moldeada (70-100)A, 25kA en 380VAC, XT1C, ABB</v>
      </c>
      <c r="F2343" s="497"/>
      <c r="G2343" s="561">
        <f>IFERROR(VLOOKUP(D2343,'Precios Equipos'!$C$1:$F$5052,3,0),"")</f>
        <v>12</v>
      </c>
      <c r="H2343" s="561">
        <f t="shared" si="220"/>
        <v>12</v>
      </c>
      <c r="I2343" s="1087"/>
      <c r="J2343" s="1088"/>
      <c r="K2343" s="539"/>
      <c r="L2343" s="540" t="s">
        <v>451</v>
      </c>
      <c r="M2343" s="541"/>
      <c r="O2343" s="468"/>
      <c r="Q2343" s="465">
        <f>+C2343*$C$2336</f>
        <v>1</v>
      </c>
    </row>
    <row r="2344" spans="2:17" ht="16.5" thickBot="1" x14ac:dyDescent="0.3">
      <c r="B2344" s="493"/>
      <c r="C2344" s="526"/>
      <c r="D2344" s="494"/>
      <c r="F2344" s="497"/>
      <c r="G2344" s="561" t="str">
        <f>IFERROR(VLOOKUP(D2344,'Precios Equipos'!$C$1:$F$5052,3,0),"")</f>
        <v/>
      </c>
      <c r="H2344" s="561" t="str">
        <f t="shared" si="220"/>
        <v/>
      </c>
      <c r="I2344" s="1087"/>
      <c r="J2344" s="1088"/>
      <c r="K2344" s="539"/>
      <c r="L2344" s="542" t="s">
        <v>88</v>
      </c>
      <c r="M2344" s="543" t="s">
        <v>85</v>
      </c>
      <c r="O2344" s="468"/>
    </row>
    <row r="2345" spans="2:17" x14ac:dyDescent="0.25">
      <c r="B2345" s="493"/>
      <c r="C2345" s="526"/>
      <c r="D2345" s="620" t="s">
        <v>71</v>
      </c>
      <c r="F2345" s="497"/>
      <c r="G2345" s="561" t="str">
        <f>IFERROR(VLOOKUP(D2345,'Precios Equipos'!$C$1:$F$5052,3,0),"")</f>
        <v/>
      </c>
      <c r="H2345" s="561" t="str">
        <f t="shared" si="220"/>
        <v/>
      </c>
      <c r="I2345" s="1087"/>
      <c r="J2345" s="1088"/>
      <c r="K2345" s="539"/>
      <c r="L2345" s="544" t="str">
        <f>+'Precios Equipos'!C129</f>
        <v>COBRE TABLERO TFV-AC 14 C2.1</v>
      </c>
      <c r="M2345" s="545">
        <f>IFERROR(VLOOKUP(L2345,'Precios Equipos'!$C$11:$F$208,3,0),0)</f>
        <v>13</v>
      </c>
      <c r="O2345" s="468"/>
      <c r="P2345" s="501"/>
    </row>
    <row r="2346" spans="2:17" x14ac:dyDescent="0.25">
      <c r="B2346" s="493"/>
      <c r="C2346" s="526">
        <v>9</v>
      </c>
      <c r="D2346" s="494" t="str">
        <f>+'Precios Equipos'!$C$18</f>
        <v>ITM 2x100A, Caja Moldeada 100A, 50kA en 220VAC, A1N/P, ABB</v>
      </c>
      <c r="F2346" s="495"/>
      <c r="G2346" s="561">
        <f>IFERROR(VLOOKUP(D2346,'Precios Equipos'!$C$1:$F$5052,3,0),"")</f>
        <v>138</v>
      </c>
      <c r="H2346" s="561">
        <f t="shared" si="220"/>
        <v>1242</v>
      </c>
      <c r="I2346" s="1087"/>
      <c r="J2346" s="1088"/>
      <c r="K2346" s="539"/>
      <c r="L2346" s="544" t="str">
        <f>+'Precios Equipos'!C132</f>
        <v>CABLEADO 1 DIFERENCIALES, 2P</v>
      </c>
      <c r="M2346" s="545">
        <f>IFERROR(VLOOKUP(L2346,'Precios Equipos'!$C$11:$F$208,3,0),0)</f>
        <v>37</v>
      </c>
      <c r="O2346" s="468"/>
      <c r="P2346" s="501"/>
      <c r="Q2346" s="465">
        <f>+C2346*$C$2336</f>
        <v>9</v>
      </c>
    </row>
    <row r="2347" spans="2:17" x14ac:dyDescent="0.25">
      <c r="B2347" s="493"/>
      <c r="C2347" s="526">
        <v>1</v>
      </c>
      <c r="D2347" s="494" t="str">
        <f>+'Precios Equipos'!$C$63</f>
        <v>Protector de sobretension SPD AC 3P+N, 230/400V, 1.5kV, 40kA</v>
      </c>
      <c r="F2347" s="495"/>
      <c r="G2347" s="561">
        <f>IFERROR(VLOOKUP(D2347,'Precios Equipos'!$C$1:$F$5052,3,0),"")</f>
        <v>38</v>
      </c>
      <c r="H2347" s="561">
        <f t="shared" si="220"/>
        <v>38</v>
      </c>
      <c r="I2347" s="1087"/>
      <c r="J2347" s="1088"/>
      <c r="K2347" s="539"/>
      <c r="L2347" s="544" t="str">
        <f>+'Precios Equipos'!C141</f>
        <v>Mano de obra 12-16 polos (6-8 ITM)</v>
      </c>
      <c r="M2347" s="545">
        <f>IFERROR(VLOOKUP(L2347,'Precios Equipos'!$C$11:$F$208,3,0),0)</f>
        <v>16</v>
      </c>
      <c r="O2347" s="468"/>
      <c r="P2347" s="501"/>
      <c r="Q2347" s="465">
        <f>+C2347*$C$2336</f>
        <v>1</v>
      </c>
    </row>
    <row r="2348" spans="2:17" x14ac:dyDescent="0.25">
      <c r="B2348" s="493"/>
      <c r="C2348" s="526"/>
      <c r="D2348" s="494"/>
      <c r="F2348" s="495"/>
      <c r="G2348" s="561" t="str">
        <f>IFERROR(VLOOKUP(D2348,'Precios Equipos'!$C$1:$F$5052,3,0),"")</f>
        <v/>
      </c>
      <c r="H2348" s="561" t="str">
        <f t="shared" si="220"/>
        <v/>
      </c>
      <c r="I2348" s="1087"/>
      <c r="J2348" s="1088"/>
      <c r="K2348" s="539"/>
      <c r="L2348" s="544" t="str">
        <f>+'Precios Equipos'!C162</f>
        <v>Mano de obra 1-2 Diferenciales</v>
      </c>
      <c r="M2348" s="545">
        <f>IFERROR(VLOOKUP(L2348,'Precios Equipos'!$C$11:$F$208,3,0),0)</f>
        <v>33</v>
      </c>
      <c r="O2348" s="468"/>
    </row>
    <row r="2349" spans="2:17" ht="16.5" thickBot="1" x14ac:dyDescent="0.3">
      <c r="B2349" s="493"/>
      <c r="C2349" s="526"/>
      <c r="D2349" s="620" t="s">
        <v>737</v>
      </c>
      <c r="F2349" s="495"/>
      <c r="G2349" s="561" t="str">
        <f>IFERROR(VLOOKUP(D2349,'Precios Equipos'!$C$1:$F$5052,3,0),"")</f>
        <v/>
      </c>
      <c r="H2349" s="561" t="str">
        <f t="shared" si="220"/>
        <v/>
      </c>
      <c r="I2349" s="1087"/>
      <c r="J2349" s="1088"/>
      <c r="K2349" s="539"/>
      <c r="L2349" s="544" t="str">
        <f>+'Precios Equipos'!C204</f>
        <v>Diseño Ingenieria Tableros Adosados</v>
      </c>
      <c r="M2349" s="545">
        <f>IFERROR(VLOOKUP(L2349,'Precios Equipos'!$C$11:$F$208,3,0),0)</f>
        <v>33</v>
      </c>
      <c r="O2349" s="468"/>
    </row>
    <row r="2350" spans="2:17" ht="16.5" thickBot="1" x14ac:dyDescent="0.3">
      <c r="B2350" s="493"/>
      <c r="C2350" s="526">
        <v>3</v>
      </c>
      <c r="D2350" s="494" t="str">
        <f>+'Precios Equipos'!$C$48</f>
        <v>Interruptor Riel Din 2x04A. S200 20kA en 230V en 250VAC, ABB</v>
      </c>
      <c r="F2350" s="495"/>
      <c r="G2350" s="561">
        <f>IFERROR(VLOOKUP(D2350,'Precios Equipos'!$C$1:$F$5052,3,0),"")</f>
        <v>162</v>
      </c>
      <c r="H2350" s="561">
        <f t="shared" si="220"/>
        <v>486</v>
      </c>
      <c r="I2350" s="1087"/>
      <c r="J2350" s="1088"/>
      <c r="K2350" s="539"/>
      <c r="L2350" s="546" t="s">
        <v>89</v>
      </c>
      <c r="M2350" s="560">
        <f>SUM(M2345:M2349)</f>
        <v>132</v>
      </c>
      <c r="O2350" s="468"/>
      <c r="Q2350" s="465">
        <f>+C2350*$C$2336</f>
        <v>3</v>
      </c>
    </row>
    <row r="2351" spans="2:17" x14ac:dyDescent="0.25">
      <c r="B2351" s="493"/>
      <c r="C2351" s="526"/>
      <c r="D2351" s="494"/>
      <c r="F2351" s="495"/>
      <c r="G2351" s="561" t="str">
        <f>IFERROR(VLOOKUP(D2351,'Precios Equipos'!$C$1:$F$5052,3,0),"")</f>
        <v/>
      </c>
      <c r="H2351" s="561" t="str">
        <f t="shared" si="220"/>
        <v/>
      </c>
      <c r="I2351" s="477"/>
      <c r="K2351" s="539"/>
      <c r="M2351" s="470"/>
      <c r="O2351" s="468"/>
    </row>
    <row r="2352" spans="2:17" x14ac:dyDescent="0.25">
      <c r="B2352" s="493"/>
      <c r="C2352" s="526"/>
      <c r="D2352" s="496" t="s">
        <v>87</v>
      </c>
      <c r="F2352" s="495"/>
      <c r="G2352" s="561"/>
      <c r="H2352" s="561">
        <f>M2350</f>
        <v>132</v>
      </c>
      <c r="I2352" s="561">
        <f>SUM(H2352)</f>
        <v>132</v>
      </c>
      <c r="J2352" s="924">
        <f>+I2352/H2356</f>
        <v>6.5024630541871922E-2</v>
      </c>
      <c r="K2352" s="539"/>
      <c r="M2352" s="470"/>
      <c r="O2352" s="468"/>
    </row>
    <row r="2353" spans="1:17" x14ac:dyDescent="0.25">
      <c r="B2353" s="493"/>
      <c r="C2353" s="526">
        <v>1</v>
      </c>
      <c r="D2353" s="494" t="s">
        <v>49</v>
      </c>
      <c r="F2353" s="495"/>
      <c r="G2353" s="561"/>
      <c r="H2353" s="561">
        <f>$O$153</f>
        <v>0</v>
      </c>
      <c r="I2353" s="1087">
        <f>SUM(H2353:H2354)</f>
        <v>0</v>
      </c>
      <c r="J2353" s="1088">
        <f>+I2353/H2356</f>
        <v>0</v>
      </c>
      <c r="K2353" s="539"/>
      <c r="M2353" s="470"/>
      <c r="O2353" s="468"/>
    </row>
    <row r="2354" spans="1:17" x14ac:dyDescent="0.25">
      <c r="B2354" s="493"/>
      <c r="C2354" s="526">
        <v>1</v>
      </c>
      <c r="D2354" s="494" t="s">
        <v>51</v>
      </c>
      <c r="F2354" s="495"/>
      <c r="G2354" s="561"/>
      <c r="H2354" s="561">
        <f>$O$154</f>
        <v>0</v>
      </c>
      <c r="I2354" s="1087"/>
      <c r="J2354" s="1088"/>
      <c r="K2354" s="539"/>
      <c r="M2354" s="470"/>
      <c r="O2354" s="468"/>
    </row>
    <row r="2355" spans="1:17" x14ac:dyDescent="0.25">
      <c r="B2355" s="493"/>
      <c r="C2355" s="526">
        <v>1</v>
      </c>
      <c r="D2355" s="467" t="s">
        <v>20</v>
      </c>
      <c r="F2355" s="495"/>
      <c r="G2355" s="561"/>
      <c r="H2355" s="561"/>
      <c r="I2355" s="477"/>
      <c r="J2355" s="973"/>
      <c r="K2355" s="539"/>
      <c r="M2355" s="470"/>
      <c r="O2355" s="468"/>
    </row>
    <row r="2356" spans="1:17" x14ac:dyDescent="0.25">
      <c r="B2356" s="493"/>
      <c r="C2356" s="526">
        <v>1</v>
      </c>
      <c r="D2356" s="467" t="s">
        <v>52</v>
      </c>
      <c r="F2356" s="495"/>
      <c r="G2356" s="553" t="s">
        <v>97</v>
      </c>
      <c r="H2356" s="561">
        <f>SUM(H2339:H2355)</f>
        <v>2030</v>
      </c>
      <c r="I2356" s="477"/>
      <c r="J2356" s="973"/>
      <c r="K2356" s="539"/>
      <c r="M2356" s="470"/>
      <c r="O2356" s="468"/>
    </row>
    <row r="2357" spans="1:17" x14ac:dyDescent="0.25">
      <c r="B2357" s="493"/>
      <c r="C2357" s="526">
        <v>1</v>
      </c>
      <c r="D2357" s="467" t="s">
        <v>21</v>
      </c>
      <c r="F2357" s="495"/>
      <c r="G2357" s="553" t="s">
        <v>105</v>
      </c>
      <c r="H2357" s="561">
        <f>H2356*$M$155</f>
        <v>406</v>
      </c>
      <c r="I2357" s="477"/>
      <c r="J2357" s="973"/>
      <c r="K2357" s="539"/>
      <c r="M2357" s="470"/>
      <c r="O2357" s="468"/>
    </row>
    <row r="2358" spans="1:17" x14ac:dyDescent="0.25">
      <c r="B2358" s="521"/>
      <c r="C2358" s="527" t="s">
        <v>17</v>
      </c>
      <c r="D2358" s="522" t="s">
        <v>48</v>
      </c>
      <c r="E2358" s="523"/>
      <c r="F2358" s="524"/>
      <c r="G2358" s="553" t="s">
        <v>452</v>
      </c>
      <c r="H2358" s="561">
        <f>H2356+H2357</f>
        <v>2436</v>
      </c>
      <c r="I2358" s="477"/>
      <c r="J2358" s="973"/>
      <c r="K2358" s="539"/>
      <c r="M2358" s="470"/>
      <c r="O2358" s="468"/>
    </row>
    <row r="2359" spans="1:17" x14ac:dyDescent="0.25">
      <c r="M2359" s="470"/>
    </row>
    <row r="2360" spans="1:17" x14ac:dyDescent="0.25">
      <c r="B2360" s="514" t="s">
        <v>6</v>
      </c>
      <c r="C2360" s="515" t="s">
        <v>0</v>
      </c>
      <c r="D2360" s="606" t="s">
        <v>8</v>
      </c>
      <c r="E2360" s="516" t="s">
        <v>4</v>
      </c>
      <c r="F2360" s="516" t="s">
        <v>3</v>
      </c>
      <c r="G2360" s="477"/>
      <c r="H2360" s="477"/>
      <c r="I2360" s="477"/>
      <c r="K2360" s="539"/>
      <c r="O2360" s="468"/>
    </row>
    <row r="2361" spans="1:17" x14ac:dyDescent="0.25">
      <c r="A2361" s="463">
        <v>152</v>
      </c>
      <c r="B2361" s="1077">
        <f>B126</f>
        <v>6.2499999999999947</v>
      </c>
      <c r="C2361" s="1077">
        <f>C126</f>
        <v>1</v>
      </c>
      <c r="D2361" s="1077" t="str">
        <f>D126</f>
        <v>TABLERO TFV-AC - TIPO 14 (C2.2)</v>
      </c>
      <c r="E2361" s="518">
        <f>H2384</f>
        <v>2751.6</v>
      </c>
      <c r="F2361" s="518">
        <f>+E2361*C2361</f>
        <v>2751.6</v>
      </c>
      <c r="G2361" s="553" t="s">
        <v>450</v>
      </c>
      <c r="H2361" s="553" t="s">
        <v>1</v>
      </c>
      <c r="I2361" s="477"/>
      <c r="K2361" s="539"/>
      <c r="O2361" s="468"/>
    </row>
    <row r="2362" spans="1:17" x14ac:dyDescent="0.25">
      <c r="B2362" s="1078"/>
      <c r="C2362" s="1078"/>
      <c r="D2362" s="1078"/>
      <c r="E2362" s="520" t="s">
        <v>50</v>
      </c>
      <c r="F2362" s="520" t="s">
        <v>50</v>
      </c>
      <c r="G2362" s="553" t="s">
        <v>50</v>
      </c>
      <c r="H2362" s="553" t="s">
        <v>50</v>
      </c>
      <c r="I2362" s="477"/>
      <c r="K2362" s="539"/>
      <c r="O2362" s="468"/>
    </row>
    <row r="2363" spans="1:17" x14ac:dyDescent="0.25">
      <c r="B2363" s="493"/>
      <c r="C2363" s="526"/>
      <c r="D2363" s="463"/>
      <c r="E2363" s="491"/>
      <c r="F2363" s="492"/>
      <c r="G2363" s="561"/>
      <c r="H2363" s="561"/>
      <c r="I2363" s="477"/>
      <c r="K2363" s="539"/>
      <c r="O2363" s="468"/>
    </row>
    <row r="2364" spans="1:17" ht="16.5" thickBot="1" x14ac:dyDescent="0.3">
      <c r="B2364" s="493"/>
      <c r="C2364" s="526">
        <v>1</v>
      </c>
      <c r="D2364" s="500" t="str">
        <f>+'Precios Equipos'!$C$182</f>
        <v>Gabinete Adosado 900x700x200mm. (alto x ancho x profundidad) dimensiones aproximadas</v>
      </c>
      <c r="F2364" s="495"/>
      <c r="G2364" s="561">
        <f>IFERROR(VLOOKUP(D2364,'Precios Equipos'!$C$1:$F$5052,3,0),"")</f>
        <v>38</v>
      </c>
      <c r="H2364" s="561">
        <f t="shared" ref="H2364:H2377" si="221">IFERROR(G2364*C2364,"")</f>
        <v>38</v>
      </c>
      <c r="I2364" s="561">
        <f>SUM(H2364)</f>
        <v>38</v>
      </c>
      <c r="J2364" s="924">
        <f>+I2364/H2382</f>
        <v>1.6572176188399478E-2</v>
      </c>
      <c r="K2364" s="539"/>
      <c r="O2364" s="468"/>
      <c r="Q2364" s="465">
        <f>+C2364*$C$2361</f>
        <v>1</v>
      </c>
    </row>
    <row r="2365" spans="1:17" ht="16.5" thickBot="1" x14ac:dyDescent="0.3">
      <c r="B2365" s="493"/>
      <c r="C2365" s="526"/>
      <c r="D2365" s="494"/>
      <c r="F2365" s="495"/>
      <c r="G2365" s="561" t="str">
        <f>IFERROR(VLOOKUP(D2365,'Precios Equipos'!$C$1:$F$5052,3,0),"")</f>
        <v/>
      </c>
      <c r="H2365" s="561" t="str">
        <f t="shared" si="221"/>
        <v/>
      </c>
      <c r="I2365" s="477"/>
      <c r="K2365" s="539"/>
      <c r="L2365" s="540" t="s">
        <v>451</v>
      </c>
      <c r="M2365" s="541"/>
      <c r="O2365" s="468"/>
    </row>
    <row r="2366" spans="1:17" ht="16.5" thickBot="1" x14ac:dyDescent="0.3">
      <c r="B2366" s="493"/>
      <c r="C2366" s="526"/>
      <c r="D2366" s="620" t="s">
        <v>741</v>
      </c>
      <c r="F2366" s="495"/>
      <c r="G2366" s="561" t="str">
        <f>IFERROR(VLOOKUP(D2366,'Precios Equipos'!$C$1:$F$5052,3,0),"")</f>
        <v/>
      </c>
      <c r="H2366" s="561" t="str">
        <f t="shared" si="221"/>
        <v/>
      </c>
      <c r="I2366" s="477"/>
      <c r="K2366" s="539"/>
      <c r="L2366" s="542" t="s">
        <v>88</v>
      </c>
      <c r="M2366" s="543" t="s">
        <v>85</v>
      </c>
      <c r="O2366" s="468"/>
    </row>
    <row r="2367" spans="1:17" x14ac:dyDescent="0.25">
      <c r="B2367" s="493"/>
      <c r="C2367" s="526">
        <v>2</v>
      </c>
      <c r="D2367" s="494" t="str">
        <f>+'Precios Equipos'!$C$21</f>
        <v>ITM 3x50A, Caja Moldeada (35-50)A, 25kA en 380VAC, XT1C, ABB</v>
      </c>
      <c r="F2367" s="497"/>
      <c r="G2367" s="561">
        <f>IFERROR(VLOOKUP(D2367,'Precios Equipos'!$C$1:$F$5052,3,0),"")</f>
        <v>41</v>
      </c>
      <c r="H2367" s="561">
        <f t="shared" si="221"/>
        <v>82</v>
      </c>
      <c r="I2367" s="1087">
        <f>SUM(H2367:H2376)</f>
        <v>2123</v>
      </c>
      <c r="J2367" s="1088">
        <f>+I2367/H2382</f>
        <v>0.92586131705189711</v>
      </c>
      <c r="K2367" s="539"/>
      <c r="L2367" s="544" t="str">
        <f>+'Precios Equipos'!C129</f>
        <v>COBRE TABLERO TFV-AC 14 C2.1</v>
      </c>
      <c r="M2367" s="545">
        <f>IFERROR(VLOOKUP(L2367,'Precios Equipos'!$C$11:$F$208,3,0),0)</f>
        <v>13</v>
      </c>
      <c r="O2367" s="468"/>
      <c r="Q2367" s="465">
        <f>+C2367*$C$2361</f>
        <v>2</v>
      </c>
    </row>
    <row r="2368" spans="1:17" x14ac:dyDescent="0.25">
      <c r="B2368" s="493"/>
      <c r="C2368" s="526">
        <v>1</v>
      </c>
      <c r="D2368" s="494" t="str">
        <f>+'Precios Equipos'!$C$24</f>
        <v>ITM 4x100A, Caja Moldeada (70-100)A, 25kA en 380VAC, XT1C, ABB</v>
      </c>
      <c r="F2368" s="497"/>
      <c r="G2368" s="561">
        <f>IFERROR(VLOOKUP(D2368,'Precios Equipos'!$C$1:$F$5052,3,0),"")</f>
        <v>12</v>
      </c>
      <c r="H2368" s="561">
        <f t="shared" si="221"/>
        <v>12</v>
      </c>
      <c r="I2368" s="1087"/>
      <c r="J2368" s="1088"/>
      <c r="K2368" s="539"/>
      <c r="L2368" s="544" t="str">
        <f>+'Precios Equipos'!C132</f>
        <v>CABLEADO 1 DIFERENCIALES, 2P</v>
      </c>
      <c r="M2368" s="545">
        <f>IFERROR(VLOOKUP(L2368,'Precios Equipos'!$C$11:$F$208,3,0),0)</f>
        <v>37</v>
      </c>
      <c r="O2368" s="468"/>
      <c r="Q2368" s="465">
        <f>+C2368*$C$2361</f>
        <v>1</v>
      </c>
    </row>
    <row r="2369" spans="2:17" x14ac:dyDescent="0.25">
      <c r="B2369" s="493"/>
      <c r="C2369" s="526"/>
      <c r="D2369" s="494"/>
      <c r="F2369" s="497"/>
      <c r="G2369" s="561" t="str">
        <f>IFERROR(VLOOKUP(D2369,'Precios Equipos'!$C$1:$F$5052,3,0),"")</f>
        <v/>
      </c>
      <c r="H2369" s="561" t="str">
        <f t="shared" si="221"/>
        <v/>
      </c>
      <c r="I2369" s="1087"/>
      <c r="J2369" s="1088"/>
      <c r="K2369" s="539"/>
      <c r="L2369" s="544" t="str">
        <f>+'Precios Equipos'!C141</f>
        <v>Mano de obra 12-16 polos (6-8 ITM)</v>
      </c>
      <c r="M2369" s="545">
        <f>IFERROR(VLOOKUP(L2369,'Precios Equipos'!$C$11:$F$208,3,0),0)</f>
        <v>16</v>
      </c>
      <c r="O2369" s="468"/>
    </row>
    <row r="2370" spans="2:17" x14ac:dyDescent="0.25">
      <c r="B2370" s="493"/>
      <c r="C2370" s="526"/>
      <c r="D2370" s="620" t="s">
        <v>71</v>
      </c>
      <c r="F2370" s="497"/>
      <c r="G2370" s="561" t="str">
        <f>IFERROR(VLOOKUP(D2370,'Precios Equipos'!$C$1:$F$5052,3,0),"")</f>
        <v/>
      </c>
      <c r="H2370" s="561" t="str">
        <f t="shared" si="221"/>
        <v/>
      </c>
      <c r="I2370" s="1087"/>
      <c r="J2370" s="1088"/>
      <c r="K2370" s="539"/>
      <c r="L2370" s="544" t="str">
        <f>+'Precios Equipos'!C162</f>
        <v>Mano de obra 1-2 Diferenciales</v>
      </c>
      <c r="M2370" s="545">
        <f>IFERROR(VLOOKUP(L2370,'Precios Equipos'!$C$11:$F$208,3,0),0)</f>
        <v>33</v>
      </c>
      <c r="O2370" s="468"/>
    </row>
    <row r="2371" spans="2:17" ht="16.5" thickBot="1" x14ac:dyDescent="0.3">
      <c r="B2371" s="493"/>
      <c r="C2371" s="526">
        <v>9</v>
      </c>
      <c r="D2371" s="494" t="str">
        <f>+'Precios Equipos'!$C$18</f>
        <v>ITM 2x100A, Caja Moldeada 100A, 50kA en 220VAC, A1N/P, ABB</v>
      </c>
      <c r="F2371" s="495"/>
      <c r="G2371" s="561">
        <f>IFERROR(VLOOKUP(D2371,'Precios Equipos'!$C$1:$F$5052,3,0),"")</f>
        <v>138</v>
      </c>
      <c r="H2371" s="561">
        <f t="shared" si="221"/>
        <v>1242</v>
      </c>
      <c r="I2371" s="1087"/>
      <c r="J2371" s="1088"/>
      <c r="K2371" s="539"/>
      <c r="L2371" s="544" t="str">
        <f>+'Precios Equipos'!C204</f>
        <v>Diseño Ingenieria Tableros Adosados</v>
      </c>
      <c r="M2371" s="545">
        <f>IFERROR(VLOOKUP(L2371,'Precios Equipos'!$C$11:$F$208,3,0),0)</f>
        <v>33</v>
      </c>
      <c r="O2371" s="468"/>
      <c r="Q2371" s="465">
        <f>+C2371*$C$2361</f>
        <v>9</v>
      </c>
    </row>
    <row r="2372" spans="2:17" ht="16.5" thickBot="1" x14ac:dyDescent="0.3">
      <c r="B2372" s="493"/>
      <c r="C2372" s="526">
        <v>1</v>
      </c>
      <c r="D2372" s="494" t="str">
        <f>+'Precios Equipos'!C50</f>
        <v>Interruptor Riel Din 2x25A. S202 20kA en 220VAC, ABB</v>
      </c>
      <c r="F2372" s="495"/>
      <c r="G2372" s="561">
        <f>IFERROR(VLOOKUP(D2372,'Precios Equipos'!$C$1:$F$5052,3,0),"")</f>
        <v>263</v>
      </c>
      <c r="H2372" s="561">
        <f t="shared" si="221"/>
        <v>263</v>
      </c>
      <c r="I2372" s="1087"/>
      <c r="J2372" s="1088"/>
      <c r="K2372" s="539"/>
      <c r="L2372" s="546" t="s">
        <v>89</v>
      </c>
      <c r="M2372" s="560">
        <f>SUM(M2367:M2371)</f>
        <v>132</v>
      </c>
      <c r="O2372" s="468"/>
      <c r="Q2372" s="465">
        <f>+C2372*$C$2361</f>
        <v>1</v>
      </c>
    </row>
    <row r="2373" spans="2:17" x14ac:dyDescent="0.25">
      <c r="B2373" s="493"/>
      <c r="C2373" s="526">
        <v>1</v>
      </c>
      <c r="D2373" s="494" t="str">
        <f>+'Precios Equipos'!$C$63</f>
        <v>Protector de sobretension SPD AC 3P+N, 230/400V, 1.5kV, 40kA</v>
      </c>
      <c r="F2373" s="495"/>
      <c r="G2373" s="561">
        <f>IFERROR(VLOOKUP(D2373,'Precios Equipos'!$C$1:$F$5052,3,0),"")</f>
        <v>38</v>
      </c>
      <c r="H2373" s="561">
        <f t="shared" si="221"/>
        <v>38</v>
      </c>
      <c r="I2373" s="1087"/>
      <c r="J2373" s="1088"/>
      <c r="K2373" s="539"/>
      <c r="O2373" s="468"/>
      <c r="P2373" s="501"/>
      <c r="Q2373" s="465">
        <f>+C2373*$C$2361</f>
        <v>1</v>
      </c>
    </row>
    <row r="2374" spans="2:17" x14ac:dyDescent="0.25">
      <c r="B2374" s="493"/>
      <c r="C2374" s="526"/>
      <c r="D2374" s="494"/>
      <c r="F2374" s="495"/>
      <c r="G2374" s="561" t="str">
        <f>IFERROR(VLOOKUP(D2374,'Precios Equipos'!$C$1:$F$5052,3,0),"")</f>
        <v/>
      </c>
      <c r="H2374" s="561" t="str">
        <f t="shared" si="221"/>
        <v/>
      </c>
      <c r="I2374" s="1087"/>
      <c r="J2374" s="1088"/>
      <c r="K2374" s="539"/>
      <c r="O2374" s="468"/>
      <c r="P2374" s="501"/>
    </row>
    <row r="2375" spans="2:17" x14ac:dyDescent="0.25">
      <c r="B2375" s="493"/>
      <c r="C2375" s="526"/>
      <c r="D2375" s="620" t="s">
        <v>737</v>
      </c>
      <c r="F2375" s="495"/>
      <c r="G2375" s="561" t="str">
        <f>IFERROR(VLOOKUP(D2375,'Precios Equipos'!$C$1:$F$5052,3,0),"")</f>
        <v/>
      </c>
      <c r="H2375" s="561" t="str">
        <f t="shared" si="221"/>
        <v/>
      </c>
      <c r="I2375" s="1087"/>
      <c r="J2375" s="1088"/>
      <c r="K2375" s="539"/>
      <c r="O2375" s="468"/>
      <c r="P2375" s="501"/>
    </row>
    <row r="2376" spans="2:17" x14ac:dyDescent="0.25">
      <c r="B2376" s="493"/>
      <c r="C2376" s="526">
        <v>3</v>
      </c>
      <c r="D2376" s="494" t="str">
        <f>+'Precios Equipos'!$C$48</f>
        <v>Interruptor Riel Din 2x04A. S200 20kA en 230V en 250VAC, ABB</v>
      </c>
      <c r="F2376" s="495"/>
      <c r="G2376" s="561">
        <f>IFERROR(VLOOKUP(D2376,'Precios Equipos'!$C$1:$F$5052,3,0),"")</f>
        <v>162</v>
      </c>
      <c r="H2376" s="561">
        <f t="shared" si="221"/>
        <v>486</v>
      </c>
      <c r="I2376" s="1087"/>
      <c r="J2376" s="1088"/>
      <c r="K2376" s="539"/>
      <c r="O2376" s="468"/>
      <c r="Q2376" s="465">
        <f>+C2376*$C$2361</f>
        <v>3</v>
      </c>
    </row>
    <row r="2377" spans="2:17" x14ac:dyDescent="0.25">
      <c r="B2377" s="493"/>
      <c r="C2377" s="526"/>
      <c r="D2377" s="494"/>
      <c r="F2377" s="495"/>
      <c r="G2377" s="561" t="str">
        <f>IFERROR(VLOOKUP(D2377,'Precios Equipos'!$C$1:$F$5052,3,0),"")</f>
        <v/>
      </c>
      <c r="H2377" s="561" t="str">
        <f t="shared" si="221"/>
        <v/>
      </c>
      <c r="I2377" s="477"/>
      <c r="K2377" s="539"/>
      <c r="M2377" s="470"/>
      <c r="O2377" s="468"/>
    </row>
    <row r="2378" spans="2:17" x14ac:dyDescent="0.25">
      <c r="B2378" s="493"/>
      <c r="C2378" s="526"/>
      <c r="D2378" s="496" t="s">
        <v>87</v>
      </c>
      <c r="F2378" s="495"/>
      <c r="G2378" s="561"/>
      <c r="H2378" s="561">
        <f>M2372</f>
        <v>132</v>
      </c>
      <c r="I2378" s="561">
        <f>SUM(H2378)</f>
        <v>132</v>
      </c>
      <c r="J2378" s="924">
        <f>+I2378/H2382</f>
        <v>5.7566506759703442E-2</v>
      </c>
      <c r="K2378" s="539"/>
      <c r="M2378" s="470"/>
      <c r="O2378" s="468"/>
    </row>
    <row r="2379" spans="2:17" x14ac:dyDescent="0.25">
      <c r="B2379" s="493"/>
      <c r="C2379" s="526">
        <v>1</v>
      </c>
      <c r="D2379" s="494" t="s">
        <v>49</v>
      </c>
      <c r="F2379" s="495"/>
      <c r="G2379" s="561"/>
      <c r="H2379" s="561">
        <f>$O$153</f>
        <v>0</v>
      </c>
      <c r="I2379" s="1087">
        <f>SUM(H2379:H2380)</f>
        <v>0</v>
      </c>
      <c r="J2379" s="1088">
        <f>+I2379/H2382</f>
        <v>0</v>
      </c>
      <c r="K2379" s="539"/>
      <c r="M2379" s="470"/>
      <c r="O2379" s="468"/>
    </row>
    <row r="2380" spans="2:17" x14ac:dyDescent="0.25">
      <c r="B2380" s="493"/>
      <c r="C2380" s="526">
        <v>1</v>
      </c>
      <c r="D2380" s="494" t="s">
        <v>51</v>
      </c>
      <c r="F2380" s="495"/>
      <c r="G2380" s="561"/>
      <c r="H2380" s="561">
        <f>$O$154</f>
        <v>0</v>
      </c>
      <c r="I2380" s="1087"/>
      <c r="J2380" s="1088"/>
      <c r="K2380" s="539"/>
      <c r="M2380" s="470"/>
      <c r="O2380" s="468"/>
    </row>
    <row r="2381" spans="2:17" x14ac:dyDescent="0.25">
      <c r="B2381" s="493"/>
      <c r="C2381" s="526">
        <v>1</v>
      </c>
      <c r="D2381" s="467" t="s">
        <v>20</v>
      </c>
      <c r="F2381" s="495"/>
      <c r="G2381" s="561"/>
      <c r="H2381" s="561"/>
      <c r="I2381" s="477"/>
      <c r="J2381" s="973"/>
      <c r="K2381" s="539"/>
      <c r="M2381" s="470"/>
      <c r="O2381" s="468"/>
    </row>
    <row r="2382" spans="2:17" x14ac:dyDescent="0.25">
      <c r="B2382" s="493"/>
      <c r="C2382" s="526">
        <v>1</v>
      </c>
      <c r="D2382" s="467" t="s">
        <v>52</v>
      </c>
      <c r="F2382" s="495"/>
      <c r="G2382" s="553" t="s">
        <v>97</v>
      </c>
      <c r="H2382" s="561">
        <f>SUM(H2364:H2381)</f>
        <v>2293</v>
      </c>
      <c r="I2382" s="477"/>
      <c r="J2382" s="973"/>
      <c r="K2382" s="539"/>
      <c r="M2382" s="470"/>
      <c r="O2382" s="468"/>
    </row>
    <row r="2383" spans="2:17" x14ac:dyDescent="0.25">
      <c r="B2383" s="493"/>
      <c r="C2383" s="526">
        <v>1</v>
      </c>
      <c r="D2383" s="467" t="s">
        <v>21</v>
      </c>
      <c r="F2383" s="495"/>
      <c r="G2383" s="553" t="s">
        <v>105</v>
      </c>
      <c r="H2383" s="561">
        <f>H2382*$M$155</f>
        <v>458.6</v>
      </c>
      <c r="I2383" s="477"/>
      <c r="J2383" s="973"/>
      <c r="K2383" s="539"/>
      <c r="M2383" s="470"/>
      <c r="O2383" s="468"/>
    </row>
    <row r="2384" spans="2:17" x14ac:dyDescent="0.25">
      <c r="B2384" s="521"/>
      <c r="C2384" s="527" t="s">
        <v>17</v>
      </c>
      <c r="D2384" s="522" t="s">
        <v>48</v>
      </c>
      <c r="E2384" s="523"/>
      <c r="F2384" s="524"/>
      <c r="G2384" s="553" t="s">
        <v>452</v>
      </c>
      <c r="H2384" s="561">
        <f>H2382+H2383</f>
        <v>2751.6</v>
      </c>
      <c r="I2384" s="477"/>
      <c r="J2384" s="973"/>
      <c r="K2384" s="539"/>
      <c r="M2384" s="470"/>
      <c r="O2384" s="468"/>
    </row>
    <row r="2385" spans="1:17" x14ac:dyDescent="0.25">
      <c r="M2385" s="470"/>
    </row>
    <row r="2386" spans="1:17" x14ac:dyDescent="0.25">
      <c r="B2386" s="514" t="s">
        <v>6</v>
      </c>
      <c r="C2386" s="515" t="s">
        <v>0</v>
      </c>
      <c r="D2386" s="606" t="s">
        <v>8</v>
      </c>
      <c r="E2386" s="516" t="s">
        <v>4</v>
      </c>
      <c r="F2386" s="516" t="s">
        <v>3</v>
      </c>
      <c r="G2386" s="477"/>
      <c r="H2386" s="477"/>
      <c r="I2386" s="477"/>
      <c r="K2386" s="539"/>
      <c r="M2386" s="470"/>
      <c r="O2386" s="468"/>
    </row>
    <row r="2387" spans="1:17" x14ac:dyDescent="0.25">
      <c r="A2387" s="463">
        <v>152</v>
      </c>
      <c r="B2387" s="1077">
        <f>B127</f>
        <v>6.2599999999999945</v>
      </c>
      <c r="C2387" s="1077">
        <f>C127</f>
        <v>1</v>
      </c>
      <c r="D2387" s="1077" t="str">
        <f>D127</f>
        <v>TABLERO TFV-AC - TIPO 14 (C2.3)</v>
      </c>
      <c r="E2387" s="518">
        <f>H2409</f>
        <v>2436</v>
      </c>
      <c r="F2387" s="518">
        <f>+E2387*C2387</f>
        <v>2436</v>
      </c>
      <c r="G2387" s="553" t="s">
        <v>450</v>
      </c>
      <c r="H2387" s="553" t="s">
        <v>1</v>
      </c>
      <c r="I2387" s="477"/>
      <c r="K2387" s="539"/>
      <c r="M2387" s="470"/>
      <c r="O2387" s="468"/>
    </row>
    <row r="2388" spans="1:17" x14ac:dyDescent="0.25">
      <c r="B2388" s="1078"/>
      <c r="C2388" s="1078"/>
      <c r="D2388" s="1078"/>
      <c r="E2388" s="520" t="s">
        <v>50</v>
      </c>
      <c r="F2388" s="520" t="s">
        <v>50</v>
      </c>
      <c r="G2388" s="553" t="s">
        <v>50</v>
      </c>
      <c r="H2388" s="553" t="s">
        <v>50</v>
      </c>
      <c r="I2388" s="477"/>
      <c r="K2388" s="539"/>
      <c r="M2388" s="470"/>
      <c r="O2388" s="468"/>
    </row>
    <row r="2389" spans="1:17" x14ac:dyDescent="0.25">
      <c r="B2389" s="493"/>
      <c r="C2389" s="526"/>
      <c r="D2389" s="463"/>
      <c r="E2389" s="491"/>
      <c r="F2389" s="492"/>
      <c r="G2389" s="561" t="str">
        <f>IFERROR(VLOOKUP(D2389,'Precios Equipos'!$C$1:$F$5052,3,0),"")</f>
        <v/>
      </c>
      <c r="H2389" s="561" t="str">
        <f t="shared" ref="H2389:H2402" si="222">IFERROR(G2389*C2389,"")</f>
        <v/>
      </c>
      <c r="I2389" s="477"/>
      <c r="K2389" s="539"/>
      <c r="M2389" s="470"/>
      <c r="O2389" s="468"/>
    </row>
    <row r="2390" spans="1:17" x14ac:dyDescent="0.25">
      <c r="B2390" s="493"/>
      <c r="C2390" s="526">
        <v>1</v>
      </c>
      <c r="D2390" s="500" t="str">
        <f>+'Precios Equipos'!$C$182</f>
        <v>Gabinete Adosado 900x700x200mm. (alto x ancho x profundidad) dimensiones aproximadas</v>
      </c>
      <c r="F2390" s="495"/>
      <c r="G2390" s="561">
        <f>IFERROR(VLOOKUP(D2390,'Precios Equipos'!$C$1:$F$5052,3,0),"")</f>
        <v>38</v>
      </c>
      <c r="H2390" s="561">
        <f t="shared" si="222"/>
        <v>38</v>
      </c>
      <c r="I2390" s="561">
        <f>SUM(H2390)</f>
        <v>38</v>
      </c>
      <c r="J2390" s="924">
        <f>+I2390/H2407</f>
        <v>1.8719211822660099E-2</v>
      </c>
      <c r="K2390" s="539"/>
      <c r="M2390" s="470"/>
      <c r="O2390" s="468"/>
      <c r="Q2390" s="465">
        <f>+C2390*$C$2387</f>
        <v>1</v>
      </c>
    </row>
    <row r="2391" spans="1:17" x14ac:dyDescent="0.25">
      <c r="B2391" s="493"/>
      <c r="C2391" s="526"/>
      <c r="D2391" s="494"/>
      <c r="F2391" s="495"/>
      <c r="G2391" s="561" t="str">
        <f>IFERROR(VLOOKUP(D2391,'Precios Equipos'!$C$1:$F$5052,3,0),"")</f>
        <v/>
      </c>
      <c r="H2391" s="561" t="str">
        <f t="shared" si="222"/>
        <v/>
      </c>
      <c r="I2391" s="477"/>
      <c r="K2391" s="539"/>
      <c r="M2391" s="470"/>
      <c r="O2391" s="468"/>
    </row>
    <row r="2392" spans="1:17" x14ac:dyDescent="0.25">
      <c r="B2392" s="493"/>
      <c r="C2392" s="526"/>
      <c r="D2392" s="620" t="s">
        <v>741</v>
      </c>
      <c r="F2392" s="495"/>
      <c r="G2392" s="561" t="str">
        <f>IFERROR(VLOOKUP(D2392,'Precios Equipos'!$C$1:$F$5052,3,0),"")</f>
        <v/>
      </c>
      <c r="H2392" s="561" t="str">
        <f t="shared" si="222"/>
        <v/>
      </c>
      <c r="I2392" s="477"/>
      <c r="K2392" s="539"/>
      <c r="M2392" s="470"/>
      <c r="O2392" s="468"/>
    </row>
    <row r="2393" spans="1:17" ht="16.5" thickBot="1" x14ac:dyDescent="0.3">
      <c r="B2393" s="493"/>
      <c r="C2393" s="526">
        <v>2</v>
      </c>
      <c r="D2393" s="494" t="str">
        <f>+'Precios Equipos'!$C$21</f>
        <v>ITM 3x50A, Caja Moldeada (35-50)A, 25kA en 380VAC, XT1C, ABB</v>
      </c>
      <c r="F2393" s="497"/>
      <c r="G2393" s="561">
        <f>IFERROR(VLOOKUP(D2393,'Precios Equipos'!$C$1:$F$5052,3,0),"")</f>
        <v>41</v>
      </c>
      <c r="H2393" s="561">
        <f t="shared" si="222"/>
        <v>82</v>
      </c>
      <c r="I2393" s="1087">
        <f>SUM(H2393:H2402)</f>
        <v>1860</v>
      </c>
      <c r="J2393" s="1088">
        <f>+I2393/H2407</f>
        <v>0.91625615763546797</v>
      </c>
      <c r="K2393" s="539"/>
      <c r="M2393" s="470"/>
      <c r="O2393" s="468"/>
      <c r="Q2393" s="465">
        <f>+C2393*$C$2387</f>
        <v>2</v>
      </c>
    </row>
    <row r="2394" spans="1:17" ht="16.5" thickBot="1" x14ac:dyDescent="0.3">
      <c r="B2394" s="493"/>
      <c r="C2394" s="526">
        <v>1</v>
      </c>
      <c r="D2394" s="494" t="str">
        <f>+'Precios Equipos'!$C$24</f>
        <v>ITM 4x100A, Caja Moldeada (70-100)A, 25kA en 380VAC, XT1C, ABB</v>
      </c>
      <c r="F2394" s="497"/>
      <c r="G2394" s="561">
        <f>IFERROR(VLOOKUP(D2394,'Precios Equipos'!$C$1:$F$5052,3,0),"")</f>
        <v>12</v>
      </c>
      <c r="H2394" s="561">
        <f t="shared" si="222"/>
        <v>12</v>
      </c>
      <c r="I2394" s="1087"/>
      <c r="J2394" s="1088"/>
      <c r="K2394" s="539"/>
      <c r="L2394" s="540" t="s">
        <v>451</v>
      </c>
      <c r="M2394" s="541"/>
      <c r="O2394" s="468"/>
      <c r="Q2394" s="465">
        <f>+C2394*$C$2387</f>
        <v>1</v>
      </c>
    </row>
    <row r="2395" spans="1:17" ht="16.5" thickBot="1" x14ac:dyDescent="0.3">
      <c r="B2395" s="493"/>
      <c r="C2395" s="526"/>
      <c r="D2395" s="494"/>
      <c r="F2395" s="497"/>
      <c r="G2395" s="561" t="str">
        <f>IFERROR(VLOOKUP(D2395,'Precios Equipos'!$C$1:$F$5052,3,0),"")</f>
        <v/>
      </c>
      <c r="H2395" s="561" t="str">
        <f t="shared" si="222"/>
        <v/>
      </c>
      <c r="I2395" s="1087"/>
      <c r="J2395" s="1088"/>
      <c r="K2395" s="539"/>
      <c r="L2395" s="542" t="s">
        <v>88</v>
      </c>
      <c r="M2395" s="543" t="s">
        <v>85</v>
      </c>
      <c r="O2395" s="468"/>
    </row>
    <row r="2396" spans="1:17" x14ac:dyDescent="0.25">
      <c r="B2396" s="493"/>
      <c r="C2396" s="526"/>
      <c r="D2396" s="620" t="s">
        <v>71</v>
      </c>
      <c r="F2396" s="497"/>
      <c r="G2396" s="561" t="str">
        <f>IFERROR(VLOOKUP(D2396,'Precios Equipos'!$C$1:$F$5052,3,0),"")</f>
        <v/>
      </c>
      <c r="H2396" s="561" t="str">
        <f t="shared" si="222"/>
        <v/>
      </c>
      <c r="I2396" s="1087"/>
      <c r="J2396" s="1088"/>
      <c r="K2396" s="539"/>
      <c r="L2396" s="544" t="str">
        <f>+'Precios Equipos'!C129</f>
        <v>COBRE TABLERO TFV-AC 14 C2.1</v>
      </c>
      <c r="M2396" s="545">
        <f>IFERROR(VLOOKUP(L2396,'Precios Equipos'!$C$11:$F$208,3,0),0)</f>
        <v>13</v>
      </c>
      <c r="O2396" s="468"/>
      <c r="P2396" s="501"/>
    </row>
    <row r="2397" spans="1:17" x14ac:dyDescent="0.25">
      <c r="B2397" s="493"/>
      <c r="C2397" s="526">
        <v>9</v>
      </c>
      <c r="D2397" s="494" t="str">
        <f>+'Precios Equipos'!$C$18</f>
        <v>ITM 2x100A, Caja Moldeada 100A, 50kA en 220VAC, A1N/P, ABB</v>
      </c>
      <c r="F2397" s="495"/>
      <c r="G2397" s="561">
        <f>IFERROR(VLOOKUP(D2397,'Precios Equipos'!$C$1:$F$5052,3,0),"")</f>
        <v>138</v>
      </c>
      <c r="H2397" s="561">
        <f t="shared" si="222"/>
        <v>1242</v>
      </c>
      <c r="I2397" s="1087"/>
      <c r="J2397" s="1088"/>
      <c r="K2397" s="539"/>
      <c r="L2397" s="544" t="str">
        <f>+'Precios Equipos'!C132</f>
        <v>CABLEADO 1 DIFERENCIALES, 2P</v>
      </c>
      <c r="M2397" s="545">
        <f>IFERROR(VLOOKUP(L2397,'Precios Equipos'!$C$11:$F$208,3,0),0)</f>
        <v>37</v>
      </c>
      <c r="O2397" s="468"/>
      <c r="P2397" s="501"/>
      <c r="Q2397" s="465">
        <f>+C2397*$C$2387</f>
        <v>9</v>
      </c>
    </row>
    <row r="2398" spans="1:17" x14ac:dyDescent="0.25">
      <c r="B2398" s="493"/>
      <c r="C2398" s="526">
        <v>1</v>
      </c>
      <c r="D2398" s="494" t="str">
        <f>+'Precios Equipos'!$C$63</f>
        <v>Protector de sobretension SPD AC 3P+N, 230/400V, 1.5kV, 40kA</v>
      </c>
      <c r="F2398" s="495"/>
      <c r="G2398" s="561">
        <f>IFERROR(VLOOKUP(D2398,'Precios Equipos'!$C$1:$F$5052,3,0),"")</f>
        <v>38</v>
      </c>
      <c r="H2398" s="561">
        <f t="shared" si="222"/>
        <v>38</v>
      </c>
      <c r="I2398" s="1087"/>
      <c r="J2398" s="1088"/>
      <c r="K2398" s="539"/>
      <c r="L2398" s="544" t="str">
        <f>+'Precios Equipos'!C141</f>
        <v>Mano de obra 12-16 polos (6-8 ITM)</v>
      </c>
      <c r="M2398" s="545">
        <f>IFERROR(VLOOKUP(L2398,'Precios Equipos'!$C$11:$F$208,3,0),0)</f>
        <v>16</v>
      </c>
      <c r="O2398" s="468"/>
      <c r="P2398" s="501"/>
      <c r="Q2398" s="465">
        <f>+C2398*$C$2387</f>
        <v>1</v>
      </c>
    </row>
    <row r="2399" spans="1:17" x14ac:dyDescent="0.25">
      <c r="B2399" s="493"/>
      <c r="C2399" s="526"/>
      <c r="D2399" s="494"/>
      <c r="F2399" s="495"/>
      <c r="G2399" s="561" t="str">
        <f>IFERROR(VLOOKUP(D2399,'Precios Equipos'!$C$1:$F$5052,3,0),"")</f>
        <v/>
      </c>
      <c r="H2399" s="561" t="str">
        <f t="shared" si="222"/>
        <v/>
      </c>
      <c r="I2399" s="1087"/>
      <c r="J2399" s="1088"/>
      <c r="K2399" s="539"/>
      <c r="L2399" s="544" t="str">
        <f>+'Precios Equipos'!C162</f>
        <v>Mano de obra 1-2 Diferenciales</v>
      </c>
      <c r="M2399" s="545">
        <f>IFERROR(VLOOKUP(L2399,'Precios Equipos'!$C$11:$F$208,3,0),0)</f>
        <v>33</v>
      </c>
      <c r="O2399" s="468"/>
    </row>
    <row r="2400" spans="1:17" ht="16.5" thickBot="1" x14ac:dyDescent="0.3">
      <c r="B2400" s="493"/>
      <c r="C2400" s="526"/>
      <c r="D2400" s="620" t="s">
        <v>737</v>
      </c>
      <c r="F2400" s="495"/>
      <c r="G2400" s="561" t="str">
        <f>IFERROR(VLOOKUP(D2400,'Precios Equipos'!$C$1:$F$5052,3,0),"")</f>
        <v/>
      </c>
      <c r="H2400" s="561" t="str">
        <f t="shared" si="222"/>
        <v/>
      </c>
      <c r="I2400" s="1087"/>
      <c r="J2400" s="1088"/>
      <c r="K2400" s="539"/>
      <c r="L2400" s="544" t="str">
        <f>+'Precios Equipos'!C204</f>
        <v>Diseño Ingenieria Tableros Adosados</v>
      </c>
      <c r="M2400" s="545">
        <f>IFERROR(VLOOKUP(L2400,'Precios Equipos'!$C$11:$F$208,3,0),0)</f>
        <v>33</v>
      </c>
      <c r="O2400" s="468"/>
    </row>
    <row r="2401" spans="1:17" ht="16.5" thickBot="1" x14ac:dyDescent="0.3">
      <c r="B2401" s="493"/>
      <c r="C2401" s="526">
        <v>3</v>
      </c>
      <c r="D2401" s="494" t="str">
        <f>+'Precios Equipos'!$C$48</f>
        <v>Interruptor Riel Din 2x04A. S200 20kA en 230V en 250VAC, ABB</v>
      </c>
      <c r="F2401" s="495"/>
      <c r="G2401" s="561">
        <f>IFERROR(VLOOKUP(D2401,'Precios Equipos'!$C$1:$F$5052,3,0),"")</f>
        <v>162</v>
      </c>
      <c r="H2401" s="561">
        <f t="shared" si="222"/>
        <v>486</v>
      </c>
      <c r="I2401" s="1087"/>
      <c r="J2401" s="1088"/>
      <c r="K2401" s="539"/>
      <c r="L2401" s="546" t="s">
        <v>89</v>
      </c>
      <c r="M2401" s="560">
        <f>SUM(M2396:M2400)</f>
        <v>132</v>
      </c>
      <c r="O2401" s="468"/>
      <c r="Q2401" s="465">
        <f>+C2401*$C$2387</f>
        <v>3</v>
      </c>
    </row>
    <row r="2402" spans="1:17" x14ac:dyDescent="0.25">
      <c r="B2402" s="493"/>
      <c r="C2402" s="526"/>
      <c r="D2402" s="494"/>
      <c r="F2402" s="495"/>
      <c r="G2402" s="561" t="str">
        <f>IFERROR(VLOOKUP(D2402,'Precios Equipos'!$C$1:$F$5052,3,0),"")</f>
        <v/>
      </c>
      <c r="H2402" s="561" t="str">
        <f t="shared" si="222"/>
        <v/>
      </c>
      <c r="I2402" s="1087"/>
      <c r="J2402" s="1088"/>
      <c r="K2402" s="539"/>
      <c r="M2402" s="470"/>
      <c r="O2402" s="468"/>
    </row>
    <row r="2403" spans="1:17" x14ac:dyDescent="0.25">
      <c r="B2403" s="493"/>
      <c r="C2403" s="526"/>
      <c r="D2403" s="496" t="s">
        <v>87</v>
      </c>
      <c r="F2403" s="495"/>
      <c r="G2403" s="561"/>
      <c r="H2403" s="561">
        <f>M2401</f>
        <v>132</v>
      </c>
      <c r="I2403" s="561">
        <f>SUM(H2403)</f>
        <v>132</v>
      </c>
      <c r="J2403" s="924">
        <f>+I2403/H2407</f>
        <v>6.5024630541871922E-2</v>
      </c>
      <c r="K2403" s="539"/>
      <c r="M2403" s="470"/>
      <c r="O2403" s="468"/>
    </row>
    <row r="2404" spans="1:17" x14ac:dyDescent="0.25">
      <c r="B2404" s="493"/>
      <c r="C2404" s="526">
        <v>1</v>
      </c>
      <c r="D2404" s="494" t="s">
        <v>49</v>
      </c>
      <c r="F2404" s="495"/>
      <c r="G2404" s="561"/>
      <c r="H2404" s="561">
        <f>$O$153</f>
        <v>0</v>
      </c>
      <c r="I2404" s="1087">
        <f>SUM(H2404:H2405)</f>
        <v>0</v>
      </c>
      <c r="J2404" s="1088">
        <f>+I2404/H2407</f>
        <v>0</v>
      </c>
      <c r="K2404" s="539"/>
      <c r="M2404" s="470"/>
      <c r="O2404" s="468"/>
    </row>
    <row r="2405" spans="1:17" x14ac:dyDescent="0.25">
      <c r="B2405" s="493"/>
      <c r="C2405" s="526">
        <v>1</v>
      </c>
      <c r="D2405" s="494" t="s">
        <v>51</v>
      </c>
      <c r="F2405" s="495"/>
      <c r="G2405" s="561"/>
      <c r="H2405" s="561">
        <f>$O$154</f>
        <v>0</v>
      </c>
      <c r="I2405" s="1087"/>
      <c r="J2405" s="1088"/>
      <c r="K2405" s="539"/>
      <c r="M2405" s="470"/>
      <c r="O2405" s="468"/>
    </row>
    <row r="2406" spans="1:17" x14ac:dyDescent="0.25">
      <c r="B2406" s="493"/>
      <c r="C2406" s="526">
        <v>1</v>
      </c>
      <c r="D2406" s="467" t="s">
        <v>20</v>
      </c>
      <c r="F2406" s="495"/>
      <c r="G2406" s="561"/>
      <c r="H2406" s="561"/>
      <c r="I2406" s="477"/>
      <c r="J2406" s="973"/>
      <c r="K2406" s="539"/>
      <c r="M2406" s="470"/>
      <c r="O2406" s="468"/>
    </row>
    <row r="2407" spans="1:17" x14ac:dyDescent="0.25">
      <c r="B2407" s="493"/>
      <c r="C2407" s="526">
        <v>1</v>
      </c>
      <c r="D2407" s="467" t="s">
        <v>52</v>
      </c>
      <c r="F2407" s="495"/>
      <c r="G2407" s="553" t="s">
        <v>97</v>
      </c>
      <c r="H2407" s="561">
        <f>SUM(H2390:H2406)</f>
        <v>2030</v>
      </c>
      <c r="I2407" s="477"/>
      <c r="J2407" s="973"/>
      <c r="K2407" s="539"/>
      <c r="M2407" s="470"/>
      <c r="O2407" s="468"/>
    </row>
    <row r="2408" spans="1:17" x14ac:dyDescent="0.25">
      <c r="B2408" s="493"/>
      <c r="C2408" s="526">
        <v>1</v>
      </c>
      <c r="D2408" s="467" t="s">
        <v>21</v>
      </c>
      <c r="F2408" s="495"/>
      <c r="G2408" s="553" t="s">
        <v>105</v>
      </c>
      <c r="H2408" s="561">
        <f>H2407*$M$155</f>
        <v>406</v>
      </c>
      <c r="I2408" s="477"/>
      <c r="J2408" s="973"/>
      <c r="K2408" s="539"/>
      <c r="M2408" s="470"/>
      <c r="O2408" s="468"/>
    </row>
    <row r="2409" spans="1:17" x14ac:dyDescent="0.25">
      <c r="B2409" s="521"/>
      <c r="C2409" s="527" t="s">
        <v>17</v>
      </c>
      <c r="D2409" s="522" t="s">
        <v>48</v>
      </c>
      <c r="E2409" s="523"/>
      <c r="F2409" s="524"/>
      <c r="G2409" s="553" t="s">
        <v>452</v>
      </c>
      <c r="H2409" s="561">
        <f>H2407+H2408</f>
        <v>2436</v>
      </c>
      <c r="I2409" s="477"/>
      <c r="J2409" s="973"/>
      <c r="K2409" s="539"/>
      <c r="M2409" s="470"/>
      <c r="O2409" s="468"/>
    </row>
    <row r="2410" spans="1:17" x14ac:dyDescent="0.25">
      <c r="M2410" s="470"/>
    </row>
    <row r="2411" spans="1:17" x14ac:dyDescent="0.25">
      <c r="B2411" s="514" t="s">
        <v>6</v>
      </c>
      <c r="C2411" s="515" t="s">
        <v>0</v>
      </c>
      <c r="D2411" s="606" t="s">
        <v>8</v>
      </c>
      <c r="E2411" s="516" t="s">
        <v>4</v>
      </c>
      <c r="F2411" s="516" t="s">
        <v>3</v>
      </c>
      <c r="G2411" s="477"/>
      <c r="H2411" s="477"/>
      <c r="I2411" s="477"/>
      <c r="K2411" s="539"/>
      <c r="M2411" s="470"/>
      <c r="O2411" s="468"/>
    </row>
    <row r="2412" spans="1:17" x14ac:dyDescent="0.25">
      <c r="A2412" s="463">
        <v>152</v>
      </c>
      <c r="B2412" s="1077">
        <f>B128</f>
        <v>6.2699999999999942</v>
      </c>
      <c r="C2412" s="1077">
        <f>C128</f>
        <v>1</v>
      </c>
      <c r="D2412" s="1077" t="str">
        <f>D128</f>
        <v>TABLERO TFV-AC - TIPO 14 (C2.4)</v>
      </c>
      <c r="E2412" s="518">
        <f>H2434</f>
        <v>2436</v>
      </c>
      <c r="F2412" s="518">
        <f>+E2412*C2412</f>
        <v>2436</v>
      </c>
      <c r="G2412" s="553" t="s">
        <v>450</v>
      </c>
      <c r="H2412" s="553" t="s">
        <v>1</v>
      </c>
      <c r="I2412" s="477"/>
      <c r="K2412" s="539"/>
      <c r="M2412" s="470"/>
      <c r="O2412" s="468"/>
    </row>
    <row r="2413" spans="1:17" x14ac:dyDescent="0.25">
      <c r="B2413" s="1078"/>
      <c r="C2413" s="1078"/>
      <c r="D2413" s="1078"/>
      <c r="E2413" s="520" t="s">
        <v>50</v>
      </c>
      <c r="F2413" s="520" t="s">
        <v>50</v>
      </c>
      <c r="G2413" s="553" t="s">
        <v>50</v>
      </c>
      <c r="H2413" s="553" t="s">
        <v>50</v>
      </c>
      <c r="I2413" s="477"/>
      <c r="K2413" s="539"/>
      <c r="M2413" s="470"/>
      <c r="O2413" s="468"/>
    </row>
    <row r="2414" spans="1:17" x14ac:dyDescent="0.25">
      <c r="B2414" s="493"/>
      <c r="C2414" s="526"/>
      <c r="D2414" s="463"/>
      <c r="E2414" s="491"/>
      <c r="F2414" s="492"/>
      <c r="G2414" s="561" t="str">
        <f>IFERROR(VLOOKUP(D2414,'Precios Equipos'!$C$1:$F$5052,3,0),"")</f>
        <v/>
      </c>
      <c r="H2414" s="561" t="str">
        <f t="shared" ref="H2414:H2427" si="223">IFERROR(G2414*C2414,"")</f>
        <v/>
      </c>
      <c r="I2414" s="477"/>
      <c r="K2414" s="539"/>
      <c r="M2414" s="470"/>
      <c r="O2414" s="468"/>
    </row>
    <row r="2415" spans="1:17" x14ac:dyDescent="0.25">
      <c r="B2415" s="493"/>
      <c r="C2415" s="526">
        <v>1</v>
      </c>
      <c r="D2415" s="500" t="str">
        <f>+'Precios Equipos'!$C$182</f>
        <v>Gabinete Adosado 900x700x200mm. (alto x ancho x profundidad) dimensiones aproximadas</v>
      </c>
      <c r="F2415" s="495"/>
      <c r="G2415" s="561">
        <f>IFERROR(VLOOKUP(D2415,'Precios Equipos'!$C$1:$F$5052,3,0),"")</f>
        <v>38</v>
      </c>
      <c r="H2415" s="561">
        <f t="shared" si="223"/>
        <v>38</v>
      </c>
      <c r="I2415" s="561">
        <f>SUM(H2415)</f>
        <v>38</v>
      </c>
      <c r="J2415" s="924">
        <f>+I2415/H2432</f>
        <v>1.8719211822660099E-2</v>
      </c>
      <c r="K2415" s="539"/>
      <c r="M2415" s="470"/>
      <c r="O2415" s="468"/>
      <c r="Q2415" s="465">
        <f>+C2415*$C$2412</f>
        <v>1</v>
      </c>
    </row>
    <row r="2416" spans="1:17" x14ac:dyDescent="0.25">
      <c r="B2416" s="493"/>
      <c r="C2416" s="526"/>
      <c r="D2416" s="494"/>
      <c r="F2416" s="495"/>
      <c r="G2416" s="561" t="str">
        <f>IFERROR(VLOOKUP(D2416,'Precios Equipos'!$C$1:$F$5052,3,0),"")</f>
        <v/>
      </c>
      <c r="H2416" s="561" t="str">
        <f t="shared" si="223"/>
        <v/>
      </c>
      <c r="I2416" s="477"/>
      <c r="K2416" s="539"/>
      <c r="M2416" s="470"/>
      <c r="O2416" s="468"/>
    </row>
    <row r="2417" spans="2:17" ht="16.5" thickBot="1" x14ac:dyDescent="0.3">
      <c r="B2417" s="493"/>
      <c r="C2417" s="526"/>
      <c r="D2417" s="620" t="s">
        <v>741</v>
      </c>
      <c r="F2417" s="495"/>
      <c r="G2417" s="561" t="str">
        <f>IFERROR(VLOOKUP(D2417,'Precios Equipos'!$C$1:$F$5052,3,0),"")</f>
        <v/>
      </c>
      <c r="H2417" s="561" t="str">
        <f t="shared" si="223"/>
        <v/>
      </c>
      <c r="I2417" s="477"/>
      <c r="K2417" s="539"/>
      <c r="M2417" s="470"/>
      <c r="O2417" s="468"/>
    </row>
    <row r="2418" spans="2:17" ht="16.5" thickBot="1" x14ac:dyDescent="0.3">
      <c r="B2418" s="493"/>
      <c r="C2418" s="526">
        <v>2</v>
      </c>
      <c r="D2418" s="494" t="str">
        <f>+'Precios Equipos'!$C$21</f>
        <v>ITM 3x50A, Caja Moldeada (35-50)A, 25kA en 380VAC, XT1C, ABB</v>
      </c>
      <c r="F2418" s="497"/>
      <c r="G2418" s="561">
        <f>IFERROR(VLOOKUP(D2418,'Precios Equipos'!$C$1:$F$5052,3,0),"")</f>
        <v>41</v>
      </c>
      <c r="H2418" s="561">
        <f t="shared" si="223"/>
        <v>82</v>
      </c>
      <c r="I2418" s="1087">
        <f>SUM(H2418:H2426)</f>
        <v>1860</v>
      </c>
      <c r="J2418" s="1088">
        <f>+I2418/H2432</f>
        <v>0.91625615763546797</v>
      </c>
      <c r="K2418" s="539"/>
      <c r="L2418" s="540" t="s">
        <v>451</v>
      </c>
      <c r="M2418" s="541"/>
      <c r="O2418" s="468"/>
      <c r="Q2418" s="465">
        <f>+C2418*$C$2412</f>
        <v>2</v>
      </c>
    </row>
    <row r="2419" spans="2:17" ht="16.5" thickBot="1" x14ac:dyDescent="0.3">
      <c r="B2419" s="493"/>
      <c r="C2419" s="526">
        <v>1</v>
      </c>
      <c r="D2419" s="494" t="str">
        <f>+'Precios Equipos'!$C$24</f>
        <v>ITM 4x100A, Caja Moldeada (70-100)A, 25kA en 380VAC, XT1C, ABB</v>
      </c>
      <c r="F2419" s="497"/>
      <c r="G2419" s="561">
        <f>IFERROR(VLOOKUP(D2419,'Precios Equipos'!$C$1:$F$5052,3,0),"")</f>
        <v>12</v>
      </c>
      <c r="H2419" s="561">
        <f t="shared" si="223"/>
        <v>12</v>
      </c>
      <c r="I2419" s="1087"/>
      <c r="J2419" s="1088"/>
      <c r="K2419" s="539"/>
      <c r="L2419" s="542" t="s">
        <v>88</v>
      </c>
      <c r="M2419" s="543" t="s">
        <v>85</v>
      </c>
      <c r="O2419" s="468"/>
      <c r="Q2419" s="465">
        <f>+C2419*$C$2412</f>
        <v>1</v>
      </c>
    </row>
    <row r="2420" spans="2:17" x14ac:dyDescent="0.25">
      <c r="B2420" s="493"/>
      <c r="C2420" s="526"/>
      <c r="D2420" s="494"/>
      <c r="F2420" s="497"/>
      <c r="G2420" s="561" t="str">
        <f>IFERROR(VLOOKUP(D2420,'Precios Equipos'!$C$1:$F$5052,3,0),"")</f>
        <v/>
      </c>
      <c r="H2420" s="561" t="str">
        <f t="shared" si="223"/>
        <v/>
      </c>
      <c r="I2420" s="1087"/>
      <c r="J2420" s="1088"/>
      <c r="K2420" s="539"/>
      <c r="L2420" s="544" t="str">
        <f>+'Precios Equipos'!C129</f>
        <v>COBRE TABLERO TFV-AC 14 C2.1</v>
      </c>
      <c r="M2420" s="545">
        <f>IFERROR(VLOOKUP(L2420,'Precios Equipos'!$C$11:$F$208,3,0),0)</f>
        <v>13</v>
      </c>
      <c r="O2420" s="468"/>
    </row>
    <row r="2421" spans="2:17" x14ac:dyDescent="0.25">
      <c r="B2421" s="493"/>
      <c r="C2421" s="526"/>
      <c r="D2421" s="620" t="s">
        <v>71</v>
      </c>
      <c r="F2421" s="497"/>
      <c r="G2421" s="561" t="str">
        <f>IFERROR(VLOOKUP(D2421,'Precios Equipos'!$C$1:$F$5052,3,0),"")</f>
        <v/>
      </c>
      <c r="H2421" s="561" t="str">
        <f t="shared" si="223"/>
        <v/>
      </c>
      <c r="I2421" s="1087"/>
      <c r="J2421" s="1088"/>
      <c r="K2421" s="539"/>
      <c r="L2421" s="544" t="str">
        <f>+'Precios Equipos'!C132</f>
        <v>CABLEADO 1 DIFERENCIALES, 2P</v>
      </c>
      <c r="M2421" s="545">
        <f>IFERROR(VLOOKUP(L2421,'Precios Equipos'!$C$11:$F$208,3,0),0)</f>
        <v>37</v>
      </c>
      <c r="O2421" s="468"/>
      <c r="P2421" s="501"/>
    </row>
    <row r="2422" spans="2:17" x14ac:dyDescent="0.25">
      <c r="B2422" s="493"/>
      <c r="C2422" s="526">
        <v>9</v>
      </c>
      <c r="D2422" s="494" t="str">
        <f>+'Precios Equipos'!$C$18</f>
        <v>ITM 2x100A, Caja Moldeada 100A, 50kA en 220VAC, A1N/P, ABB</v>
      </c>
      <c r="F2422" s="495"/>
      <c r="G2422" s="561">
        <f>IFERROR(VLOOKUP(D2422,'Precios Equipos'!$C$1:$F$5052,3,0),"")</f>
        <v>138</v>
      </c>
      <c r="H2422" s="561">
        <f t="shared" si="223"/>
        <v>1242</v>
      </c>
      <c r="I2422" s="1087"/>
      <c r="J2422" s="1088"/>
      <c r="K2422" s="539"/>
      <c r="L2422" s="544" t="str">
        <f>+'Precios Equipos'!C141</f>
        <v>Mano de obra 12-16 polos (6-8 ITM)</v>
      </c>
      <c r="M2422" s="545">
        <f>IFERROR(VLOOKUP(L2422,'Precios Equipos'!$C$11:$F$208,3,0),0)</f>
        <v>16</v>
      </c>
      <c r="O2422" s="468"/>
      <c r="P2422" s="501"/>
      <c r="Q2422" s="465">
        <f>+C2422*$C$2412</f>
        <v>9</v>
      </c>
    </row>
    <row r="2423" spans="2:17" x14ac:dyDescent="0.25">
      <c r="B2423" s="493"/>
      <c r="C2423" s="526">
        <v>1</v>
      </c>
      <c r="D2423" s="494" t="str">
        <f>+'Precios Equipos'!$C$63</f>
        <v>Protector de sobretension SPD AC 3P+N, 230/400V, 1.5kV, 40kA</v>
      </c>
      <c r="F2423" s="495"/>
      <c r="G2423" s="561">
        <f>IFERROR(VLOOKUP(D2423,'Precios Equipos'!$C$1:$F$5052,3,0),"")</f>
        <v>38</v>
      </c>
      <c r="H2423" s="561">
        <f t="shared" si="223"/>
        <v>38</v>
      </c>
      <c r="I2423" s="1087"/>
      <c r="J2423" s="1088"/>
      <c r="K2423" s="539"/>
      <c r="L2423" s="544" t="str">
        <f>+'Precios Equipos'!C162</f>
        <v>Mano de obra 1-2 Diferenciales</v>
      </c>
      <c r="M2423" s="545">
        <f>IFERROR(VLOOKUP(L2423,'Precios Equipos'!$C$11:$F$208,3,0),0)</f>
        <v>33</v>
      </c>
      <c r="O2423" s="468"/>
      <c r="P2423" s="501"/>
      <c r="Q2423" s="465">
        <f>+C2423*$C$2412</f>
        <v>1</v>
      </c>
    </row>
    <row r="2424" spans="2:17" ht="16.5" thickBot="1" x14ac:dyDescent="0.3">
      <c r="B2424" s="493"/>
      <c r="C2424" s="526"/>
      <c r="D2424" s="494"/>
      <c r="F2424" s="495"/>
      <c r="G2424" s="561" t="str">
        <f>IFERROR(VLOOKUP(D2424,'Precios Equipos'!$C$1:$F$5052,3,0),"")</f>
        <v/>
      </c>
      <c r="H2424" s="561" t="str">
        <f t="shared" si="223"/>
        <v/>
      </c>
      <c r="I2424" s="1087"/>
      <c r="J2424" s="1088"/>
      <c r="K2424" s="539"/>
      <c r="L2424" s="544" t="str">
        <f>+'Precios Equipos'!C204</f>
        <v>Diseño Ingenieria Tableros Adosados</v>
      </c>
      <c r="M2424" s="545">
        <f>IFERROR(VLOOKUP(L2424,'Precios Equipos'!$C$11:$F$208,3,0),0)</f>
        <v>33</v>
      </c>
      <c r="O2424" s="468"/>
    </row>
    <row r="2425" spans="2:17" ht="16.5" thickBot="1" x14ac:dyDescent="0.3">
      <c r="B2425" s="493"/>
      <c r="C2425" s="526"/>
      <c r="D2425" s="620" t="s">
        <v>737</v>
      </c>
      <c r="F2425" s="495"/>
      <c r="G2425" s="561" t="str">
        <f>IFERROR(VLOOKUP(D2425,'Precios Equipos'!$C$1:$F$5052,3,0),"")</f>
        <v/>
      </c>
      <c r="H2425" s="561" t="str">
        <f t="shared" si="223"/>
        <v/>
      </c>
      <c r="I2425" s="1087"/>
      <c r="J2425" s="1088"/>
      <c r="K2425" s="539"/>
      <c r="L2425" s="546" t="s">
        <v>89</v>
      </c>
      <c r="M2425" s="560">
        <f>SUM(M2420:M2424)</f>
        <v>132</v>
      </c>
      <c r="O2425" s="468"/>
    </row>
    <row r="2426" spans="2:17" x14ac:dyDescent="0.25">
      <c r="B2426" s="493"/>
      <c r="C2426" s="526">
        <v>3</v>
      </c>
      <c r="D2426" s="494" t="str">
        <f>+'Precios Equipos'!$C$48</f>
        <v>Interruptor Riel Din 2x04A. S200 20kA en 230V en 250VAC, ABB</v>
      </c>
      <c r="F2426" s="495"/>
      <c r="G2426" s="561">
        <f>IFERROR(VLOOKUP(D2426,'Precios Equipos'!$C$1:$F$5052,3,0),"")</f>
        <v>162</v>
      </c>
      <c r="H2426" s="561">
        <f t="shared" si="223"/>
        <v>486</v>
      </c>
      <c r="I2426" s="1087"/>
      <c r="J2426" s="1088"/>
      <c r="K2426" s="539"/>
      <c r="L2426" s="489"/>
      <c r="M2426" s="499"/>
      <c r="O2426" s="468"/>
      <c r="Q2426" s="465">
        <f>+C2426*$C$2412</f>
        <v>3</v>
      </c>
    </row>
    <row r="2427" spans="2:17" x14ac:dyDescent="0.25">
      <c r="B2427" s="493"/>
      <c r="C2427" s="526"/>
      <c r="D2427" s="494"/>
      <c r="F2427" s="495"/>
      <c r="G2427" s="561" t="str">
        <f>IFERROR(VLOOKUP(D2427,'Precios Equipos'!$C$1:$F$5052,3,0),"")</f>
        <v/>
      </c>
      <c r="H2427" s="561" t="str">
        <f t="shared" si="223"/>
        <v/>
      </c>
      <c r="I2427" s="477"/>
      <c r="K2427" s="539"/>
      <c r="M2427" s="470"/>
      <c r="O2427" s="468"/>
    </row>
    <row r="2428" spans="2:17" x14ac:dyDescent="0.25">
      <c r="B2428" s="493"/>
      <c r="C2428" s="526"/>
      <c r="D2428" s="496" t="s">
        <v>87</v>
      </c>
      <c r="F2428" s="495"/>
      <c r="G2428" s="561"/>
      <c r="H2428" s="561">
        <f>M2425</f>
        <v>132</v>
      </c>
      <c r="I2428" s="561">
        <f>SUM(H2428)</f>
        <v>132</v>
      </c>
      <c r="J2428" s="924">
        <f>+I2428/H2432</f>
        <v>6.5024630541871922E-2</v>
      </c>
      <c r="K2428" s="539"/>
      <c r="M2428" s="470"/>
      <c r="O2428" s="468"/>
    </row>
    <row r="2429" spans="2:17" x14ac:dyDescent="0.25">
      <c r="B2429" s="493"/>
      <c r="C2429" s="526">
        <v>1</v>
      </c>
      <c r="D2429" s="494" t="s">
        <v>49</v>
      </c>
      <c r="F2429" s="495"/>
      <c r="G2429" s="561" t="str">
        <f>IFERROR(VLOOKUP(D2429,'Precios Equipos'!$C$1:$F$5052,3,0),"")</f>
        <v/>
      </c>
      <c r="H2429" s="561" t="str">
        <f t="shared" ref="H2429:H2431" si="224">IFERROR(G2429*C2429,"")</f>
        <v/>
      </c>
      <c r="I2429" s="1087">
        <f>SUM(H2429:H2430)</f>
        <v>0</v>
      </c>
      <c r="J2429" s="1088">
        <f>+I2429/H2432</f>
        <v>0</v>
      </c>
      <c r="K2429" s="539"/>
      <c r="M2429" s="470"/>
      <c r="O2429" s="468"/>
    </row>
    <row r="2430" spans="2:17" x14ac:dyDescent="0.25">
      <c r="B2430" s="493"/>
      <c r="C2430" s="526">
        <v>1</v>
      </c>
      <c r="D2430" s="494" t="s">
        <v>51</v>
      </c>
      <c r="F2430" s="495"/>
      <c r="G2430" s="561" t="str">
        <f>IFERROR(VLOOKUP(D2430,'Precios Equipos'!$C$1:$F$5052,3,0),"")</f>
        <v/>
      </c>
      <c r="H2430" s="561" t="str">
        <f t="shared" si="224"/>
        <v/>
      </c>
      <c r="I2430" s="1087"/>
      <c r="J2430" s="1088"/>
      <c r="K2430" s="539"/>
      <c r="M2430" s="470"/>
      <c r="O2430" s="468"/>
    </row>
    <row r="2431" spans="2:17" x14ac:dyDescent="0.25">
      <c r="B2431" s="493"/>
      <c r="C2431" s="526">
        <v>1</v>
      </c>
      <c r="D2431" s="467" t="s">
        <v>20</v>
      </c>
      <c r="F2431" s="495"/>
      <c r="G2431" s="561" t="str">
        <f>IFERROR(VLOOKUP(D2431,'Precios Equipos'!$C$1:$F$5052,3,0),"")</f>
        <v/>
      </c>
      <c r="H2431" s="561" t="str">
        <f t="shared" si="224"/>
        <v/>
      </c>
      <c r="I2431" s="477"/>
      <c r="J2431" s="973"/>
      <c r="K2431" s="539"/>
      <c r="M2431" s="470"/>
      <c r="O2431" s="468"/>
    </row>
    <row r="2432" spans="2:17" x14ac:dyDescent="0.25">
      <c r="B2432" s="493"/>
      <c r="C2432" s="526">
        <v>1</v>
      </c>
      <c r="D2432" s="467" t="s">
        <v>52</v>
      </c>
      <c r="F2432" s="495"/>
      <c r="G2432" s="553" t="s">
        <v>97</v>
      </c>
      <c r="H2432" s="561">
        <f>SUM(H2415:H2431)</f>
        <v>2030</v>
      </c>
      <c r="I2432" s="477"/>
      <c r="J2432" s="973"/>
      <c r="K2432" s="539"/>
      <c r="M2432" s="470"/>
      <c r="O2432" s="468"/>
    </row>
    <row r="2433" spans="1:17" x14ac:dyDescent="0.25">
      <c r="B2433" s="493"/>
      <c r="C2433" s="526">
        <v>1</v>
      </c>
      <c r="D2433" s="467" t="s">
        <v>21</v>
      </c>
      <c r="F2433" s="495"/>
      <c r="G2433" s="553" t="s">
        <v>105</v>
      </c>
      <c r="H2433" s="561">
        <f>H2432*$M$155</f>
        <v>406</v>
      </c>
      <c r="I2433" s="477"/>
      <c r="J2433" s="973"/>
      <c r="K2433" s="539"/>
      <c r="M2433" s="470"/>
      <c r="O2433" s="468"/>
    </row>
    <row r="2434" spans="1:17" x14ac:dyDescent="0.25">
      <c r="B2434" s="521"/>
      <c r="C2434" s="527" t="s">
        <v>17</v>
      </c>
      <c r="D2434" s="522" t="s">
        <v>48</v>
      </c>
      <c r="E2434" s="523"/>
      <c r="F2434" s="524"/>
      <c r="G2434" s="553" t="s">
        <v>452</v>
      </c>
      <c r="H2434" s="561">
        <f>H2432+H2433</f>
        <v>2436</v>
      </c>
      <c r="I2434" s="477"/>
      <c r="J2434" s="973"/>
      <c r="K2434" s="539"/>
      <c r="M2434" s="470"/>
      <c r="O2434" s="468"/>
    </row>
    <row r="2435" spans="1:17" x14ac:dyDescent="0.25">
      <c r="M2435" s="470"/>
    </row>
    <row r="2436" spans="1:17" x14ac:dyDescent="0.25">
      <c r="B2436" s="514" t="s">
        <v>6</v>
      </c>
      <c r="C2436" s="515" t="s">
        <v>0</v>
      </c>
      <c r="D2436" s="606" t="s">
        <v>8</v>
      </c>
      <c r="E2436" s="516" t="s">
        <v>4</v>
      </c>
      <c r="F2436" s="516" t="s">
        <v>3</v>
      </c>
      <c r="G2436" s="477"/>
      <c r="H2436" s="477"/>
      <c r="I2436" s="477"/>
      <c r="K2436" s="539"/>
      <c r="M2436" s="470"/>
      <c r="O2436" s="468"/>
    </row>
    <row r="2437" spans="1:17" x14ac:dyDescent="0.25">
      <c r="A2437" s="463">
        <v>152</v>
      </c>
      <c r="B2437" s="1077">
        <f>B129</f>
        <v>6.279999999999994</v>
      </c>
      <c r="C2437" s="1077">
        <f>C129</f>
        <v>1</v>
      </c>
      <c r="D2437" s="1077" t="str">
        <f>D129</f>
        <v>TABLERO TFV-AC - TIPO 14 (C3.1)</v>
      </c>
      <c r="E2437" s="518">
        <f>H2459</f>
        <v>2436</v>
      </c>
      <c r="F2437" s="518">
        <f>+E2437*C2437</f>
        <v>2436</v>
      </c>
      <c r="G2437" s="553" t="s">
        <v>450</v>
      </c>
      <c r="H2437" s="553" t="s">
        <v>1</v>
      </c>
      <c r="I2437" s="477"/>
      <c r="K2437" s="539"/>
      <c r="M2437" s="470"/>
      <c r="O2437" s="468"/>
    </row>
    <row r="2438" spans="1:17" x14ac:dyDescent="0.25">
      <c r="B2438" s="1078"/>
      <c r="C2438" s="1078"/>
      <c r="D2438" s="1078"/>
      <c r="E2438" s="520" t="s">
        <v>50</v>
      </c>
      <c r="F2438" s="520" t="s">
        <v>50</v>
      </c>
      <c r="G2438" s="553" t="s">
        <v>50</v>
      </c>
      <c r="H2438" s="553" t="s">
        <v>50</v>
      </c>
      <c r="I2438" s="477"/>
      <c r="K2438" s="539"/>
      <c r="M2438" s="470"/>
      <c r="O2438" s="468"/>
    </row>
    <row r="2439" spans="1:17" x14ac:dyDescent="0.25">
      <c r="B2439" s="493"/>
      <c r="C2439" s="526"/>
      <c r="D2439" s="463"/>
      <c r="E2439" s="491"/>
      <c r="F2439" s="492"/>
      <c r="G2439" s="561" t="str">
        <f>IFERROR(VLOOKUP(D2439,'Precios Equipos'!$C$1:$F$5052,3,0),"")</f>
        <v/>
      </c>
      <c r="H2439" s="561" t="str">
        <f t="shared" ref="H2439:H2452" si="225">IFERROR(G2439*C2439,"")</f>
        <v/>
      </c>
      <c r="I2439" s="477"/>
      <c r="K2439" s="539"/>
      <c r="M2439" s="470"/>
      <c r="O2439" s="468"/>
    </row>
    <row r="2440" spans="1:17" x14ac:dyDescent="0.25">
      <c r="B2440" s="493"/>
      <c r="C2440" s="526">
        <v>1</v>
      </c>
      <c r="D2440" s="500" t="str">
        <f>+'Precios Equipos'!$C$182</f>
        <v>Gabinete Adosado 900x700x200mm. (alto x ancho x profundidad) dimensiones aproximadas</v>
      </c>
      <c r="F2440" s="495"/>
      <c r="G2440" s="561">
        <f>IFERROR(VLOOKUP(D2440,'Precios Equipos'!$C$1:$F$5052,3,0),"")</f>
        <v>38</v>
      </c>
      <c r="H2440" s="561">
        <f t="shared" si="225"/>
        <v>38</v>
      </c>
      <c r="I2440" s="561">
        <f>SUM(H2440)</f>
        <v>38</v>
      </c>
      <c r="J2440" s="924">
        <f>+I2440/H2457</f>
        <v>1.8719211822660099E-2</v>
      </c>
      <c r="K2440" s="539"/>
      <c r="M2440" s="470"/>
      <c r="O2440" s="468"/>
      <c r="Q2440" s="465">
        <f>+C2440*$C$2437</f>
        <v>1</v>
      </c>
    </row>
    <row r="2441" spans="1:17" x14ac:dyDescent="0.25">
      <c r="B2441" s="493"/>
      <c r="C2441" s="526"/>
      <c r="D2441" s="494"/>
      <c r="F2441" s="495"/>
      <c r="G2441" s="561" t="str">
        <f>IFERROR(VLOOKUP(D2441,'Precios Equipos'!$C$1:$F$5052,3,0),"")</f>
        <v/>
      </c>
      <c r="H2441" s="561" t="str">
        <f t="shared" si="225"/>
        <v/>
      </c>
      <c r="I2441" s="477"/>
      <c r="K2441" s="539"/>
      <c r="M2441" s="470"/>
      <c r="O2441" s="468"/>
    </row>
    <row r="2442" spans="1:17" x14ac:dyDescent="0.25">
      <c r="B2442" s="493"/>
      <c r="C2442" s="526"/>
      <c r="D2442" s="620" t="s">
        <v>741</v>
      </c>
      <c r="F2442" s="495"/>
      <c r="G2442" s="561" t="str">
        <f>IFERROR(VLOOKUP(D2442,'Precios Equipos'!$C$1:$F$5052,3,0),"")</f>
        <v/>
      </c>
      <c r="H2442" s="561" t="str">
        <f t="shared" si="225"/>
        <v/>
      </c>
      <c r="I2442" s="477"/>
      <c r="K2442" s="539"/>
      <c r="M2442" s="470"/>
      <c r="O2442" s="468"/>
    </row>
    <row r="2443" spans="1:17" ht="16.5" thickBot="1" x14ac:dyDescent="0.3">
      <c r="B2443" s="493"/>
      <c r="C2443" s="526">
        <v>2</v>
      </c>
      <c r="D2443" s="494" t="str">
        <f>+'Precios Equipos'!$C$21</f>
        <v>ITM 3x50A, Caja Moldeada (35-50)A, 25kA en 380VAC, XT1C, ABB</v>
      </c>
      <c r="F2443" s="497"/>
      <c r="G2443" s="561">
        <f>IFERROR(VLOOKUP(D2443,'Precios Equipos'!$C$1:$F$5052,3,0),"")</f>
        <v>41</v>
      </c>
      <c r="H2443" s="561">
        <f t="shared" si="225"/>
        <v>82</v>
      </c>
      <c r="I2443" s="1087">
        <f>SUM(H2443:H2451)</f>
        <v>1860</v>
      </c>
      <c r="J2443" s="1088">
        <f>+I2443/H2457</f>
        <v>0.91625615763546797</v>
      </c>
      <c r="K2443" s="539"/>
      <c r="M2443" s="470"/>
      <c r="O2443" s="468"/>
      <c r="Q2443" s="465">
        <f>+C2443*$C$2437</f>
        <v>2</v>
      </c>
    </row>
    <row r="2444" spans="1:17" ht="16.5" thickBot="1" x14ac:dyDescent="0.3">
      <c r="B2444" s="493"/>
      <c r="C2444" s="526">
        <v>1</v>
      </c>
      <c r="D2444" s="494" t="str">
        <f>+'Precios Equipos'!$C$24</f>
        <v>ITM 4x100A, Caja Moldeada (70-100)A, 25kA en 380VAC, XT1C, ABB</v>
      </c>
      <c r="F2444" s="497"/>
      <c r="G2444" s="561">
        <f>IFERROR(VLOOKUP(D2444,'Precios Equipos'!$C$1:$F$5052,3,0),"")</f>
        <v>12</v>
      </c>
      <c r="H2444" s="561">
        <f t="shared" si="225"/>
        <v>12</v>
      </c>
      <c r="I2444" s="1087"/>
      <c r="J2444" s="1088"/>
      <c r="K2444" s="539"/>
      <c r="L2444" s="540" t="s">
        <v>451</v>
      </c>
      <c r="M2444" s="541"/>
      <c r="O2444" s="468"/>
      <c r="Q2444" s="465">
        <f>+C2444*$C$2437</f>
        <v>1</v>
      </c>
    </row>
    <row r="2445" spans="1:17" ht="16.5" thickBot="1" x14ac:dyDescent="0.3">
      <c r="B2445" s="493"/>
      <c r="C2445" s="526"/>
      <c r="D2445" s="494"/>
      <c r="F2445" s="497"/>
      <c r="G2445" s="561" t="str">
        <f>IFERROR(VLOOKUP(D2445,'Precios Equipos'!$C$1:$F$5052,3,0),"")</f>
        <v/>
      </c>
      <c r="H2445" s="561" t="str">
        <f t="shared" si="225"/>
        <v/>
      </c>
      <c r="I2445" s="1087"/>
      <c r="J2445" s="1088"/>
      <c r="K2445" s="539"/>
      <c r="L2445" s="542" t="s">
        <v>88</v>
      </c>
      <c r="M2445" s="543" t="s">
        <v>85</v>
      </c>
      <c r="O2445" s="468"/>
    </row>
    <row r="2446" spans="1:17" x14ac:dyDescent="0.25">
      <c r="B2446" s="493"/>
      <c r="C2446" s="526"/>
      <c r="D2446" s="620" t="s">
        <v>71</v>
      </c>
      <c r="F2446" s="497"/>
      <c r="G2446" s="561" t="str">
        <f>IFERROR(VLOOKUP(D2446,'Precios Equipos'!$C$1:$F$5052,3,0),"")</f>
        <v/>
      </c>
      <c r="H2446" s="561" t="str">
        <f t="shared" si="225"/>
        <v/>
      </c>
      <c r="I2446" s="1087"/>
      <c r="J2446" s="1088"/>
      <c r="K2446" s="539"/>
      <c r="L2446" s="544" t="str">
        <f>+'Precios Equipos'!C129</f>
        <v>COBRE TABLERO TFV-AC 14 C2.1</v>
      </c>
      <c r="M2446" s="545">
        <f>IFERROR(VLOOKUP(L2446,'Precios Equipos'!$C$11:$F$208,3,0),0)</f>
        <v>13</v>
      </c>
      <c r="O2446" s="468"/>
      <c r="P2446" s="501"/>
    </row>
    <row r="2447" spans="1:17" x14ac:dyDescent="0.25">
      <c r="B2447" s="493"/>
      <c r="C2447" s="526">
        <v>9</v>
      </c>
      <c r="D2447" s="494" t="str">
        <f>+'Precios Equipos'!$C$18</f>
        <v>ITM 2x100A, Caja Moldeada 100A, 50kA en 220VAC, A1N/P, ABB</v>
      </c>
      <c r="F2447" s="495"/>
      <c r="G2447" s="561">
        <f>IFERROR(VLOOKUP(D2447,'Precios Equipos'!$C$1:$F$5052,3,0),"")</f>
        <v>138</v>
      </c>
      <c r="H2447" s="561">
        <f t="shared" si="225"/>
        <v>1242</v>
      </c>
      <c r="I2447" s="1087"/>
      <c r="J2447" s="1088"/>
      <c r="K2447" s="539"/>
      <c r="L2447" s="544" t="str">
        <f>+'Precios Equipos'!C132</f>
        <v>CABLEADO 1 DIFERENCIALES, 2P</v>
      </c>
      <c r="M2447" s="545">
        <f>IFERROR(VLOOKUP(L2447,'Precios Equipos'!$C$11:$F$208,3,0),0)</f>
        <v>37</v>
      </c>
      <c r="O2447" s="468"/>
      <c r="P2447" s="501"/>
      <c r="Q2447" s="465">
        <f>+C2447*$C$2437</f>
        <v>9</v>
      </c>
    </row>
    <row r="2448" spans="1:17" x14ac:dyDescent="0.25">
      <c r="B2448" s="493"/>
      <c r="C2448" s="526">
        <v>1</v>
      </c>
      <c r="D2448" s="494" t="str">
        <f>+'Precios Equipos'!$C$63</f>
        <v>Protector de sobretension SPD AC 3P+N, 230/400V, 1.5kV, 40kA</v>
      </c>
      <c r="F2448" s="495"/>
      <c r="G2448" s="561">
        <f>IFERROR(VLOOKUP(D2448,'Precios Equipos'!$C$1:$F$5052,3,0),"")</f>
        <v>38</v>
      </c>
      <c r="H2448" s="561">
        <f t="shared" si="225"/>
        <v>38</v>
      </c>
      <c r="I2448" s="1087"/>
      <c r="J2448" s="1088"/>
      <c r="K2448" s="539"/>
      <c r="L2448" s="544" t="str">
        <f>+'Precios Equipos'!C141</f>
        <v>Mano de obra 12-16 polos (6-8 ITM)</v>
      </c>
      <c r="M2448" s="545">
        <f>IFERROR(VLOOKUP(L2448,'Precios Equipos'!$C$11:$F$208,3,0),0)</f>
        <v>16</v>
      </c>
      <c r="O2448" s="468"/>
      <c r="P2448" s="501"/>
      <c r="Q2448" s="465">
        <f>+C2448*$C$2437</f>
        <v>1</v>
      </c>
    </row>
    <row r="2449" spans="1:17" x14ac:dyDescent="0.25">
      <c r="B2449" s="493"/>
      <c r="C2449" s="526"/>
      <c r="D2449" s="494"/>
      <c r="F2449" s="495"/>
      <c r="G2449" s="561" t="str">
        <f>IFERROR(VLOOKUP(D2449,'Precios Equipos'!$C$1:$F$5052,3,0),"")</f>
        <v/>
      </c>
      <c r="H2449" s="561" t="str">
        <f t="shared" si="225"/>
        <v/>
      </c>
      <c r="I2449" s="1087"/>
      <c r="J2449" s="1088"/>
      <c r="K2449" s="539"/>
      <c r="L2449" s="544" t="str">
        <f>+'Precios Equipos'!C162</f>
        <v>Mano de obra 1-2 Diferenciales</v>
      </c>
      <c r="M2449" s="545">
        <f>IFERROR(VLOOKUP(L2449,'Precios Equipos'!$C$11:$F$208,3,0),0)</f>
        <v>33</v>
      </c>
      <c r="O2449" s="468"/>
    </row>
    <row r="2450" spans="1:17" ht="16.5" thickBot="1" x14ac:dyDescent="0.3">
      <c r="B2450" s="493"/>
      <c r="C2450" s="526"/>
      <c r="D2450" s="620" t="s">
        <v>737</v>
      </c>
      <c r="F2450" s="495"/>
      <c r="G2450" s="561" t="str">
        <f>IFERROR(VLOOKUP(D2450,'Precios Equipos'!$C$1:$F$5052,3,0),"")</f>
        <v/>
      </c>
      <c r="H2450" s="561" t="str">
        <f t="shared" si="225"/>
        <v/>
      </c>
      <c r="I2450" s="1087"/>
      <c r="J2450" s="1088"/>
      <c r="K2450" s="539"/>
      <c r="L2450" s="544" t="str">
        <f>+'Precios Equipos'!C204</f>
        <v>Diseño Ingenieria Tableros Adosados</v>
      </c>
      <c r="M2450" s="545">
        <f>IFERROR(VLOOKUP(L2450,'Precios Equipos'!$C$11:$F$208,3,0),0)</f>
        <v>33</v>
      </c>
      <c r="O2450" s="468"/>
    </row>
    <row r="2451" spans="1:17" ht="16.5" thickBot="1" x14ac:dyDescent="0.3">
      <c r="B2451" s="493"/>
      <c r="C2451" s="526">
        <v>3</v>
      </c>
      <c r="D2451" s="494" t="str">
        <f>+'Precios Equipos'!$C$48</f>
        <v>Interruptor Riel Din 2x04A. S200 20kA en 230V en 250VAC, ABB</v>
      </c>
      <c r="F2451" s="495"/>
      <c r="G2451" s="561">
        <f>IFERROR(VLOOKUP(D2451,'Precios Equipos'!$C$1:$F$5052,3,0),"")</f>
        <v>162</v>
      </c>
      <c r="H2451" s="561">
        <f t="shared" si="225"/>
        <v>486</v>
      </c>
      <c r="I2451" s="1087"/>
      <c r="J2451" s="1088"/>
      <c r="K2451" s="539"/>
      <c r="L2451" s="546" t="s">
        <v>89</v>
      </c>
      <c r="M2451" s="560">
        <f>SUM(M2446:M2450)</f>
        <v>132</v>
      </c>
      <c r="O2451" s="468"/>
      <c r="Q2451" s="465">
        <f>+C2451*$C$2437</f>
        <v>3</v>
      </c>
    </row>
    <row r="2452" spans="1:17" x14ac:dyDescent="0.25">
      <c r="B2452" s="493"/>
      <c r="C2452" s="526"/>
      <c r="D2452" s="494"/>
      <c r="F2452" s="495"/>
      <c r="G2452" s="561" t="str">
        <f>IFERROR(VLOOKUP(D2452,'Precios Equipos'!$C$1:$F$5052,3,0),"")</f>
        <v/>
      </c>
      <c r="H2452" s="561" t="str">
        <f t="shared" si="225"/>
        <v/>
      </c>
      <c r="I2452" s="477"/>
      <c r="K2452" s="539"/>
      <c r="M2452" s="470"/>
      <c r="O2452" s="468"/>
    </row>
    <row r="2453" spans="1:17" x14ac:dyDescent="0.25">
      <c r="B2453" s="493"/>
      <c r="C2453" s="526"/>
      <c r="D2453" s="496" t="s">
        <v>87</v>
      </c>
      <c r="F2453" s="495"/>
      <c r="G2453" s="561"/>
      <c r="H2453" s="561">
        <f>M2451</f>
        <v>132</v>
      </c>
      <c r="I2453" s="561">
        <f>SUM(H2453)</f>
        <v>132</v>
      </c>
      <c r="J2453" s="924">
        <f>+I2453/H2457</f>
        <v>6.5024630541871922E-2</v>
      </c>
      <c r="K2453" s="539"/>
      <c r="M2453" s="470"/>
      <c r="O2453" s="468"/>
    </row>
    <row r="2454" spans="1:17" x14ac:dyDescent="0.25">
      <c r="B2454" s="493"/>
      <c r="C2454" s="526">
        <v>1</v>
      </c>
      <c r="D2454" s="494" t="s">
        <v>49</v>
      </c>
      <c r="F2454" s="495"/>
      <c r="G2454" s="561" t="str">
        <f>IFERROR(VLOOKUP(D2454,'Precios Equipos'!$C$1:$F$5052,3,0),"")</f>
        <v/>
      </c>
      <c r="H2454" s="561" t="str">
        <f t="shared" ref="H2454:H2456" si="226">IFERROR(G2454*C2454,"")</f>
        <v/>
      </c>
      <c r="I2454" s="1087">
        <f>SUM(H2454:H2455)</f>
        <v>0</v>
      </c>
      <c r="J2454" s="1088">
        <f>+I2454/H2457</f>
        <v>0</v>
      </c>
      <c r="K2454" s="539"/>
      <c r="M2454" s="470"/>
      <c r="O2454" s="468"/>
    </row>
    <row r="2455" spans="1:17" x14ac:dyDescent="0.25">
      <c r="B2455" s="493"/>
      <c r="C2455" s="526">
        <v>1</v>
      </c>
      <c r="D2455" s="494" t="s">
        <v>51</v>
      </c>
      <c r="F2455" s="495"/>
      <c r="G2455" s="561" t="str">
        <f>IFERROR(VLOOKUP(D2455,'Precios Equipos'!$C$1:$F$5052,3,0),"")</f>
        <v/>
      </c>
      <c r="H2455" s="561" t="str">
        <f t="shared" si="226"/>
        <v/>
      </c>
      <c r="I2455" s="1087"/>
      <c r="J2455" s="1088"/>
      <c r="K2455" s="539"/>
      <c r="M2455" s="470"/>
      <c r="O2455" s="468"/>
    </row>
    <row r="2456" spans="1:17" x14ac:dyDescent="0.25">
      <c r="B2456" s="493"/>
      <c r="C2456" s="526">
        <v>1</v>
      </c>
      <c r="D2456" s="467" t="s">
        <v>20</v>
      </c>
      <c r="F2456" s="495"/>
      <c r="G2456" s="561" t="str">
        <f>IFERROR(VLOOKUP(D2456,'Precios Equipos'!$C$1:$F$5052,3,0),"")</f>
        <v/>
      </c>
      <c r="H2456" s="561" t="str">
        <f t="shared" si="226"/>
        <v/>
      </c>
      <c r="I2456" s="477"/>
      <c r="J2456" s="973"/>
      <c r="K2456" s="539"/>
      <c r="M2456" s="470"/>
      <c r="O2456" s="468"/>
    </row>
    <row r="2457" spans="1:17" x14ac:dyDescent="0.25">
      <c r="B2457" s="493"/>
      <c r="C2457" s="526">
        <v>1</v>
      </c>
      <c r="D2457" s="467" t="s">
        <v>52</v>
      </c>
      <c r="F2457" s="495"/>
      <c r="G2457" s="553" t="s">
        <v>97</v>
      </c>
      <c r="H2457" s="561">
        <f>SUM(H2440:H2456)</f>
        <v>2030</v>
      </c>
      <c r="I2457" s="477"/>
      <c r="J2457" s="973"/>
      <c r="K2457" s="539"/>
      <c r="M2457" s="470"/>
      <c r="O2457" s="468"/>
    </row>
    <row r="2458" spans="1:17" x14ac:dyDescent="0.25">
      <c r="B2458" s="493"/>
      <c r="C2458" s="526">
        <v>1</v>
      </c>
      <c r="D2458" s="467" t="s">
        <v>21</v>
      </c>
      <c r="F2458" s="495"/>
      <c r="G2458" s="553" t="s">
        <v>105</v>
      </c>
      <c r="H2458" s="561">
        <f>H2457*$M$155</f>
        <v>406</v>
      </c>
      <c r="I2458" s="477"/>
      <c r="J2458" s="973"/>
      <c r="K2458" s="539"/>
      <c r="M2458" s="470"/>
      <c r="O2458" s="468"/>
    </row>
    <row r="2459" spans="1:17" x14ac:dyDescent="0.25">
      <c r="B2459" s="521"/>
      <c r="C2459" s="527" t="s">
        <v>17</v>
      </c>
      <c r="D2459" s="522" t="s">
        <v>48</v>
      </c>
      <c r="E2459" s="523"/>
      <c r="F2459" s="524"/>
      <c r="G2459" s="553" t="s">
        <v>452</v>
      </c>
      <c r="H2459" s="561">
        <f>H2457+H2458</f>
        <v>2436</v>
      </c>
      <c r="I2459" s="477"/>
      <c r="J2459" s="973"/>
      <c r="K2459" s="539"/>
      <c r="M2459" s="470"/>
      <c r="O2459" s="468"/>
    </row>
    <row r="2460" spans="1:17" x14ac:dyDescent="0.25">
      <c r="M2460" s="470"/>
    </row>
    <row r="2461" spans="1:17" x14ac:dyDescent="0.25">
      <c r="B2461" s="514" t="s">
        <v>6</v>
      </c>
      <c r="C2461" s="515" t="s">
        <v>0</v>
      </c>
      <c r="D2461" s="606" t="s">
        <v>8</v>
      </c>
      <c r="E2461" s="516" t="s">
        <v>4</v>
      </c>
      <c r="F2461" s="516" t="s">
        <v>3</v>
      </c>
      <c r="G2461" s="477"/>
      <c r="H2461" s="477"/>
      <c r="I2461" s="477"/>
      <c r="K2461" s="539"/>
      <c r="M2461" s="470"/>
      <c r="O2461" s="468"/>
    </row>
    <row r="2462" spans="1:17" x14ac:dyDescent="0.25">
      <c r="A2462" s="463">
        <v>152</v>
      </c>
      <c r="B2462" s="1077">
        <f>B130</f>
        <v>6.2899999999999938</v>
      </c>
      <c r="C2462" s="1077">
        <f>C130</f>
        <v>1</v>
      </c>
      <c r="D2462" s="1077" t="str">
        <f>D130</f>
        <v>TABLERO TFV-AC - TIPO 14 (C3.2)</v>
      </c>
      <c r="E2462" s="518">
        <f>H2485</f>
        <v>2751.6</v>
      </c>
      <c r="F2462" s="518">
        <f>+E2462*C2462</f>
        <v>2751.6</v>
      </c>
      <c r="G2462" s="553" t="s">
        <v>450</v>
      </c>
      <c r="H2462" s="553" t="s">
        <v>1</v>
      </c>
      <c r="I2462" s="477"/>
      <c r="K2462" s="539"/>
      <c r="M2462" s="470"/>
      <c r="O2462" s="468"/>
    </row>
    <row r="2463" spans="1:17" x14ac:dyDescent="0.25">
      <c r="B2463" s="1078"/>
      <c r="C2463" s="1078"/>
      <c r="D2463" s="1078"/>
      <c r="E2463" s="520" t="s">
        <v>50</v>
      </c>
      <c r="F2463" s="520" t="s">
        <v>50</v>
      </c>
      <c r="G2463" s="553" t="s">
        <v>50</v>
      </c>
      <c r="H2463" s="553" t="s">
        <v>50</v>
      </c>
      <c r="I2463" s="477"/>
      <c r="K2463" s="539"/>
      <c r="M2463" s="470"/>
      <c r="O2463" s="468"/>
    </row>
    <row r="2464" spans="1:17" x14ac:dyDescent="0.25">
      <c r="B2464" s="493"/>
      <c r="C2464" s="526"/>
      <c r="D2464" s="463"/>
      <c r="E2464" s="491"/>
      <c r="F2464" s="492"/>
      <c r="G2464" s="561" t="str">
        <f>IFERROR(VLOOKUP(D2464,'Precios Equipos'!$C$1:$F$5052,3,0),"")</f>
        <v/>
      </c>
      <c r="H2464" s="561" t="str">
        <f t="shared" ref="H2464:H2478" si="227">IFERROR(G2464*C2464,"")</f>
        <v/>
      </c>
      <c r="I2464" s="477"/>
      <c r="K2464" s="539"/>
      <c r="M2464" s="470"/>
      <c r="O2464" s="468"/>
    </row>
    <row r="2465" spans="2:17" x14ac:dyDescent="0.25">
      <c r="B2465" s="493"/>
      <c r="C2465" s="526">
        <v>1</v>
      </c>
      <c r="D2465" s="500" t="str">
        <f>+'Precios Equipos'!$C$182</f>
        <v>Gabinete Adosado 900x700x200mm. (alto x ancho x profundidad) dimensiones aproximadas</v>
      </c>
      <c r="F2465" s="495"/>
      <c r="G2465" s="561">
        <f>IFERROR(VLOOKUP(D2465,'Precios Equipos'!$C$1:$F$5052,3,0),"")</f>
        <v>38</v>
      </c>
      <c r="H2465" s="561">
        <f t="shared" si="227"/>
        <v>38</v>
      </c>
      <c r="I2465" s="561">
        <f>SUM(H2465)</f>
        <v>38</v>
      </c>
      <c r="J2465" s="924">
        <f>+I2465/H2483</f>
        <v>1.6572176188399478E-2</v>
      </c>
      <c r="K2465" s="539"/>
      <c r="M2465" s="470"/>
      <c r="O2465" s="468"/>
      <c r="Q2465" s="465">
        <f>+C2465*$C$2462</f>
        <v>1</v>
      </c>
    </row>
    <row r="2466" spans="2:17" x14ac:dyDescent="0.25">
      <c r="B2466" s="493"/>
      <c r="C2466" s="526"/>
      <c r="D2466" s="494"/>
      <c r="F2466" s="495"/>
      <c r="G2466" s="561" t="str">
        <f>IFERROR(VLOOKUP(D2466,'Precios Equipos'!$C$1:$F$5052,3,0),"")</f>
        <v/>
      </c>
      <c r="H2466" s="561" t="str">
        <f t="shared" si="227"/>
        <v/>
      </c>
      <c r="I2466" s="477"/>
      <c r="K2466" s="539"/>
      <c r="M2466" s="470"/>
      <c r="O2466" s="468"/>
    </row>
    <row r="2467" spans="2:17" ht="16.5" thickBot="1" x14ac:dyDescent="0.3">
      <c r="B2467" s="493"/>
      <c r="C2467" s="526"/>
      <c r="D2467" s="620" t="s">
        <v>741</v>
      </c>
      <c r="F2467" s="495"/>
      <c r="G2467" s="561" t="str">
        <f>IFERROR(VLOOKUP(D2467,'Precios Equipos'!$C$1:$F$5052,3,0),"")</f>
        <v/>
      </c>
      <c r="H2467" s="561" t="str">
        <f t="shared" si="227"/>
        <v/>
      </c>
      <c r="I2467" s="477"/>
      <c r="K2467" s="539"/>
      <c r="M2467" s="470"/>
      <c r="O2467" s="468"/>
    </row>
    <row r="2468" spans="2:17" ht="16.5" thickBot="1" x14ac:dyDescent="0.3">
      <c r="B2468" s="493"/>
      <c r="C2468" s="526">
        <v>2</v>
      </c>
      <c r="D2468" s="494" t="str">
        <f>+'Precios Equipos'!$C$21</f>
        <v>ITM 3x50A, Caja Moldeada (35-50)A, 25kA en 380VAC, XT1C, ABB</v>
      </c>
      <c r="F2468" s="497"/>
      <c r="G2468" s="561">
        <f>IFERROR(VLOOKUP(D2468,'Precios Equipos'!$C$1:$F$5052,3,0),"")</f>
        <v>41</v>
      </c>
      <c r="H2468" s="561">
        <f t="shared" si="227"/>
        <v>82</v>
      </c>
      <c r="I2468" s="1087">
        <f>SUM(H2468:H2477)</f>
        <v>2123</v>
      </c>
      <c r="J2468" s="1088">
        <f>+I2468/H2483</f>
        <v>0.92586131705189711</v>
      </c>
      <c r="K2468" s="539"/>
      <c r="L2468" s="540" t="s">
        <v>451</v>
      </c>
      <c r="M2468" s="541"/>
      <c r="O2468" s="468"/>
      <c r="Q2468" s="465">
        <f>+C2468*$C$2462</f>
        <v>2</v>
      </c>
    </row>
    <row r="2469" spans="2:17" ht="16.5" thickBot="1" x14ac:dyDescent="0.3">
      <c r="B2469" s="493"/>
      <c r="C2469" s="526">
        <v>1</v>
      </c>
      <c r="D2469" s="494" t="str">
        <f>+'Precios Equipos'!$C$24</f>
        <v>ITM 4x100A, Caja Moldeada (70-100)A, 25kA en 380VAC, XT1C, ABB</v>
      </c>
      <c r="F2469" s="497"/>
      <c r="G2469" s="561">
        <f>IFERROR(VLOOKUP(D2469,'Precios Equipos'!$C$1:$F$5052,3,0),"")</f>
        <v>12</v>
      </c>
      <c r="H2469" s="561">
        <f t="shared" si="227"/>
        <v>12</v>
      </c>
      <c r="I2469" s="1087"/>
      <c r="J2469" s="1088"/>
      <c r="K2469" s="539"/>
      <c r="L2469" s="542" t="s">
        <v>88</v>
      </c>
      <c r="M2469" s="543" t="s">
        <v>85</v>
      </c>
      <c r="O2469" s="468"/>
      <c r="Q2469" s="465">
        <f>+C2469*$C$2462</f>
        <v>1</v>
      </c>
    </row>
    <row r="2470" spans="2:17" x14ac:dyDescent="0.25">
      <c r="B2470" s="493"/>
      <c r="C2470" s="526"/>
      <c r="D2470" s="494"/>
      <c r="F2470" s="497"/>
      <c r="G2470" s="561" t="str">
        <f>IFERROR(VLOOKUP(D2470,'Precios Equipos'!$C$1:$F$5052,3,0),"")</f>
        <v/>
      </c>
      <c r="H2470" s="561" t="str">
        <f t="shared" si="227"/>
        <v/>
      </c>
      <c r="I2470" s="1087"/>
      <c r="J2470" s="1088"/>
      <c r="K2470" s="539"/>
      <c r="L2470" s="544" t="str">
        <f>+'Precios Equipos'!C129</f>
        <v>COBRE TABLERO TFV-AC 14 C2.1</v>
      </c>
      <c r="M2470" s="545">
        <f>IFERROR(VLOOKUP(L2470,'Precios Equipos'!$C$11:$F$208,3,0),0)</f>
        <v>13</v>
      </c>
      <c r="O2470" s="468"/>
    </row>
    <row r="2471" spans="2:17" x14ac:dyDescent="0.25">
      <c r="B2471" s="493"/>
      <c r="C2471" s="526"/>
      <c r="D2471" s="620" t="s">
        <v>71</v>
      </c>
      <c r="F2471" s="497"/>
      <c r="G2471" s="561" t="str">
        <f>IFERROR(VLOOKUP(D2471,'Precios Equipos'!$C$1:$F$5052,3,0),"")</f>
        <v/>
      </c>
      <c r="H2471" s="561" t="str">
        <f t="shared" si="227"/>
        <v/>
      </c>
      <c r="I2471" s="1087"/>
      <c r="J2471" s="1088"/>
      <c r="K2471" s="539"/>
      <c r="L2471" s="544" t="str">
        <f>+'Precios Equipos'!C132</f>
        <v>CABLEADO 1 DIFERENCIALES, 2P</v>
      </c>
      <c r="M2471" s="545">
        <f>IFERROR(VLOOKUP(L2471,'Precios Equipos'!$C$11:$F$208,3,0),0)</f>
        <v>37</v>
      </c>
      <c r="O2471" s="468"/>
    </row>
    <row r="2472" spans="2:17" x14ac:dyDescent="0.25">
      <c r="B2472" s="493"/>
      <c r="C2472" s="526">
        <v>9</v>
      </c>
      <c r="D2472" s="494" t="str">
        <f>+'Precios Equipos'!$C$18</f>
        <v>ITM 2x100A, Caja Moldeada 100A, 50kA en 220VAC, A1N/P, ABB</v>
      </c>
      <c r="F2472" s="495"/>
      <c r="G2472" s="561">
        <f>IFERROR(VLOOKUP(D2472,'Precios Equipos'!$C$1:$F$5052,3,0),"")</f>
        <v>138</v>
      </c>
      <c r="H2472" s="561">
        <f t="shared" si="227"/>
        <v>1242</v>
      </c>
      <c r="I2472" s="1087"/>
      <c r="J2472" s="1088"/>
      <c r="K2472" s="539"/>
      <c r="L2472" s="544" t="str">
        <f>+'Precios Equipos'!C141</f>
        <v>Mano de obra 12-16 polos (6-8 ITM)</v>
      </c>
      <c r="M2472" s="545">
        <f>IFERROR(VLOOKUP(L2472,'Precios Equipos'!$C$11:$F$208,3,0),0)</f>
        <v>16</v>
      </c>
      <c r="O2472" s="468"/>
      <c r="Q2472" s="465">
        <f>+C2472*$C$2462</f>
        <v>9</v>
      </c>
    </row>
    <row r="2473" spans="2:17" x14ac:dyDescent="0.25">
      <c r="B2473" s="493"/>
      <c r="C2473" s="526">
        <v>1</v>
      </c>
      <c r="D2473" s="494" t="str">
        <f>+'Precios Equipos'!C50</f>
        <v>Interruptor Riel Din 2x25A. S202 20kA en 220VAC, ABB</v>
      </c>
      <c r="F2473" s="495"/>
      <c r="G2473" s="561">
        <f>IFERROR(VLOOKUP(D2473,'Precios Equipos'!$C$1:$F$5052,3,0),"")</f>
        <v>263</v>
      </c>
      <c r="H2473" s="561">
        <f t="shared" si="227"/>
        <v>263</v>
      </c>
      <c r="I2473" s="1087"/>
      <c r="J2473" s="1088"/>
      <c r="K2473" s="539"/>
      <c r="L2473" s="544" t="str">
        <f>+'Precios Equipos'!C162</f>
        <v>Mano de obra 1-2 Diferenciales</v>
      </c>
      <c r="M2473" s="545">
        <f>IFERROR(VLOOKUP(L2473,'Precios Equipos'!$C$11:$F$208,3,0),0)</f>
        <v>33</v>
      </c>
      <c r="O2473" s="468"/>
      <c r="P2473" s="501"/>
      <c r="Q2473" s="465">
        <f>+C2473*$C$2462</f>
        <v>1</v>
      </c>
    </row>
    <row r="2474" spans="2:17" ht="16.5" thickBot="1" x14ac:dyDescent="0.3">
      <c r="B2474" s="493"/>
      <c r="C2474" s="526">
        <v>1</v>
      </c>
      <c r="D2474" s="494" t="str">
        <f>+'Precios Equipos'!$C$63</f>
        <v>Protector de sobretension SPD AC 3P+N, 230/400V, 1.5kV, 40kA</v>
      </c>
      <c r="F2474" s="495"/>
      <c r="G2474" s="561">
        <f>IFERROR(VLOOKUP(D2474,'Precios Equipos'!$C$1:$F$5052,3,0),"")</f>
        <v>38</v>
      </c>
      <c r="H2474" s="561">
        <f t="shared" si="227"/>
        <v>38</v>
      </c>
      <c r="I2474" s="1087"/>
      <c r="J2474" s="1088"/>
      <c r="K2474" s="539"/>
      <c r="L2474" s="544" t="str">
        <f>+'Precios Equipos'!C204</f>
        <v>Diseño Ingenieria Tableros Adosados</v>
      </c>
      <c r="M2474" s="545">
        <f>IFERROR(VLOOKUP(L2474,'Precios Equipos'!$C$11:$F$208,3,0),0)</f>
        <v>33</v>
      </c>
      <c r="O2474" s="468"/>
      <c r="P2474" s="501"/>
      <c r="Q2474" s="465">
        <f>+C2474*$C$2462</f>
        <v>1</v>
      </c>
    </row>
    <row r="2475" spans="2:17" ht="16.5" thickBot="1" x14ac:dyDescent="0.3">
      <c r="B2475" s="493"/>
      <c r="C2475" s="526"/>
      <c r="D2475" s="494"/>
      <c r="F2475" s="495"/>
      <c r="G2475" s="561" t="str">
        <f>IFERROR(VLOOKUP(D2475,'Precios Equipos'!$C$1:$F$5052,3,0),"")</f>
        <v/>
      </c>
      <c r="H2475" s="561" t="str">
        <f t="shared" si="227"/>
        <v/>
      </c>
      <c r="I2475" s="1087"/>
      <c r="J2475" s="1088"/>
      <c r="K2475" s="539"/>
      <c r="L2475" s="546" t="s">
        <v>89</v>
      </c>
      <c r="M2475" s="560">
        <f>SUM(M2470:M2474)</f>
        <v>132</v>
      </c>
      <c r="O2475" s="468"/>
      <c r="P2475" s="501"/>
    </row>
    <row r="2476" spans="2:17" x14ac:dyDescent="0.25">
      <c r="B2476" s="493"/>
      <c r="C2476" s="526"/>
      <c r="D2476" s="620" t="s">
        <v>737</v>
      </c>
      <c r="F2476" s="495"/>
      <c r="G2476" s="561" t="str">
        <f>IFERROR(VLOOKUP(D2476,'Precios Equipos'!$C$1:$F$5052,3,0),"")</f>
        <v/>
      </c>
      <c r="H2476" s="561" t="str">
        <f t="shared" si="227"/>
        <v/>
      </c>
      <c r="I2476" s="1087"/>
      <c r="J2476" s="1088"/>
      <c r="K2476" s="539"/>
      <c r="M2476" s="470"/>
      <c r="O2476" s="468"/>
    </row>
    <row r="2477" spans="2:17" x14ac:dyDescent="0.25">
      <c r="B2477" s="493"/>
      <c r="C2477" s="526">
        <v>3</v>
      </c>
      <c r="D2477" s="494" t="str">
        <f>+'Precios Equipos'!$C$48</f>
        <v>Interruptor Riel Din 2x04A. S200 20kA en 230V en 250VAC, ABB</v>
      </c>
      <c r="F2477" s="495"/>
      <c r="G2477" s="561">
        <f>IFERROR(VLOOKUP(D2477,'Precios Equipos'!$C$1:$F$5052,3,0),"")</f>
        <v>162</v>
      </c>
      <c r="H2477" s="561">
        <f t="shared" si="227"/>
        <v>486</v>
      </c>
      <c r="I2477" s="1087"/>
      <c r="J2477" s="1088"/>
      <c r="K2477" s="539"/>
      <c r="M2477" s="470"/>
      <c r="O2477" s="468"/>
      <c r="Q2477" s="465">
        <f>+C2477*$C$2462</f>
        <v>3</v>
      </c>
    </row>
    <row r="2478" spans="2:17" x14ac:dyDescent="0.25">
      <c r="B2478" s="493"/>
      <c r="C2478" s="526"/>
      <c r="D2478" s="494"/>
      <c r="F2478" s="495"/>
      <c r="G2478" s="561" t="str">
        <f>IFERROR(VLOOKUP(D2478,'Precios Equipos'!$C$1:$F$5052,3,0),"")</f>
        <v/>
      </c>
      <c r="H2478" s="561" t="str">
        <f t="shared" si="227"/>
        <v/>
      </c>
      <c r="I2478" s="477"/>
      <c r="K2478" s="539"/>
      <c r="M2478" s="470"/>
      <c r="O2478" s="468"/>
    </row>
    <row r="2479" spans="2:17" x14ac:dyDescent="0.25">
      <c r="B2479" s="493"/>
      <c r="C2479" s="526"/>
      <c r="D2479" s="496" t="s">
        <v>87</v>
      </c>
      <c r="F2479" s="495"/>
      <c r="G2479" s="561"/>
      <c r="H2479" s="561">
        <f>M2475</f>
        <v>132</v>
      </c>
      <c r="I2479" s="561">
        <f>SUM(H2479)</f>
        <v>132</v>
      </c>
      <c r="J2479" s="924">
        <f>+I2479/H2483</f>
        <v>5.7566506759703442E-2</v>
      </c>
      <c r="K2479" s="539"/>
      <c r="M2479" s="470"/>
      <c r="O2479" s="468"/>
    </row>
    <row r="2480" spans="2:17" x14ac:dyDescent="0.25">
      <c r="B2480" s="493"/>
      <c r="C2480" s="526">
        <v>1</v>
      </c>
      <c r="D2480" s="494" t="s">
        <v>49</v>
      </c>
      <c r="F2480" s="495"/>
      <c r="G2480" s="561" t="str">
        <f>IFERROR(VLOOKUP(D2480,'Precios Equipos'!$C$1:$F$5052,3,0),"")</f>
        <v/>
      </c>
      <c r="H2480" s="561" t="str">
        <f t="shared" ref="H2480:H2482" si="228">IFERROR(G2480*C2480,"")</f>
        <v/>
      </c>
      <c r="I2480" s="1087">
        <f>SUM(H2480:H2481)</f>
        <v>0</v>
      </c>
      <c r="J2480" s="1088">
        <f>+I2480/H2483</f>
        <v>0</v>
      </c>
      <c r="K2480" s="539"/>
      <c r="M2480" s="470"/>
      <c r="O2480" s="468"/>
    </row>
    <row r="2481" spans="1:17" x14ac:dyDescent="0.25">
      <c r="B2481" s="493"/>
      <c r="C2481" s="526">
        <v>1</v>
      </c>
      <c r="D2481" s="494" t="s">
        <v>51</v>
      </c>
      <c r="F2481" s="495"/>
      <c r="G2481" s="561" t="str">
        <f>IFERROR(VLOOKUP(D2481,'Precios Equipos'!$C$1:$F$5052,3,0),"")</f>
        <v/>
      </c>
      <c r="H2481" s="561" t="str">
        <f t="shared" si="228"/>
        <v/>
      </c>
      <c r="I2481" s="1087"/>
      <c r="J2481" s="1088"/>
      <c r="K2481" s="539"/>
      <c r="M2481" s="470"/>
      <c r="O2481" s="468"/>
    </row>
    <row r="2482" spans="1:17" x14ac:dyDescent="0.25">
      <c r="B2482" s="493"/>
      <c r="C2482" s="526">
        <v>1</v>
      </c>
      <c r="D2482" s="467" t="s">
        <v>20</v>
      </c>
      <c r="F2482" s="495"/>
      <c r="G2482" s="561" t="str">
        <f>IFERROR(VLOOKUP(D2482,'Precios Equipos'!$C$1:$F$5052,3,0),"")</f>
        <v/>
      </c>
      <c r="H2482" s="561" t="str">
        <f t="shared" si="228"/>
        <v/>
      </c>
      <c r="I2482" s="477"/>
      <c r="J2482" s="973"/>
      <c r="K2482" s="539"/>
      <c r="M2482" s="470"/>
      <c r="O2482" s="468"/>
    </row>
    <row r="2483" spans="1:17" x14ac:dyDescent="0.25">
      <c r="B2483" s="493"/>
      <c r="C2483" s="526">
        <v>1</v>
      </c>
      <c r="D2483" s="467" t="s">
        <v>52</v>
      </c>
      <c r="F2483" s="495"/>
      <c r="G2483" s="553" t="s">
        <v>97</v>
      </c>
      <c r="H2483" s="561">
        <f>SUM(H2465:H2482)</f>
        <v>2293</v>
      </c>
      <c r="I2483" s="477"/>
      <c r="J2483" s="973"/>
      <c r="K2483" s="539"/>
      <c r="M2483" s="470"/>
      <c r="O2483" s="468"/>
    </row>
    <row r="2484" spans="1:17" x14ac:dyDescent="0.25">
      <c r="B2484" s="493"/>
      <c r="C2484" s="526">
        <v>1</v>
      </c>
      <c r="D2484" s="467" t="s">
        <v>21</v>
      </c>
      <c r="F2484" s="495"/>
      <c r="G2484" s="553" t="s">
        <v>105</v>
      </c>
      <c r="H2484" s="561">
        <f>H2483*$M$155</f>
        <v>458.6</v>
      </c>
      <c r="I2484" s="477"/>
      <c r="J2484" s="973"/>
      <c r="K2484" s="539"/>
      <c r="M2484" s="470"/>
      <c r="O2484" s="468"/>
    </row>
    <row r="2485" spans="1:17" x14ac:dyDescent="0.25">
      <c r="B2485" s="521"/>
      <c r="C2485" s="527" t="s">
        <v>17</v>
      </c>
      <c r="D2485" s="522" t="s">
        <v>48</v>
      </c>
      <c r="E2485" s="523"/>
      <c r="F2485" s="524"/>
      <c r="G2485" s="553" t="s">
        <v>452</v>
      </c>
      <c r="H2485" s="561">
        <f>H2483+H2484</f>
        <v>2751.6</v>
      </c>
      <c r="I2485" s="477"/>
      <c r="J2485" s="973"/>
      <c r="K2485" s="539"/>
      <c r="M2485" s="470"/>
      <c r="O2485" s="468"/>
    </row>
    <row r="2486" spans="1:17" x14ac:dyDescent="0.25">
      <c r="M2486" s="470"/>
    </row>
    <row r="2487" spans="1:17" x14ac:dyDescent="0.25">
      <c r="B2487" s="514" t="s">
        <v>6</v>
      </c>
      <c r="C2487" s="515" t="s">
        <v>0</v>
      </c>
      <c r="D2487" s="606" t="s">
        <v>8</v>
      </c>
      <c r="E2487" s="516" t="s">
        <v>4</v>
      </c>
      <c r="F2487" s="516" t="s">
        <v>3</v>
      </c>
      <c r="G2487" s="477"/>
      <c r="H2487" s="477"/>
      <c r="I2487" s="477"/>
      <c r="K2487" s="539"/>
      <c r="M2487" s="470"/>
      <c r="O2487" s="468"/>
    </row>
    <row r="2488" spans="1:17" x14ac:dyDescent="0.25">
      <c r="A2488" s="463">
        <v>152</v>
      </c>
      <c r="B2488" s="1077">
        <f>B131</f>
        <v>6.2999999999999936</v>
      </c>
      <c r="C2488" s="1077">
        <f>C131</f>
        <v>1</v>
      </c>
      <c r="D2488" s="1077" t="str">
        <f>D131</f>
        <v>TABLERO TFV-AC - TIPO 14 (C3.3)</v>
      </c>
      <c r="E2488" s="518">
        <f>H2510</f>
        <v>2436</v>
      </c>
      <c r="F2488" s="518">
        <f>+E2488*C2488</f>
        <v>2436</v>
      </c>
      <c r="G2488" s="553" t="s">
        <v>450</v>
      </c>
      <c r="H2488" s="553" t="s">
        <v>1</v>
      </c>
      <c r="I2488" s="477"/>
      <c r="K2488" s="539"/>
      <c r="M2488" s="470"/>
      <c r="O2488" s="468"/>
    </row>
    <row r="2489" spans="1:17" x14ac:dyDescent="0.25">
      <c r="B2489" s="1078"/>
      <c r="C2489" s="1078"/>
      <c r="D2489" s="1078"/>
      <c r="E2489" s="520" t="s">
        <v>50</v>
      </c>
      <c r="F2489" s="520" t="s">
        <v>50</v>
      </c>
      <c r="G2489" s="553" t="s">
        <v>50</v>
      </c>
      <c r="H2489" s="553" t="s">
        <v>50</v>
      </c>
      <c r="I2489" s="477"/>
      <c r="K2489" s="539"/>
      <c r="M2489" s="470"/>
      <c r="O2489" s="468"/>
    </row>
    <row r="2490" spans="1:17" x14ac:dyDescent="0.25">
      <c r="B2490" s="493"/>
      <c r="C2490" s="526"/>
      <c r="D2490" s="463"/>
      <c r="E2490" s="491"/>
      <c r="F2490" s="492"/>
      <c r="G2490" s="561" t="str">
        <f>IFERROR(VLOOKUP(D2490,'Precios Equipos'!$C$1:$F$5052,3,0),"")</f>
        <v/>
      </c>
      <c r="H2490" s="561" t="str">
        <f t="shared" ref="H2490:H2503" si="229">IFERROR(G2490*C2490,"")</f>
        <v/>
      </c>
      <c r="I2490" s="477"/>
      <c r="K2490" s="539"/>
      <c r="M2490" s="470"/>
      <c r="O2490" s="468"/>
    </row>
    <row r="2491" spans="1:17" x14ac:dyDescent="0.25">
      <c r="B2491" s="493"/>
      <c r="C2491" s="526">
        <v>1</v>
      </c>
      <c r="D2491" s="500" t="str">
        <f>+'Precios Equipos'!$C$182</f>
        <v>Gabinete Adosado 900x700x200mm. (alto x ancho x profundidad) dimensiones aproximadas</v>
      </c>
      <c r="F2491" s="495"/>
      <c r="G2491" s="561">
        <f>IFERROR(VLOOKUP(D2491,'Precios Equipos'!$C$1:$F$5052,3,0),"")</f>
        <v>38</v>
      </c>
      <c r="H2491" s="561">
        <f t="shared" si="229"/>
        <v>38</v>
      </c>
      <c r="I2491" s="561">
        <f>SUM(H2491)</f>
        <v>38</v>
      </c>
      <c r="J2491" s="924">
        <f>+I2491/H2508</f>
        <v>1.8719211822660099E-2</v>
      </c>
      <c r="K2491" s="539"/>
      <c r="M2491" s="470"/>
      <c r="O2491" s="468"/>
      <c r="Q2491" s="465">
        <f>+C2491*$C$2488</f>
        <v>1</v>
      </c>
    </row>
    <row r="2492" spans="1:17" x14ac:dyDescent="0.25">
      <c r="B2492" s="493"/>
      <c r="C2492" s="526"/>
      <c r="D2492" s="494"/>
      <c r="F2492" s="495"/>
      <c r="G2492" s="561" t="str">
        <f>IFERROR(VLOOKUP(D2492,'Precios Equipos'!$C$1:$F$5052,3,0),"")</f>
        <v/>
      </c>
      <c r="H2492" s="561" t="str">
        <f t="shared" si="229"/>
        <v/>
      </c>
      <c r="I2492" s="477"/>
      <c r="K2492" s="539"/>
      <c r="M2492" s="470"/>
      <c r="O2492" s="468"/>
    </row>
    <row r="2493" spans="1:17" ht="16.5" thickBot="1" x14ac:dyDescent="0.3">
      <c r="B2493" s="493"/>
      <c r="C2493" s="526"/>
      <c r="D2493" s="620" t="s">
        <v>741</v>
      </c>
      <c r="F2493" s="495"/>
      <c r="G2493" s="561" t="str">
        <f>IFERROR(VLOOKUP(D2493,'Precios Equipos'!$C$1:$F$5052,3,0),"")</f>
        <v/>
      </c>
      <c r="H2493" s="561" t="str">
        <f t="shared" si="229"/>
        <v/>
      </c>
      <c r="I2493" s="477"/>
      <c r="K2493" s="539"/>
      <c r="M2493" s="470"/>
      <c r="O2493" s="468"/>
    </row>
    <row r="2494" spans="1:17" ht="16.5" thickBot="1" x14ac:dyDescent="0.3">
      <c r="B2494" s="493"/>
      <c r="C2494" s="526">
        <v>2</v>
      </c>
      <c r="D2494" s="494" t="str">
        <f>+'Precios Equipos'!$C$21</f>
        <v>ITM 3x50A, Caja Moldeada (35-50)A, 25kA en 380VAC, XT1C, ABB</v>
      </c>
      <c r="F2494" s="497"/>
      <c r="G2494" s="561">
        <f>IFERROR(VLOOKUP(D2494,'Precios Equipos'!$C$1:$F$5052,3,0),"")</f>
        <v>41</v>
      </c>
      <c r="H2494" s="561">
        <f t="shared" si="229"/>
        <v>82</v>
      </c>
      <c r="I2494" s="1087">
        <f>SUM(H2494:H2502)</f>
        <v>1860</v>
      </c>
      <c r="J2494" s="1088">
        <f>+I2494/H2508</f>
        <v>0.91625615763546797</v>
      </c>
      <c r="K2494" s="539"/>
      <c r="L2494" s="540" t="s">
        <v>451</v>
      </c>
      <c r="M2494" s="541"/>
      <c r="O2494" s="468"/>
      <c r="Q2494" s="465">
        <f>+C2494*$C$2488</f>
        <v>2</v>
      </c>
    </row>
    <row r="2495" spans="1:17" ht="16.5" thickBot="1" x14ac:dyDescent="0.3">
      <c r="B2495" s="493"/>
      <c r="C2495" s="526">
        <v>1</v>
      </c>
      <c r="D2495" s="494" t="str">
        <f>+'Precios Equipos'!$C$24</f>
        <v>ITM 4x100A, Caja Moldeada (70-100)A, 25kA en 380VAC, XT1C, ABB</v>
      </c>
      <c r="F2495" s="497"/>
      <c r="G2495" s="561">
        <f>IFERROR(VLOOKUP(D2495,'Precios Equipos'!$C$1:$F$5052,3,0),"")</f>
        <v>12</v>
      </c>
      <c r="H2495" s="561">
        <f t="shared" si="229"/>
        <v>12</v>
      </c>
      <c r="I2495" s="1087"/>
      <c r="J2495" s="1088"/>
      <c r="K2495" s="539"/>
      <c r="L2495" s="542" t="s">
        <v>88</v>
      </c>
      <c r="M2495" s="543" t="s">
        <v>85</v>
      </c>
      <c r="O2495" s="468"/>
      <c r="Q2495" s="465">
        <f>+C2495*$C$2488</f>
        <v>1</v>
      </c>
    </row>
    <row r="2496" spans="1:17" x14ac:dyDescent="0.25">
      <c r="B2496" s="493"/>
      <c r="C2496" s="526"/>
      <c r="D2496" s="494"/>
      <c r="F2496" s="497"/>
      <c r="G2496" s="561" t="str">
        <f>IFERROR(VLOOKUP(D2496,'Precios Equipos'!$C$1:$F$5052,3,0),"")</f>
        <v/>
      </c>
      <c r="H2496" s="561" t="str">
        <f t="shared" si="229"/>
        <v/>
      </c>
      <c r="I2496" s="1087"/>
      <c r="J2496" s="1088"/>
      <c r="K2496" s="539"/>
      <c r="L2496" s="544" t="str">
        <f>+'Precios Equipos'!C129</f>
        <v>COBRE TABLERO TFV-AC 14 C2.1</v>
      </c>
      <c r="M2496" s="545">
        <f>IFERROR(VLOOKUP(L2496,'Precios Equipos'!$C$11:$F$208,3,0),0)</f>
        <v>13</v>
      </c>
      <c r="O2496" s="468"/>
    </row>
    <row r="2497" spans="2:17" x14ac:dyDescent="0.25">
      <c r="B2497" s="493"/>
      <c r="C2497" s="526"/>
      <c r="D2497" s="620" t="s">
        <v>71</v>
      </c>
      <c r="F2497" s="497"/>
      <c r="G2497" s="561" t="str">
        <f>IFERROR(VLOOKUP(D2497,'Precios Equipos'!$C$1:$F$5052,3,0),"")</f>
        <v/>
      </c>
      <c r="H2497" s="561" t="str">
        <f t="shared" si="229"/>
        <v/>
      </c>
      <c r="I2497" s="1087"/>
      <c r="J2497" s="1088"/>
      <c r="K2497" s="539"/>
      <c r="L2497" s="544" t="str">
        <f>+'Precios Equipos'!C132</f>
        <v>CABLEADO 1 DIFERENCIALES, 2P</v>
      </c>
      <c r="M2497" s="545">
        <f>IFERROR(VLOOKUP(L2497,'Precios Equipos'!$C$11:$F$208,3,0),0)</f>
        <v>37</v>
      </c>
      <c r="O2497" s="468"/>
      <c r="P2497" s="501"/>
    </row>
    <row r="2498" spans="2:17" x14ac:dyDescent="0.25">
      <c r="B2498" s="493"/>
      <c r="C2498" s="526">
        <v>9</v>
      </c>
      <c r="D2498" s="494" t="str">
        <f>+'Precios Equipos'!$C$18</f>
        <v>ITM 2x100A, Caja Moldeada 100A, 50kA en 220VAC, A1N/P, ABB</v>
      </c>
      <c r="F2498" s="495"/>
      <c r="G2498" s="561">
        <f>IFERROR(VLOOKUP(D2498,'Precios Equipos'!$C$1:$F$5052,3,0),"")</f>
        <v>138</v>
      </c>
      <c r="H2498" s="561">
        <f t="shared" si="229"/>
        <v>1242</v>
      </c>
      <c r="I2498" s="1087"/>
      <c r="J2498" s="1088"/>
      <c r="K2498" s="539"/>
      <c r="L2498" s="544" t="str">
        <f>+'Precios Equipos'!C141</f>
        <v>Mano de obra 12-16 polos (6-8 ITM)</v>
      </c>
      <c r="M2498" s="545">
        <f>IFERROR(VLOOKUP(L2498,'Precios Equipos'!$C$11:$F$208,3,0),0)</f>
        <v>16</v>
      </c>
      <c r="O2498" s="468"/>
      <c r="P2498" s="501"/>
      <c r="Q2498" s="465">
        <f>+C2498*$C$2488</f>
        <v>9</v>
      </c>
    </row>
    <row r="2499" spans="2:17" x14ac:dyDescent="0.25">
      <c r="B2499" s="493"/>
      <c r="C2499" s="526">
        <v>1</v>
      </c>
      <c r="D2499" s="494" t="str">
        <f>+'Precios Equipos'!$C$63</f>
        <v>Protector de sobretension SPD AC 3P+N, 230/400V, 1.5kV, 40kA</v>
      </c>
      <c r="F2499" s="495"/>
      <c r="G2499" s="561">
        <f>IFERROR(VLOOKUP(D2499,'Precios Equipos'!$C$1:$F$5052,3,0),"")</f>
        <v>38</v>
      </c>
      <c r="H2499" s="561">
        <f t="shared" si="229"/>
        <v>38</v>
      </c>
      <c r="I2499" s="1087"/>
      <c r="J2499" s="1088"/>
      <c r="K2499" s="539"/>
      <c r="L2499" s="544" t="str">
        <f>+'Precios Equipos'!C162</f>
        <v>Mano de obra 1-2 Diferenciales</v>
      </c>
      <c r="M2499" s="545">
        <f>IFERROR(VLOOKUP(L2499,'Precios Equipos'!$C$11:$F$208,3,0),0)</f>
        <v>33</v>
      </c>
      <c r="O2499" s="468"/>
      <c r="P2499" s="501"/>
      <c r="Q2499" s="465">
        <f>+C2499*$C$2488</f>
        <v>1</v>
      </c>
    </row>
    <row r="2500" spans="2:17" ht="16.5" thickBot="1" x14ac:dyDescent="0.3">
      <c r="B2500" s="493"/>
      <c r="C2500" s="526"/>
      <c r="D2500" s="494"/>
      <c r="F2500" s="495"/>
      <c r="G2500" s="561" t="str">
        <f>IFERROR(VLOOKUP(D2500,'Precios Equipos'!$C$1:$F$5052,3,0),"")</f>
        <v/>
      </c>
      <c r="H2500" s="561" t="str">
        <f t="shared" si="229"/>
        <v/>
      </c>
      <c r="I2500" s="1087"/>
      <c r="J2500" s="1088"/>
      <c r="K2500" s="539"/>
      <c r="L2500" s="544" t="str">
        <f>+'Precios Equipos'!C204</f>
        <v>Diseño Ingenieria Tableros Adosados</v>
      </c>
      <c r="M2500" s="545">
        <f>IFERROR(VLOOKUP(L2500,'Precios Equipos'!$C$11:$F$208,3,0),0)</f>
        <v>33</v>
      </c>
      <c r="O2500" s="468"/>
    </row>
    <row r="2501" spans="2:17" ht="16.5" thickBot="1" x14ac:dyDescent="0.3">
      <c r="B2501" s="493"/>
      <c r="C2501" s="526"/>
      <c r="D2501" s="620" t="s">
        <v>737</v>
      </c>
      <c r="F2501" s="495"/>
      <c r="G2501" s="561" t="str">
        <f>IFERROR(VLOOKUP(D2501,'Precios Equipos'!$C$1:$F$5052,3,0),"")</f>
        <v/>
      </c>
      <c r="H2501" s="561" t="str">
        <f t="shared" si="229"/>
        <v/>
      </c>
      <c r="I2501" s="1087"/>
      <c r="J2501" s="1088"/>
      <c r="K2501" s="539"/>
      <c r="L2501" s="546" t="s">
        <v>89</v>
      </c>
      <c r="M2501" s="560">
        <f>SUM(M2496:M2500)</f>
        <v>132</v>
      </c>
      <c r="O2501" s="468"/>
    </row>
    <row r="2502" spans="2:17" x14ac:dyDescent="0.25">
      <c r="B2502" s="493"/>
      <c r="C2502" s="526">
        <v>3</v>
      </c>
      <c r="D2502" s="494" t="str">
        <f>+'Precios Equipos'!$C$48</f>
        <v>Interruptor Riel Din 2x04A. S200 20kA en 230V en 250VAC, ABB</v>
      </c>
      <c r="F2502" s="495"/>
      <c r="G2502" s="561">
        <f>IFERROR(VLOOKUP(D2502,'Precios Equipos'!$C$1:$F$5052,3,0),"")</f>
        <v>162</v>
      </c>
      <c r="H2502" s="561">
        <f t="shared" si="229"/>
        <v>486</v>
      </c>
      <c r="I2502" s="1087"/>
      <c r="J2502" s="1088"/>
      <c r="K2502" s="539"/>
      <c r="M2502" s="470"/>
      <c r="O2502" s="468"/>
      <c r="Q2502" s="465">
        <f>+C2502*$C$2488</f>
        <v>3</v>
      </c>
    </row>
    <row r="2503" spans="2:17" x14ac:dyDescent="0.25">
      <c r="B2503" s="493"/>
      <c r="C2503" s="526"/>
      <c r="D2503" s="494"/>
      <c r="F2503" s="495"/>
      <c r="G2503" s="561" t="str">
        <f>IFERROR(VLOOKUP(D2503,'Precios Equipos'!$C$1:$F$5052,3,0),"")</f>
        <v/>
      </c>
      <c r="H2503" s="561" t="str">
        <f t="shared" si="229"/>
        <v/>
      </c>
      <c r="I2503" s="477"/>
      <c r="K2503" s="539"/>
      <c r="M2503" s="470"/>
      <c r="O2503" s="468"/>
    </row>
    <row r="2504" spans="2:17" x14ac:dyDescent="0.25">
      <c r="B2504" s="493"/>
      <c r="C2504" s="526"/>
      <c r="D2504" s="496" t="s">
        <v>87</v>
      </c>
      <c r="F2504" s="495"/>
      <c r="G2504" s="561"/>
      <c r="H2504" s="561">
        <f>M2501</f>
        <v>132</v>
      </c>
      <c r="I2504" s="561">
        <f>SUM(H2504)</f>
        <v>132</v>
      </c>
      <c r="J2504" s="924">
        <f>+I2504/H2508</f>
        <v>6.5024630541871922E-2</v>
      </c>
      <c r="K2504" s="539"/>
      <c r="M2504" s="470"/>
      <c r="O2504" s="468"/>
    </row>
    <row r="2505" spans="2:17" x14ac:dyDescent="0.25">
      <c r="B2505" s="493"/>
      <c r="C2505" s="526">
        <v>1</v>
      </c>
      <c r="D2505" s="494" t="s">
        <v>49</v>
      </c>
      <c r="F2505" s="495"/>
      <c r="G2505" s="561" t="str">
        <f>IFERROR(VLOOKUP(D2505,'Precios Equipos'!$C$1:$F$5052,3,0),"")</f>
        <v/>
      </c>
      <c r="H2505" s="561" t="str">
        <f t="shared" ref="H2505:H2507" si="230">IFERROR(G2505*C2505,"")</f>
        <v/>
      </c>
      <c r="I2505" s="1087">
        <f>SUM(H2505:H2506)</f>
        <v>0</v>
      </c>
      <c r="J2505" s="1088">
        <f>+I2505/H2508</f>
        <v>0</v>
      </c>
      <c r="K2505" s="539"/>
      <c r="M2505" s="470"/>
      <c r="O2505" s="468"/>
    </row>
    <row r="2506" spans="2:17" x14ac:dyDescent="0.25">
      <c r="B2506" s="493"/>
      <c r="C2506" s="526">
        <v>1</v>
      </c>
      <c r="D2506" s="494" t="s">
        <v>51</v>
      </c>
      <c r="F2506" s="495"/>
      <c r="G2506" s="561" t="str">
        <f>IFERROR(VLOOKUP(D2506,'Precios Equipos'!$C$1:$F$5052,3,0),"")</f>
        <v/>
      </c>
      <c r="H2506" s="561" t="str">
        <f t="shared" si="230"/>
        <v/>
      </c>
      <c r="I2506" s="1087"/>
      <c r="J2506" s="1088"/>
      <c r="K2506" s="539"/>
      <c r="M2506" s="470"/>
      <c r="O2506" s="468"/>
    </row>
    <row r="2507" spans="2:17" x14ac:dyDescent="0.25">
      <c r="B2507" s="493"/>
      <c r="C2507" s="526">
        <v>1</v>
      </c>
      <c r="D2507" s="467" t="s">
        <v>20</v>
      </c>
      <c r="F2507" s="495"/>
      <c r="G2507" s="561" t="str">
        <f>IFERROR(VLOOKUP(D2507,'Precios Equipos'!$C$1:$F$5052,3,0),"")</f>
        <v/>
      </c>
      <c r="H2507" s="561" t="str">
        <f t="shared" si="230"/>
        <v/>
      </c>
      <c r="I2507" s="477"/>
      <c r="J2507" s="973"/>
      <c r="K2507" s="539"/>
      <c r="M2507" s="470"/>
      <c r="O2507" s="468"/>
    </row>
    <row r="2508" spans="2:17" x14ac:dyDescent="0.25">
      <c r="B2508" s="493"/>
      <c r="C2508" s="526">
        <v>1</v>
      </c>
      <c r="D2508" s="467" t="s">
        <v>52</v>
      </c>
      <c r="F2508" s="495"/>
      <c r="G2508" s="553" t="s">
        <v>97</v>
      </c>
      <c r="H2508" s="561">
        <f>SUM(H2491:H2507)</f>
        <v>2030</v>
      </c>
      <c r="I2508" s="477"/>
      <c r="J2508" s="973"/>
      <c r="K2508" s="539"/>
      <c r="M2508" s="470"/>
      <c r="O2508" s="468"/>
    </row>
    <row r="2509" spans="2:17" x14ac:dyDescent="0.25">
      <c r="B2509" s="493"/>
      <c r="C2509" s="526">
        <v>1</v>
      </c>
      <c r="D2509" s="467" t="s">
        <v>21</v>
      </c>
      <c r="F2509" s="495"/>
      <c r="G2509" s="553" t="s">
        <v>105</v>
      </c>
      <c r="H2509" s="561">
        <f>H2508*$M$155</f>
        <v>406</v>
      </c>
      <c r="I2509" s="477"/>
      <c r="J2509" s="973"/>
      <c r="K2509" s="539"/>
      <c r="M2509" s="470"/>
      <c r="O2509" s="468"/>
    </row>
    <row r="2510" spans="2:17" x14ac:dyDescent="0.25">
      <c r="B2510" s="521"/>
      <c r="C2510" s="527" t="s">
        <v>17</v>
      </c>
      <c r="D2510" s="522" t="s">
        <v>48</v>
      </c>
      <c r="E2510" s="523"/>
      <c r="F2510" s="524"/>
      <c r="G2510" s="553" t="s">
        <v>452</v>
      </c>
      <c r="H2510" s="561">
        <f>H2508+H2509</f>
        <v>2436</v>
      </c>
      <c r="I2510" s="477"/>
      <c r="J2510" s="973"/>
      <c r="K2510" s="539"/>
      <c r="M2510" s="470"/>
      <c r="O2510" s="468"/>
    </row>
    <row r="2511" spans="2:17" x14ac:dyDescent="0.25">
      <c r="M2511" s="470"/>
    </row>
    <row r="2512" spans="2:17" x14ac:dyDescent="0.25">
      <c r="B2512" s="514" t="s">
        <v>6</v>
      </c>
      <c r="C2512" s="515" t="s">
        <v>0</v>
      </c>
      <c r="D2512" s="606" t="s">
        <v>8</v>
      </c>
      <c r="E2512" s="516" t="s">
        <v>4</v>
      </c>
      <c r="F2512" s="516" t="s">
        <v>3</v>
      </c>
      <c r="G2512" s="477"/>
      <c r="H2512" s="477"/>
      <c r="I2512" s="477"/>
      <c r="K2512" s="539"/>
      <c r="M2512" s="470"/>
      <c r="O2512" s="468"/>
    </row>
    <row r="2513" spans="1:17" x14ac:dyDescent="0.25">
      <c r="A2513" s="463">
        <v>152</v>
      </c>
      <c r="B2513" s="1077">
        <f>B132</f>
        <v>6.3099999999999934</v>
      </c>
      <c r="C2513" s="1077">
        <f>C132</f>
        <v>1</v>
      </c>
      <c r="D2513" s="1077" t="str">
        <f>D132</f>
        <v>TABLERO TFV-AC - TIPO 14 (C3.4)</v>
      </c>
      <c r="E2513" s="518">
        <f>H2535</f>
        <v>2436</v>
      </c>
      <c r="F2513" s="518">
        <f>+E2513*C2513</f>
        <v>2436</v>
      </c>
      <c r="G2513" s="553" t="s">
        <v>450</v>
      </c>
      <c r="H2513" s="553" t="s">
        <v>1</v>
      </c>
      <c r="I2513" s="477"/>
      <c r="K2513" s="539"/>
      <c r="M2513" s="470"/>
      <c r="O2513" s="468"/>
    </row>
    <row r="2514" spans="1:17" x14ac:dyDescent="0.25">
      <c r="B2514" s="1078"/>
      <c r="C2514" s="1078"/>
      <c r="D2514" s="1078"/>
      <c r="E2514" s="520" t="s">
        <v>50</v>
      </c>
      <c r="F2514" s="520" t="s">
        <v>50</v>
      </c>
      <c r="G2514" s="553" t="s">
        <v>50</v>
      </c>
      <c r="H2514" s="553" t="s">
        <v>50</v>
      </c>
      <c r="I2514" s="477"/>
      <c r="K2514" s="539"/>
      <c r="M2514" s="470"/>
      <c r="O2514" s="468"/>
    </row>
    <row r="2515" spans="1:17" x14ac:dyDescent="0.25">
      <c r="B2515" s="493"/>
      <c r="C2515" s="526"/>
      <c r="D2515" s="463"/>
      <c r="E2515" s="491"/>
      <c r="F2515" s="492"/>
      <c r="G2515" s="561" t="str">
        <f>IFERROR(VLOOKUP(D2515,'Precios Equipos'!$C$1:$F$5052,3,0),"")</f>
        <v/>
      </c>
      <c r="H2515" s="561" t="str">
        <f t="shared" ref="H2515:H2528" si="231">IFERROR(G2515*C2515,"")</f>
        <v/>
      </c>
      <c r="I2515" s="477"/>
      <c r="K2515" s="539"/>
      <c r="M2515" s="470"/>
      <c r="O2515" s="468"/>
    </row>
    <row r="2516" spans="1:17" x14ac:dyDescent="0.25">
      <c r="B2516" s="493"/>
      <c r="C2516" s="526">
        <v>1</v>
      </c>
      <c r="D2516" s="500" t="str">
        <f>+'Precios Equipos'!$C$182</f>
        <v>Gabinete Adosado 900x700x200mm. (alto x ancho x profundidad) dimensiones aproximadas</v>
      </c>
      <c r="F2516" s="495"/>
      <c r="G2516" s="561">
        <f>IFERROR(VLOOKUP(D2516,'Precios Equipos'!$C$1:$F$5052,3,0),"")</f>
        <v>38</v>
      </c>
      <c r="H2516" s="561">
        <f t="shared" si="231"/>
        <v>38</v>
      </c>
      <c r="I2516" s="561">
        <f>SUM(H2516)</f>
        <v>38</v>
      </c>
      <c r="J2516" s="924">
        <f>+I2516/H2533</f>
        <v>1.8719211822660099E-2</v>
      </c>
      <c r="K2516" s="539"/>
      <c r="M2516" s="470"/>
      <c r="O2516" s="468"/>
      <c r="Q2516" s="465">
        <f>+C2516*$C$2513</f>
        <v>1</v>
      </c>
    </row>
    <row r="2517" spans="1:17" x14ac:dyDescent="0.25">
      <c r="B2517" s="493"/>
      <c r="C2517" s="526"/>
      <c r="D2517" s="494"/>
      <c r="F2517" s="495"/>
      <c r="G2517" s="561" t="str">
        <f>IFERROR(VLOOKUP(D2517,'Precios Equipos'!$C$1:$F$5052,3,0),"")</f>
        <v/>
      </c>
      <c r="H2517" s="561" t="str">
        <f t="shared" si="231"/>
        <v/>
      </c>
      <c r="I2517" s="477"/>
      <c r="K2517" s="539"/>
      <c r="M2517" s="470"/>
      <c r="O2517" s="468"/>
    </row>
    <row r="2518" spans="1:17" x14ac:dyDescent="0.25">
      <c r="B2518" s="493"/>
      <c r="C2518" s="526"/>
      <c r="D2518" s="620" t="s">
        <v>741</v>
      </c>
      <c r="F2518" s="495"/>
      <c r="G2518" s="561" t="str">
        <f>IFERROR(VLOOKUP(D2518,'Precios Equipos'!$C$1:$F$5052,3,0),"")</f>
        <v/>
      </c>
      <c r="H2518" s="561" t="str">
        <f t="shared" si="231"/>
        <v/>
      </c>
      <c r="I2518" s="477"/>
      <c r="K2518" s="539"/>
      <c r="M2518" s="470"/>
      <c r="O2518" s="468"/>
    </row>
    <row r="2519" spans="1:17" ht="16.5" thickBot="1" x14ac:dyDescent="0.3">
      <c r="B2519" s="493"/>
      <c r="C2519" s="526">
        <v>2</v>
      </c>
      <c r="D2519" s="494" t="str">
        <f>+'Precios Equipos'!$C$21</f>
        <v>ITM 3x50A, Caja Moldeada (35-50)A, 25kA en 380VAC, XT1C, ABB</v>
      </c>
      <c r="F2519" s="497"/>
      <c r="G2519" s="561">
        <f>IFERROR(VLOOKUP(D2519,'Precios Equipos'!$C$1:$F$5052,3,0),"")</f>
        <v>41</v>
      </c>
      <c r="H2519" s="561">
        <f t="shared" si="231"/>
        <v>82</v>
      </c>
      <c r="I2519" s="1087">
        <f>SUM(H2519:H2527)</f>
        <v>1860</v>
      </c>
      <c r="J2519" s="1088">
        <f>+I2519/H2533</f>
        <v>0.91625615763546797</v>
      </c>
      <c r="K2519" s="539"/>
      <c r="M2519" s="470"/>
      <c r="O2519" s="468"/>
      <c r="Q2519" s="465">
        <f>+C2519*$C$2513</f>
        <v>2</v>
      </c>
    </row>
    <row r="2520" spans="1:17" ht="16.5" thickBot="1" x14ac:dyDescent="0.3">
      <c r="B2520" s="493"/>
      <c r="C2520" s="526">
        <v>1</v>
      </c>
      <c r="D2520" s="494" t="str">
        <f>+'Precios Equipos'!$C$24</f>
        <v>ITM 4x100A, Caja Moldeada (70-100)A, 25kA en 380VAC, XT1C, ABB</v>
      </c>
      <c r="F2520" s="497"/>
      <c r="G2520" s="561">
        <f>IFERROR(VLOOKUP(D2520,'Precios Equipos'!$C$1:$F$5052,3,0),"")</f>
        <v>12</v>
      </c>
      <c r="H2520" s="561">
        <f t="shared" si="231"/>
        <v>12</v>
      </c>
      <c r="I2520" s="1087"/>
      <c r="J2520" s="1088"/>
      <c r="K2520" s="539"/>
      <c r="L2520" s="540" t="s">
        <v>451</v>
      </c>
      <c r="M2520" s="541"/>
      <c r="O2520" s="468"/>
      <c r="Q2520" s="465">
        <f>+C2520*$C$2513</f>
        <v>1</v>
      </c>
    </row>
    <row r="2521" spans="1:17" ht="16.5" thickBot="1" x14ac:dyDescent="0.3">
      <c r="B2521" s="493"/>
      <c r="C2521" s="526"/>
      <c r="D2521" s="494"/>
      <c r="F2521" s="497"/>
      <c r="G2521" s="561" t="str">
        <f>IFERROR(VLOOKUP(D2521,'Precios Equipos'!$C$1:$F$5052,3,0),"")</f>
        <v/>
      </c>
      <c r="H2521" s="561" t="str">
        <f t="shared" si="231"/>
        <v/>
      </c>
      <c r="I2521" s="1087"/>
      <c r="J2521" s="1088"/>
      <c r="K2521" s="539"/>
      <c r="L2521" s="542" t="s">
        <v>88</v>
      </c>
      <c r="M2521" s="543" t="s">
        <v>85</v>
      </c>
      <c r="O2521" s="468"/>
    </row>
    <row r="2522" spans="1:17" x14ac:dyDescent="0.25">
      <c r="B2522" s="493"/>
      <c r="C2522" s="526"/>
      <c r="D2522" s="620" t="s">
        <v>71</v>
      </c>
      <c r="F2522" s="497"/>
      <c r="G2522" s="561" t="str">
        <f>IFERROR(VLOOKUP(D2522,'Precios Equipos'!$C$1:$F$5052,3,0),"")</f>
        <v/>
      </c>
      <c r="H2522" s="561" t="str">
        <f t="shared" si="231"/>
        <v/>
      </c>
      <c r="I2522" s="1087"/>
      <c r="J2522" s="1088"/>
      <c r="K2522" s="539"/>
      <c r="L2522" s="544" t="str">
        <f>+'Precios Equipos'!C129</f>
        <v>COBRE TABLERO TFV-AC 14 C2.1</v>
      </c>
      <c r="M2522" s="545">
        <f>IFERROR(VLOOKUP(L2522,'Precios Equipos'!$C$11:$F$208,3,0),0)</f>
        <v>13</v>
      </c>
      <c r="O2522" s="468"/>
      <c r="P2522" s="501"/>
    </row>
    <row r="2523" spans="1:17" x14ac:dyDescent="0.25">
      <c r="B2523" s="493"/>
      <c r="C2523" s="526">
        <v>9</v>
      </c>
      <c r="D2523" s="494" t="str">
        <f>+'Precios Equipos'!$C$18</f>
        <v>ITM 2x100A, Caja Moldeada 100A, 50kA en 220VAC, A1N/P, ABB</v>
      </c>
      <c r="F2523" s="495"/>
      <c r="G2523" s="561">
        <f>IFERROR(VLOOKUP(D2523,'Precios Equipos'!$C$1:$F$5052,3,0),"")</f>
        <v>138</v>
      </c>
      <c r="H2523" s="561">
        <f t="shared" si="231"/>
        <v>1242</v>
      </c>
      <c r="I2523" s="1087"/>
      <c r="J2523" s="1088"/>
      <c r="K2523" s="539"/>
      <c r="L2523" s="544" t="str">
        <f>+'Precios Equipos'!C132</f>
        <v>CABLEADO 1 DIFERENCIALES, 2P</v>
      </c>
      <c r="M2523" s="545">
        <f>IFERROR(VLOOKUP(L2523,'Precios Equipos'!$C$11:$F$208,3,0),0)</f>
        <v>37</v>
      </c>
      <c r="O2523" s="468"/>
      <c r="P2523" s="501"/>
      <c r="Q2523" s="465">
        <f>+C2523*$C$2513</f>
        <v>9</v>
      </c>
    </row>
    <row r="2524" spans="1:17" x14ac:dyDescent="0.25">
      <c r="B2524" s="493"/>
      <c r="C2524" s="526">
        <v>1</v>
      </c>
      <c r="D2524" s="494" t="str">
        <f>+'Precios Equipos'!$C$63</f>
        <v>Protector de sobretension SPD AC 3P+N, 230/400V, 1.5kV, 40kA</v>
      </c>
      <c r="F2524" s="495"/>
      <c r="G2524" s="561">
        <f>IFERROR(VLOOKUP(D2524,'Precios Equipos'!$C$1:$F$5052,3,0),"")</f>
        <v>38</v>
      </c>
      <c r="H2524" s="561">
        <f t="shared" si="231"/>
        <v>38</v>
      </c>
      <c r="I2524" s="1087"/>
      <c r="J2524" s="1088"/>
      <c r="K2524" s="539"/>
      <c r="L2524" s="544" t="str">
        <f>+'Precios Equipos'!C141</f>
        <v>Mano de obra 12-16 polos (6-8 ITM)</v>
      </c>
      <c r="M2524" s="545">
        <f>IFERROR(VLOOKUP(L2524,'Precios Equipos'!$C$11:$F$208,3,0),0)</f>
        <v>16</v>
      </c>
      <c r="O2524" s="468"/>
      <c r="P2524" s="501"/>
      <c r="Q2524" s="465">
        <f>+C2524*$C$2513</f>
        <v>1</v>
      </c>
    </row>
    <row r="2525" spans="1:17" x14ac:dyDescent="0.25">
      <c r="B2525" s="493"/>
      <c r="C2525" s="526"/>
      <c r="D2525" s="494"/>
      <c r="F2525" s="495"/>
      <c r="G2525" s="561" t="str">
        <f>IFERROR(VLOOKUP(D2525,'Precios Equipos'!$C$1:$F$5052,3,0),"")</f>
        <v/>
      </c>
      <c r="H2525" s="561" t="str">
        <f t="shared" si="231"/>
        <v/>
      </c>
      <c r="I2525" s="1087"/>
      <c r="J2525" s="1088"/>
      <c r="K2525" s="539"/>
      <c r="L2525" s="544" t="str">
        <f>+'Precios Equipos'!C162</f>
        <v>Mano de obra 1-2 Diferenciales</v>
      </c>
      <c r="M2525" s="545">
        <f>IFERROR(VLOOKUP(L2525,'Precios Equipos'!$C$11:$F$208,3,0),0)</f>
        <v>33</v>
      </c>
      <c r="O2525" s="468"/>
    </row>
    <row r="2526" spans="1:17" ht="16.5" thickBot="1" x14ac:dyDescent="0.3">
      <c r="B2526" s="493"/>
      <c r="C2526" s="526"/>
      <c r="D2526" s="620" t="s">
        <v>737</v>
      </c>
      <c r="F2526" s="495"/>
      <c r="G2526" s="561" t="str">
        <f>IFERROR(VLOOKUP(D2526,'Precios Equipos'!$C$1:$F$5052,3,0),"")</f>
        <v/>
      </c>
      <c r="H2526" s="561" t="str">
        <f t="shared" si="231"/>
        <v/>
      </c>
      <c r="I2526" s="1087"/>
      <c r="J2526" s="1088"/>
      <c r="K2526" s="539"/>
      <c r="L2526" s="544" t="str">
        <f>+'Precios Equipos'!C204</f>
        <v>Diseño Ingenieria Tableros Adosados</v>
      </c>
      <c r="M2526" s="545">
        <f>IFERROR(VLOOKUP(L2526,'Precios Equipos'!$C$11:$F$208,3,0),0)</f>
        <v>33</v>
      </c>
      <c r="O2526" s="468"/>
    </row>
    <row r="2527" spans="1:17" ht="16.5" thickBot="1" x14ac:dyDescent="0.3">
      <c r="B2527" s="493"/>
      <c r="C2527" s="526">
        <v>3</v>
      </c>
      <c r="D2527" s="494" t="str">
        <f>+'Precios Equipos'!$C$48</f>
        <v>Interruptor Riel Din 2x04A. S200 20kA en 230V en 250VAC, ABB</v>
      </c>
      <c r="F2527" s="495"/>
      <c r="G2527" s="561">
        <f>IFERROR(VLOOKUP(D2527,'Precios Equipos'!$C$1:$F$5052,3,0),"")</f>
        <v>162</v>
      </c>
      <c r="H2527" s="561">
        <f t="shared" si="231"/>
        <v>486</v>
      </c>
      <c r="I2527" s="1087"/>
      <c r="J2527" s="1088"/>
      <c r="K2527" s="539"/>
      <c r="L2527" s="546" t="s">
        <v>89</v>
      </c>
      <c r="M2527" s="560">
        <f>SUM(M2522:M2526)</f>
        <v>132</v>
      </c>
      <c r="O2527" s="468"/>
      <c r="Q2527" s="465">
        <f>+C2527*$C$2513</f>
        <v>3</v>
      </c>
    </row>
    <row r="2528" spans="1:17" x14ac:dyDescent="0.25">
      <c r="B2528" s="493"/>
      <c r="C2528" s="526"/>
      <c r="D2528" s="494"/>
      <c r="F2528" s="495"/>
      <c r="G2528" s="561" t="str">
        <f>IFERROR(VLOOKUP(D2528,'Precios Equipos'!$C$1:$F$5052,3,0),"")</f>
        <v/>
      </c>
      <c r="H2528" s="561" t="str">
        <f t="shared" si="231"/>
        <v/>
      </c>
      <c r="I2528" s="477"/>
      <c r="K2528" s="539"/>
      <c r="M2528" s="470"/>
      <c r="O2528" s="468"/>
    </row>
    <row r="2529" spans="1:17" x14ac:dyDescent="0.25">
      <c r="B2529" s="493"/>
      <c r="C2529" s="526"/>
      <c r="D2529" s="496" t="s">
        <v>87</v>
      </c>
      <c r="F2529" s="495"/>
      <c r="G2529" s="561"/>
      <c r="H2529" s="561">
        <f>M2527</f>
        <v>132</v>
      </c>
      <c r="I2529" s="561">
        <f>SUM(H2529)</f>
        <v>132</v>
      </c>
      <c r="J2529" s="924">
        <f>+I2529/H2533</f>
        <v>6.5024630541871922E-2</v>
      </c>
      <c r="K2529" s="539"/>
      <c r="M2529" s="470"/>
      <c r="O2529" s="468"/>
    </row>
    <row r="2530" spans="1:17" x14ac:dyDescent="0.25">
      <c r="B2530" s="493"/>
      <c r="C2530" s="526">
        <v>1</v>
      </c>
      <c r="D2530" s="494" t="s">
        <v>49</v>
      </c>
      <c r="F2530" s="495"/>
      <c r="G2530" s="561" t="str">
        <f>IFERROR(VLOOKUP(D2530,'Precios Equipos'!$C$1:$F$5052,3,0),"")</f>
        <v/>
      </c>
      <c r="H2530" s="561" t="str">
        <f t="shared" ref="H2530:H2532" si="232">IFERROR(G2530*C2530,"")</f>
        <v/>
      </c>
      <c r="I2530" s="1087">
        <f>SUM(H2530:H2531)</f>
        <v>0</v>
      </c>
      <c r="J2530" s="1088">
        <f>+I2530/H2533</f>
        <v>0</v>
      </c>
      <c r="K2530" s="539"/>
      <c r="M2530" s="470"/>
      <c r="O2530" s="468"/>
    </row>
    <row r="2531" spans="1:17" x14ac:dyDescent="0.25">
      <c r="B2531" s="493"/>
      <c r="C2531" s="526">
        <v>1</v>
      </c>
      <c r="D2531" s="494" t="s">
        <v>51</v>
      </c>
      <c r="F2531" s="495"/>
      <c r="G2531" s="561" t="str">
        <f>IFERROR(VLOOKUP(D2531,'Precios Equipos'!$C$1:$F$5052,3,0),"")</f>
        <v/>
      </c>
      <c r="H2531" s="561" t="str">
        <f t="shared" si="232"/>
        <v/>
      </c>
      <c r="I2531" s="1087"/>
      <c r="J2531" s="1088"/>
      <c r="K2531" s="539"/>
      <c r="M2531" s="470"/>
      <c r="O2531" s="468"/>
    </row>
    <row r="2532" spans="1:17" x14ac:dyDescent="0.25">
      <c r="B2532" s="493"/>
      <c r="C2532" s="526">
        <v>1</v>
      </c>
      <c r="D2532" s="467" t="s">
        <v>20</v>
      </c>
      <c r="F2532" s="495"/>
      <c r="G2532" s="561" t="str">
        <f>IFERROR(VLOOKUP(D2532,'Precios Equipos'!$C$1:$F$5052,3,0),"")</f>
        <v/>
      </c>
      <c r="H2532" s="561" t="str">
        <f t="shared" si="232"/>
        <v/>
      </c>
      <c r="I2532" s="477"/>
      <c r="J2532" s="973"/>
      <c r="K2532" s="539"/>
      <c r="M2532" s="470"/>
      <c r="O2532" s="468"/>
    </row>
    <row r="2533" spans="1:17" x14ac:dyDescent="0.25">
      <c r="B2533" s="493"/>
      <c r="C2533" s="526">
        <v>1</v>
      </c>
      <c r="D2533" s="467" t="s">
        <v>52</v>
      </c>
      <c r="F2533" s="495"/>
      <c r="G2533" s="553" t="s">
        <v>97</v>
      </c>
      <c r="H2533" s="561">
        <f>SUM(H2516:H2532)</f>
        <v>2030</v>
      </c>
      <c r="I2533" s="477"/>
      <c r="J2533" s="973"/>
      <c r="K2533" s="539"/>
      <c r="M2533" s="470"/>
      <c r="O2533" s="468"/>
    </row>
    <row r="2534" spans="1:17" x14ac:dyDescent="0.25">
      <c r="B2534" s="493"/>
      <c r="C2534" s="526">
        <v>1</v>
      </c>
      <c r="D2534" s="467" t="s">
        <v>21</v>
      </c>
      <c r="F2534" s="495"/>
      <c r="G2534" s="553" t="s">
        <v>105</v>
      </c>
      <c r="H2534" s="561">
        <f>H2533*$M$155</f>
        <v>406</v>
      </c>
      <c r="I2534" s="477"/>
      <c r="J2534" s="973"/>
      <c r="K2534" s="539"/>
      <c r="M2534" s="470"/>
      <c r="O2534" s="468"/>
    </row>
    <row r="2535" spans="1:17" x14ac:dyDescent="0.25">
      <c r="B2535" s="521"/>
      <c r="C2535" s="527" t="s">
        <v>17</v>
      </c>
      <c r="D2535" s="522" t="s">
        <v>48</v>
      </c>
      <c r="E2535" s="523"/>
      <c r="F2535" s="524"/>
      <c r="G2535" s="553" t="s">
        <v>452</v>
      </c>
      <c r="H2535" s="561">
        <f>H2533+H2534</f>
        <v>2436</v>
      </c>
      <c r="I2535" s="477"/>
      <c r="J2535" s="973"/>
      <c r="K2535" s="539"/>
      <c r="M2535" s="470"/>
      <c r="O2535" s="468"/>
    </row>
    <row r="2536" spans="1:17" x14ac:dyDescent="0.25">
      <c r="M2536" s="470"/>
    </row>
    <row r="2537" spans="1:17" s="463" customFormat="1" x14ac:dyDescent="0.25">
      <c r="B2537" s="555" t="s">
        <v>6</v>
      </c>
      <c r="C2537" s="515" t="s">
        <v>0</v>
      </c>
      <c r="D2537" s="525" t="s">
        <v>8</v>
      </c>
      <c r="E2537" s="556" t="s">
        <v>4</v>
      </c>
      <c r="F2537" s="556" t="s">
        <v>3</v>
      </c>
      <c r="G2537" s="477"/>
      <c r="H2537" s="477"/>
      <c r="I2537" s="477"/>
      <c r="J2537" s="925"/>
      <c r="K2537" s="477"/>
      <c r="M2537" s="478"/>
      <c r="N2537" s="468"/>
      <c r="Q2537" s="465"/>
    </row>
    <row r="2538" spans="1:17" x14ac:dyDescent="0.25">
      <c r="A2538" s="463">
        <v>152</v>
      </c>
      <c r="B2538" s="1077">
        <f>B134</f>
        <v>7.01</v>
      </c>
      <c r="C2538" s="1077">
        <f>C134</f>
        <v>54</v>
      </c>
      <c r="D2538" s="1089" t="str">
        <f>D134</f>
        <v>TABLERO GENERAL ADOSADO TGA 1-2X25A, 3-2X20A, DIFERENCIAL 3-2X30MA Y TABLERO EN AG 220V</v>
      </c>
      <c r="E2538" s="517">
        <f>H2556</f>
        <v>2082</v>
      </c>
      <c r="F2538" s="518">
        <f>+E2538*C2538</f>
        <v>112428</v>
      </c>
      <c r="G2538" s="553" t="s">
        <v>450</v>
      </c>
      <c r="H2538" s="553" t="s">
        <v>1</v>
      </c>
      <c r="I2538" s="477"/>
      <c r="K2538" s="539"/>
      <c r="M2538" s="470"/>
      <c r="O2538" s="468"/>
    </row>
    <row r="2539" spans="1:17" x14ac:dyDescent="0.25">
      <c r="B2539" s="1078"/>
      <c r="C2539" s="1078"/>
      <c r="D2539" s="1090"/>
      <c r="E2539" s="519" t="s">
        <v>50</v>
      </c>
      <c r="F2539" s="520" t="s">
        <v>50</v>
      </c>
      <c r="G2539" s="553" t="s">
        <v>50</v>
      </c>
      <c r="H2539" s="553" t="s">
        <v>50</v>
      </c>
      <c r="I2539" s="477"/>
      <c r="K2539" s="539"/>
      <c r="M2539" s="470"/>
      <c r="O2539" s="468"/>
    </row>
    <row r="2540" spans="1:17" x14ac:dyDescent="0.25">
      <c r="B2540" s="493"/>
      <c r="C2540" s="526"/>
      <c r="D2540" s="463"/>
      <c r="E2540" s="491"/>
      <c r="F2540" s="492"/>
      <c r="G2540" s="561" t="str">
        <f>IFERROR(VLOOKUP(D2540,'Precios Equipos'!$C$1:$F$5052,3,0),"")</f>
        <v/>
      </c>
      <c r="H2540" s="561" t="str">
        <f t="shared" ref="H2540:H2549" si="233">IFERROR(G2540*C2540,"")</f>
        <v/>
      </c>
      <c r="I2540" s="477"/>
      <c r="K2540" s="539"/>
      <c r="M2540" s="470"/>
      <c r="O2540" s="468"/>
    </row>
    <row r="2541" spans="1:17" ht="16.5" thickBot="1" x14ac:dyDescent="0.3">
      <c r="B2541" s="493"/>
      <c r="C2541" s="526">
        <v>1</v>
      </c>
      <c r="D2541" s="500" t="str">
        <f>+'Precios Equipos'!C177</f>
        <v>Gabinete Adosado 700x450x150mm. (alto x ancho x profundidad) dimensiones aproximadas</v>
      </c>
      <c r="F2541" s="495"/>
      <c r="G2541" s="561">
        <f>IFERROR(VLOOKUP(D2541,'Precios Equipos'!$C$1:$F$5052,3,0),"")</f>
        <v>54</v>
      </c>
      <c r="H2541" s="561">
        <f t="shared" si="233"/>
        <v>54</v>
      </c>
      <c r="I2541" s="561">
        <f>SUM(H2541)</f>
        <v>54</v>
      </c>
      <c r="J2541" s="924">
        <f>+I2541/H2554</f>
        <v>3.112391930835735E-2</v>
      </c>
      <c r="K2541" s="539"/>
      <c r="M2541" s="470"/>
      <c r="O2541" s="468"/>
      <c r="Q2541" s="465">
        <f>+C2541*$C$2538</f>
        <v>54</v>
      </c>
    </row>
    <row r="2542" spans="1:17" ht="16.5" thickBot="1" x14ac:dyDescent="0.3">
      <c r="B2542" s="493"/>
      <c r="C2542" s="526"/>
      <c r="D2542" s="494"/>
      <c r="F2542" s="495"/>
      <c r="G2542" s="561" t="str">
        <f>IFERROR(VLOOKUP(D2542,'Precios Equipos'!$C$1:$F$5052,3,0),"")</f>
        <v/>
      </c>
      <c r="H2542" s="561" t="str">
        <f t="shared" si="233"/>
        <v/>
      </c>
      <c r="I2542" s="477"/>
      <c r="K2542" s="539"/>
      <c r="L2542" s="540" t="s">
        <v>451</v>
      </c>
      <c r="M2542" s="541"/>
      <c r="O2542" s="468"/>
      <c r="P2542" s="501"/>
    </row>
    <row r="2543" spans="1:17" ht="16.5" thickBot="1" x14ac:dyDescent="0.3">
      <c r="B2543" s="493"/>
      <c r="C2543" s="526"/>
      <c r="D2543" s="620" t="s">
        <v>70</v>
      </c>
      <c r="F2543" s="495"/>
      <c r="G2543" s="561" t="str">
        <f>IFERROR(VLOOKUP(D2543,'Precios Equipos'!$C$1:$F$5052,3,0),"")</f>
        <v/>
      </c>
      <c r="H2543" s="561" t="str">
        <f t="shared" si="233"/>
        <v/>
      </c>
      <c r="I2543" s="477"/>
      <c r="K2543" s="539"/>
      <c r="L2543" s="542" t="s">
        <v>88</v>
      </c>
      <c r="M2543" s="543" t="s">
        <v>85</v>
      </c>
      <c r="O2543" s="468"/>
      <c r="P2543" s="501"/>
    </row>
    <row r="2544" spans="1:17" x14ac:dyDescent="0.25">
      <c r="B2544" s="493"/>
      <c r="C2544" s="526">
        <v>1</v>
      </c>
      <c r="D2544" s="494" t="str">
        <f>+'Precios Equipos'!C14</f>
        <v>ITM 2x25A, Caja Moldeada, 50kA en 220VAC, A1N, ABB</v>
      </c>
      <c r="F2544" s="497"/>
      <c r="G2544" s="561">
        <f>IFERROR(VLOOKUP(D2544,'Precios Equipos'!$C$1:$F$5052,3,0),"")</f>
        <v>110</v>
      </c>
      <c r="H2544" s="561">
        <f t="shared" si="233"/>
        <v>110</v>
      </c>
      <c r="I2544" s="561">
        <f>SUM(H2544)</f>
        <v>110</v>
      </c>
      <c r="J2544" s="924">
        <f>+I2544/H2554</f>
        <v>6.3400576368876083E-2</v>
      </c>
      <c r="K2544" s="539"/>
      <c r="L2544" s="544" t="str">
        <f>+'Precios Equipos'!C111</f>
        <v>SISTEMA DE BARRAS 08-10 POLOS</v>
      </c>
      <c r="M2544" s="545">
        <f>IFERROR(VLOOKUP(L2544,'Precios Equipos'!$C$11:$F$208,3,0),0)</f>
        <v>23</v>
      </c>
      <c r="O2544" s="468"/>
      <c r="P2544" s="501"/>
      <c r="Q2544" s="465">
        <f>+C2544*$C$2538</f>
        <v>54</v>
      </c>
    </row>
    <row r="2545" spans="1:17" x14ac:dyDescent="0.25">
      <c r="B2545" s="493"/>
      <c r="C2545" s="526"/>
      <c r="D2545" s="494"/>
      <c r="F2545" s="497"/>
      <c r="G2545" s="561" t="str">
        <f>IFERROR(VLOOKUP(D2545,'Precios Equipos'!$C$1:$F$5052,3,0),"")</f>
        <v/>
      </c>
      <c r="H2545" s="561" t="str">
        <f t="shared" si="233"/>
        <v/>
      </c>
      <c r="I2545" s="477"/>
      <c r="K2545" s="539"/>
      <c r="L2545" s="544" t="str">
        <f>+'Precios Equipos'!C132</f>
        <v>CABLEADO 1 DIFERENCIALES, 2P</v>
      </c>
      <c r="M2545" s="545">
        <f>IFERROR(VLOOKUP(L2545,'Precios Equipos'!$C$11:$F$208,3,0),0)</f>
        <v>37</v>
      </c>
      <c r="O2545" s="468"/>
    </row>
    <row r="2546" spans="1:17" x14ac:dyDescent="0.25">
      <c r="B2546" s="493"/>
      <c r="C2546" s="526"/>
      <c r="D2546" s="620" t="s">
        <v>71</v>
      </c>
      <c r="F2546" s="497"/>
      <c r="G2546" s="561" t="str">
        <f>IFERROR(VLOOKUP(D2546,'Precios Equipos'!$C$1:$F$5052,3,0),"")</f>
        <v/>
      </c>
      <c r="H2546" s="561" t="str">
        <f t="shared" si="233"/>
        <v/>
      </c>
      <c r="I2546" s="477"/>
      <c r="K2546" s="539"/>
      <c r="L2546" s="544" t="str">
        <f>+'Precios Equipos'!C140</f>
        <v>Mano de obra 6-10 polos (3-5 ITM)</v>
      </c>
      <c r="M2546" s="545">
        <f>IFERROR(VLOOKUP(L2546,'Precios Equipos'!$C$11:$F$208,3,0),0)</f>
        <v>17</v>
      </c>
      <c r="O2546" s="468"/>
    </row>
    <row r="2547" spans="1:17" x14ac:dyDescent="0.25">
      <c r="B2547" s="493"/>
      <c r="C2547" s="526">
        <v>3</v>
      </c>
      <c r="D2547" s="494" t="str">
        <f>+'Precios Equipos'!C50</f>
        <v>Interruptor Riel Din 2x25A. S202 20kA en 220VAC, ABB</v>
      </c>
      <c r="F2547" s="497"/>
      <c r="G2547" s="561">
        <f>IFERROR(VLOOKUP(D2547,'Precios Equipos'!$C$1:$F$5052,3,0),"")</f>
        <v>263</v>
      </c>
      <c r="H2547" s="561">
        <f t="shared" si="233"/>
        <v>789</v>
      </c>
      <c r="I2547" s="1087">
        <f>SUM(H2547:H2548)</f>
        <v>1428</v>
      </c>
      <c r="J2547" s="1088">
        <f>+I2547/H2554</f>
        <v>0.82305475504322767</v>
      </c>
      <c r="K2547" s="539"/>
      <c r="L2547" s="544" t="str">
        <f>+'Precios Equipos'!C162</f>
        <v>Mano de obra 1-2 Diferenciales</v>
      </c>
      <c r="M2547" s="545">
        <f>IFERROR(VLOOKUP(L2547,'Precios Equipos'!$C$11:$F$208,3,0),0)</f>
        <v>33</v>
      </c>
      <c r="O2547" s="468"/>
      <c r="Q2547" s="465">
        <f>+C2547*$C$2538</f>
        <v>162</v>
      </c>
    </row>
    <row r="2548" spans="1:17" ht="16.5" thickBot="1" x14ac:dyDescent="0.3">
      <c r="B2548" s="493"/>
      <c r="C2548" s="526">
        <v>3</v>
      </c>
      <c r="D2548" s="494" t="str">
        <f>+'Precios Equipos'!C58</f>
        <v>Interruptores Diferenciales 2x25A, 30mA, Tipo AC, F200, ABB</v>
      </c>
      <c r="F2548" s="495"/>
      <c r="G2548" s="561">
        <f>IFERROR(VLOOKUP(D2548,'Precios Equipos'!$C$1:$F$5052,3,0),"")</f>
        <v>213</v>
      </c>
      <c r="H2548" s="561">
        <f t="shared" si="233"/>
        <v>639</v>
      </c>
      <c r="I2548" s="1087"/>
      <c r="J2548" s="1088"/>
      <c r="K2548" s="539"/>
      <c r="L2548" s="544" t="str">
        <f>+'Precios Equipos'!C204</f>
        <v>Diseño Ingenieria Tableros Adosados</v>
      </c>
      <c r="M2548" s="545">
        <f>IFERROR(VLOOKUP(L2548,'Precios Equipos'!$C$11:$F$208,3,0),0)</f>
        <v>33</v>
      </c>
      <c r="O2548" s="468"/>
      <c r="Q2548" s="465">
        <f>+C2548*$C$2538</f>
        <v>162</v>
      </c>
    </row>
    <row r="2549" spans="1:17" ht="16.5" thickBot="1" x14ac:dyDescent="0.3">
      <c r="B2549" s="493"/>
      <c r="C2549" s="526"/>
      <c r="D2549" s="494"/>
      <c r="F2549" s="495"/>
      <c r="G2549" s="561" t="str">
        <f>IFERROR(VLOOKUP(D2549,'Precios Equipos'!$C$1:$F$5052,3,0),"")</f>
        <v/>
      </c>
      <c r="H2549" s="561" t="str">
        <f t="shared" si="233"/>
        <v/>
      </c>
      <c r="I2549" s="477"/>
      <c r="K2549" s="539"/>
      <c r="L2549" s="546" t="s">
        <v>89</v>
      </c>
      <c r="M2549" s="560">
        <f>SUM(M2544:M2548)</f>
        <v>143</v>
      </c>
      <c r="O2549" s="468"/>
    </row>
    <row r="2550" spans="1:17" x14ac:dyDescent="0.25">
      <c r="B2550" s="493"/>
      <c r="C2550" s="526"/>
      <c r="D2550" s="496" t="s">
        <v>87</v>
      </c>
      <c r="F2550" s="495"/>
      <c r="G2550" s="561"/>
      <c r="H2550" s="561">
        <f>M2549</f>
        <v>143</v>
      </c>
      <c r="I2550" s="561">
        <f>SUM(H2550)</f>
        <v>143</v>
      </c>
      <c r="J2550" s="924">
        <f>+I2550/H2554</f>
        <v>8.2420749279538907E-2</v>
      </c>
      <c r="K2550" s="539"/>
      <c r="M2550" s="470"/>
      <c r="O2550" s="468"/>
    </row>
    <row r="2551" spans="1:17" x14ac:dyDescent="0.25">
      <c r="B2551" s="493"/>
      <c r="C2551" s="526">
        <v>1</v>
      </c>
      <c r="D2551" s="494" t="s">
        <v>49</v>
      </c>
      <c r="F2551" s="495"/>
      <c r="G2551" s="561" t="str">
        <f>IFERROR(VLOOKUP(D2551,'Precios Equipos'!$C$1:$F$5052,3,0),"")</f>
        <v/>
      </c>
      <c r="H2551" s="561" t="str">
        <f t="shared" ref="H2551:H2552" si="234">IFERROR(G2551*C2551,"")</f>
        <v/>
      </c>
      <c r="I2551" s="1087">
        <f>SUM(H2551:H2552)</f>
        <v>0</v>
      </c>
      <c r="J2551" s="1088">
        <f>+I2551/H2554</f>
        <v>0</v>
      </c>
      <c r="K2551" s="539"/>
      <c r="M2551" s="470"/>
      <c r="O2551" s="468"/>
    </row>
    <row r="2552" spans="1:17" x14ac:dyDescent="0.25">
      <c r="B2552" s="493"/>
      <c r="C2552" s="526">
        <v>1</v>
      </c>
      <c r="D2552" s="494" t="s">
        <v>51</v>
      </c>
      <c r="F2552" s="495"/>
      <c r="G2552" s="561" t="str">
        <f>IFERROR(VLOOKUP(D2552,'Precios Equipos'!$C$1:$F$5052,3,0),"")</f>
        <v/>
      </c>
      <c r="H2552" s="561" t="str">
        <f t="shared" si="234"/>
        <v/>
      </c>
      <c r="I2552" s="1087"/>
      <c r="J2552" s="1088"/>
      <c r="K2552" s="539"/>
      <c r="M2552" s="470"/>
      <c r="O2552" s="468"/>
    </row>
    <row r="2553" spans="1:17" x14ac:dyDescent="0.25">
      <c r="B2553" s="493"/>
      <c r="C2553" s="526">
        <v>1</v>
      </c>
      <c r="D2553" s="467" t="s">
        <v>20</v>
      </c>
      <c r="F2553" s="495"/>
      <c r="G2553" s="561"/>
      <c r="H2553" s="561"/>
      <c r="I2553" s="477"/>
      <c r="J2553" s="973"/>
      <c r="K2553" s="539"/>
    </row>
    <row r="2554" spans="1:17" x14ac:dyDescent="0.25">
      <c r="B2554" s="493"/>
      <c r="C2554" s="526">
        <v>1</v>
      </c>
      <c r="D2554" s="467" t="s">
        <v>52</v>
      </c>
      <c r="F2554" s="495"/>
      <c r="G2554" s="553" t="s">
        <v>97</v>
      </c>
      <c r="H2554" s="561">
        <f>SUM(H2541:H2553)</f>
        <v>1735</v>
      </c>
      <c r="I2554" s="477"/>
      <c r="J2554" s="973"/>
      <c r="K2554" s="539"/>
    </row>
    <row r="2555" spans="1:17" x14ac:dyDescent="0.25">
      <c r="B2555" s="493"/>
      <c r="C2555" s="526">
        <v>1</v>
      </c>
      <c r="D2555" s="467" t="s">
        <v>21</v>
      </c>
      <c r="F2555" s="495"/>
      <c r="G2555" s="553" t="s">
        <v>105</v>
      </c>
      <c r="H2555" s="561">
        <f>H2554*$M$156</f>
        <v>347</v>
      </c>
      <c r="I2555" s="477"/>
      <c r="J2555" s="973"/>
      <c r="K2555" s="539"/>
    </row>
    <row r="2556" spans="1:17" x14ac:dyDescent="0.25">
      <c r="B2556" s="521"/>
      <c r="C2556" s="527" t="s">
        <v>17</v>
      </c>
      <c r="D2556" s="522" t="s">
        <v>48</v>
      </c>
      <c r="E2556" s="523"/>
      <c r="F2556" s="524"/>
      <c r="G2556" s="553" t="s">
        <v>452</v>
      </c>
      <c r="H2556" s="561">
        <f>H2554+H2555</f>
        <v>2082</v>
      </c>
      <c r="I2556" s="477"/>
      <c r="J2556" s="973"/>
      <c r="K2556" s="539"/>
    </row>
    <row r="2558" spans="1:17" x14ac:dyDescent="0.25">
      <c r="B2558" s="556" t="s">
        <v>6</v>
      </c>
      <c r="C2558" s="556" t="s">
        <v>0</v>
      </c>
      <c r="D2558" s="555" t="s">
        <v>8</v>
      </c>
      <c r="E2558" s="556" t="s">
        <v>4</v>
      </c>
      <c r="F2558" s="556" t="s">
        <v>3</v>
      </c>
      <c r="G2558" s="477"/>
      <c r="H2558" s="477"/>
      <c r="I2558" s="477"/>
      <c r="K2558" s="539"/>
    </row>
    <row r="2559" spans="1:17" x14ac:dyDescent="0.25">
      <c r="A2559" s="463">
        <v>152</v>
      </c>
      <c r="B2559" s="1077">
        <f>B136</f>
        <v>8.01</v>
      </c>
      <c r="C2559" s="1077">
        <f>C136</f>
        <v>17</v>
      </c>
      <c r="D2559" s="1093" t="str">
        <f>D136</f>
        <v>GABINETE DE CONTROL IP54 1000X700X300MM AUTOSOPORTADO (Domiciliario)</v>
      </c>
      <c r="E2559" s="518">
        <f>H2581</f>
        <v>1062.5</v>
      </c>
      <c r="F2559" s="518">
        <f>+E2559*C2559</f>
        <v>18062.5</v>
      </c>
      <c r="G2559" s="553" t="s">
        <v>450</v>
      </c>
      <c r="H2559" s="553" t="s">
        <v>1</v>
      </c>
      <c r="I2559" s="477"/>
      <c r="K2559" s="539"/>
    </row>
    <row r="2560" spans="1:17" x14ac:dyDescent="0.25">
      <c r="B2560" s="1078"/>
      <c r="C2560" s="1078"/>
      <c r="D2560" s="1080"/>
      <c r="E2560" s="520" t="s">
        <v>50</v>
      </c>
      <c r="F2560" s="520" t="s">
        <v>50</v>
      </c>
      <c r="G2560" s="553" t="s">
        <v>50</v>
      </c>
      <c r="H2560" s="553" t="s">
        <v>50</v>
      </c>
      <c r="I2560" s="477"/>
      <c r="K2560" s="539"/>
    </row>
    <row r="2561" spans="2:17" ht="16.5" thickBot="1" x14ac:dyDescent="0.3">
      <c r="B2561" s="493"/>
      <c r="C2561" s="526"/>
      <c r="D2561" s="463"/>
      <c r="E2561" s="491"/>
      <c r="F2561" s="492"/>
      <c r="G2561" s="561" t="str">
        <f>IFERROR(VLOOKUP(D2561,'Precios Equipos'!$C$1:$F$5052,3,0),"")</f>
        <v/>
      </c>
      <c r="H2561" s="561" t="str">
        <f t="shared" ref="H2561:H2574" si="235">IFERROR(G2561*C2561,"")</f>
        <v/>
      </c>
      <c r="I2561" s="477"/>
      <c r="K2561" s="539"/>
    </row>
    <row r="2562" spans="2:17" ht="16.5" thickBot="1" x14ac:dyDescent="0.3">
      <c r="B2562" s="493"/>
      <c r="C2562" s="526">
        <v>1</v>
      </c>
      <c r="D2562" s="500" t="str">
        <f>+'Precios Equipos'!C176</f>
        <v>Gabinete Metalico 1000x700x300mm. (Alto x Ancho x Profundidad)</v>
      </c>
      <c r="F2562" s="495"/>
      <c r="G2562" s="561">
        <f>IFERROR(VLOOKUP(D2562,'Precios Equipos'!$C$1:$F$5052,3,0),"")</f>
        <v>0</v>
      </c>
      <c r="H2562" s="561">
        <f t="shared" si="235"/>
        <v>0</v>
      </c>
      <c r="I2562" s="561">
        <f>SUM(H2562:H2565)</f>
        <v>102</v>
      </c>
      <c r="J2562" s="924">
        <f>+I2562/H2579</f>
        <v>0.12</v>
      </c>
      <c r="K2562" s="539"/>
      <c r="L2562" s="1130" t="s">
        <v>451</v>
      </c>
      <c r="M2562" s="1131"/>
      <c r="O2562" s="468"/>
      <c r="Q2562" s="465">
        <f>+C2562*$C$2559</f>
        <v>17</v>
      </c>
    </row>
    <row r="2563" spans="2:17" ht="16.5" thickBot="1" x14ac:dyDescent="0.3">
      <c r="B2563" s="493"/>
      <c r="C2563" s="526">
        <v>2</v>
      </c>
      <c r="D2563" s="494" t="str">
        <f>+'Precios Equipos'!C69</f>
        <v>Rejilla de ventilacion 152x152</v>
      </c>
      <c r="F2563" s="495"/>
      <c r="G2563" s="561">
        <f>IFERROR(VLOOKUP(D2563,'Precios Equipos'!$C$1:$F$5052,3,0),"")</f>
        <v>34</v>
      </c>
      <c r="H2563" s="561">
        <f t="shared" si="235"/>
        <v>68</v>
      </c>
      <c r="I2563" s="477"/>
      <c r="K2563" s="539"/>
      <c r="L2563" s="608" t="s">
        <v>88</v>
      </c>
      <c r="M2563" s="610" t="s">
        <v>85</v>
      </c>
      <c r="O2563" s="468"/>
      <c r="P2563" s="501"/>
      <c r="Q2563" s="465">
        <f>+C2563*$C$2559</f>
        <v>34</v>
      </c>
    </row>
    <row r="2564" spans="2:17" x14ac:dyDescent="0.25">
      <c r="B2564" s="493"/>
      <c r="C2564" s="526">
        <v>1</v>
      </c>
      <c r="D2564" s="494" t="str">
        <f>+'Precios Equipos'!C73</f>
        <v>Soporte de elevacion para Gabinete Metalico</v>
      </c>
      <c r="F2564" s="495"/>
      <c r="G2564" s="561">
        <f>IFERROR(VLOOKUP(D2564,'Precios Equipos'!$C$1:$F$5052,3,0),"")</f>
        <v>17</v>
      </c>
      <c r="H2564" s="561">
        <f t="shared" si="235"/>
        <v>17</v>
      </c>
      <c r="I2564" s="477"/>
      <c r="K2564" s="539"/>
      <c r="L2564" s="607" t="str">
        <f>+'Precios Equipos'!C164</f>
        <v>M. Obra Electricidad Tablero Domiciliario</v>
      </c>
      <c r="M2564" s="611">
        <v>80</v>
      </c>
      <c r="O2564" s="468"/>
      <c r="P2564" s="501"/>
      <c r="Q2564" s="465">
        <f>+C2564*$C$2559</f>
        <v>17</v>
      </c>
    </row>
    <row r="2565" spans="2:17" x14ac:dyDescent="0.25">
      <c r="B2565" s="493"/>
      <c r="C2565" s="526">
        <v>1</v>
      </c>
      <c r="D2565" s="494" t="str">
        <f>+'Precios Equipos'!C74</f>
        <v>Soporte para caja de PVC (Inc. Riel, Tuberia Flexible y conectores)</v>
      </c>
      <c r="F2565" s="497"/>
      <c r="G2565" s="561">
        <f>IFERROR(VLOOKUP(D2565,'Precios Equipos'!$C$1:$F$5052,3,0),"")</f>
        <v>17</v>
      </c>
      <c r="H2565" s="561">
        <f t="shared" si="235"/>
        <v>17</v>
      </c>
      <c r="I2565" s="561">
        <f>SUM(H2565)</f>
        <v>17</v>
      </c>
      <c r="J2565" s="924">
        <f>+I2565/H2579</f>
        <v>0.02</v>
      </c>
      <c r="K2565" s="539"/>
      <c r="L2565" s="607" t="str">
        <f>+'Precios Equipos'!C165</f>
        <v>Cableado, canaletas, borneras Tablero Domiciliario</v>
      </c>
      <c r="M2565" s="611">
        <v>90</v>
      </c>
      <c r="O2565" s="468"/>
      <c r="P2565" s="501"/>
      <c r="Q2565" s="465">
        <f>+C2565*$C$2559</f>
        <v>17</v>
      </c>
    </row>
    <row r="2566" spans="2:17" ht="16.5" thickBot="1" x14ac:dyDescent="0.3">
      <c r="B2566" s="493"/>
      <c r="C2566" s="526"/>
      <c r="D2566" s="494"/>
      <c r="F2566" s="497"/>
      <c r="G2566" s="561" t="str">
        <f>IFERROR(VLOOKUP(D2566,'Precios Equipos'!$C$1:$F$5052,3,0),"")</f>
        <v/>
      </c>
      <c r="H2566" s="561" t="str">
        <f t="shared" si="235"/>
        <v/>
      </c>
      <c r="I2566" s="477"/>
      <c r="K2566" s="539"/>
      <c r="L2566" s="607" t="str">
        <f>+'Precios Equipos'!C166</f>
        <v>M. menores Tablero Domiciliario</v>
      </c>
      <c r="M2566" s="612">
        <v>20</v>
      </c>
      <c r="O2566" s="468"/>
    </row>
    <row r="2567" spans="2:17" ht="16.5" thickBot="1" x14ac:dyDescent="0.3">
      <c r="B2567" s="493"/>
      <c r="C2567" s="588"/>
      <c r="D2567" s="720" t="s">
        <v>568</v>
      </c>
      <c r="E2567" s="590"/>
      <c r="F2567" s="591"/>
      <c r="G2567" s="561" t="str">
        <f>IFERROR(VLOOKUP(D2567,'Precios Equipos'!$C$1:$F$5052,3,0),"")</f>
        <v/>
      </c>
      <c r="H2567" s="561" t="str">
        <f t="shared" si="235"/>
        <v/>
      </c>
      <c r="I2567" s="477"/>
      <c r="K2567" s="539"/>
      <c r="L2567" s="609" t="s">
        <v>589</v>
      </c>
      <c r="M2567" s="613">
        <v>190</v>
      </c>
      <c r="O2567" s="468"/>
    </row>
    <row r="2568" spans="2:17" x14ac:dyDescent="0.25">
      <c r="B2568" s="493"/>
      <c r="C2568" s="588"/>
      <c r="D2568" s="720" t="s">
        <v>584</v>
      </c>
      <c r="E2568" s="590"/>
      <c r="F2568" s="591"/>
      <c r="G2568" s="561" t="str">
        <f>IFERROR(VLOOKUP(D2568,'Precios Equipos'!$C$1:$F$5052,3,0),"")</f>
        <v/>
      </c>
      <c r="H2568" s="561" t="str">
        <f t="shared" si="235"/>
        <v/>
      </c>
      <c r="I2568" s="1087">
        <f>SUM(H2568:H2573)</f>
        <v>558</v>
      </c>
      <c r="J2568" s="1088">
        <f>+I2568/H2579</f>
        <v>0.65647058823529414</v>
      </c>
      <c r="K2568" s="539"/>
      <c r="L2568" s="593"/>
      <c r="M2568" s="594"/>
      <c r="O2568" s="468"/>
    </row>
    <row r="2569" spans="2:17" x14ac:dyDescent="0.25">
      <c r="B2569" s="493"/>
      <c r="C2569" s="205">
        <v>1</v>
      </c>
      <c r="D2569" s="592" t="s">
        <v>585</v>
      </c>
      <c r="E2569" s="757" t="s">
        <v>575</v>
      </c>
      <c r="F2569" s="722"/>
      <c r="G2569" s="561" t="str">
        <f>IFERROR(VLOOKUP(D2569,'Precios Equipos'!$C$1:$F$5052,3,0),"")</f>
        <v/>
      </c>
      <c r="H2569" s="561" t="str">
        <f t="shared" si="235"/>
        <v/>
      </c>
      <c r="I2569" s="1087"/>
      <c r="J2569" s="1088"/>
      <c r="K2569" s="539"/>
      <c r="L2569" s="593"/>
      <c r="M2569" s="594"/>
      <c r="O2569" s="468"/>
      <c r="Q2569" s="465">
        <f>+C2569*$C$2559</f>
        <v>17</v>
      </c>
    </row>
    <row r="2570" spans="2:17" x14ac:dyDescent="0.25">
      <c r="B2570" s="493"/>
      <c r="C2570" s="205">
        <v>1</v>
      </c>
      <c r="D2570" s="592" t="s">
        <v>586</v>
      </c>
      <c r="E2570" s="757" t="s">
        <v>575</v>
      </c>
      <c r="F2570" s="722"/>
      <c r="G2570" s="561" t="str">
        <f>IFERROR(VLOOKUP(D2570,'Precios Equipos'!$C$1:$F$5052,3,0),"")</f>
        <v/>
      </c>
      <c r="H2570" s="561" t="str">
        <f t="shared" si="235"/>
        <v/>
      </c>
      <c r="I2570" s="1087"/>
      <c r="J2570" s="1088"/>
      <c r="K2570" s="539"/>
      <c r="L2570" s="593"/>
      <c r="M2570" s="594"/>
      <c r="O2570" s="468"/>
      <c r="Q2570" s="465">
        <f>+C2570*$C$2559</f>
        <v>17</v>
      </c>
    </row>
    <row r="2571" spans="2:17" x14ac:dyDescent="0.25">
      <c r="B2571" s="493"/>
      <c r="C2571" s="205">
        <v>1</v>
      </c>
      <c r="D2571" s="592" t="s">
        <v>587</v>
      </c>
      <c r="E2571" s="757" t="s">
        <v>575</v>
      </c>
      <c r="F2571" s="722"/>
      <c r="G2571" s="561" t="str">
        <f>IFERROR(VLOOKUP(D2571,'Precios Equipos'!$C$1:$F$5052,3,0),"")</f>
        <v/>
      </c>
      <c r="H2571" s="561" t="str">
        <f t="shared" si="235"/>
        <v/>
      </c>
      <c r="I2571" s="1087"/>
      <c r="J2571" s="1088"/>
      <c r="K2571" s="539"/>
      <c r="L2571" s="593"/>
      <c r="M2571" s="594"/>
      <c r="O2571" s="468"/>
      <c r="Q2571" s="465">
        <f>+C2571*$C$2559</f>
        <v>17</v>
      </c>
    </row>
    <row r="2572" spans="2:17" x14ac:dyDescent="0.25">
      <c r="B2572" s="493"/>
      <c r="C2572" s="205">
        <v>1</v>
      </c>
      <c r="D2572" s="592" t="str">
        <f>+'Precios Equipos'!C60</f>
        <v>Protector de sobretension SPD DC 2P, 1000V DC, CLAMPER/DC SURGE PROTECCION</v>
      </c>
      <c r="E2572" s="595"/>
      <c r="F2572" s="722"/>
      <c r="G2572" s="561">
        <f>IFERROR(VLOOKUP(D2572,'Precios Equipos'!$C$1:$F$5052,3,0),"")</f>
        <v>405</v>
      </c>
      <c r="H2572" s="561">
        <f t="shared" si="235"/>
        <v>405</v>
      </c>
      <c r="I2572" s="1087"/>
      <c r="J2572" s="1088"/>
      <c r="K2572" s="539"/>
      <c r="L2572" s="593"/>
      <c r="M2572" s="594"/>
      <c r="O2572" s="468"/>
      <c r="Q2572" s="465">
        <f>+C2572*$C$2559</f>
        <v>17</v>
      </c>
    </row>
    <row r="2573" spans="2:17" x14ac:dyDescent="0.25">
      <c r="B2573" s="493"/>
      <c r="C2573" s="588">
        <v>3</v>
      </c>
      <c r="D2573" s="589" t="str">
        <f>+'Precios Equipos'!C56</f>
        <v>Interruptor Riel Din 2x32A. S202M 20kA en 250VDC, ABB</v>
      </c>
      <c r="E2573" s="592"/>
      <c r="F2573" s="591"/>
      <c r="G2573" s="561">
        <f>IFERROR(VLOOKUP(D2573,'Precios Equipos'!$C$1:$F$5052,3,0),"")</f>
        <v>51</v>
      </c>
      <c r="H2573" s="561">
        <f>IFERROR(G2573*C2573,"")</f>
        <v>153</v>
      </c>
      <c r="I2573" s="1087"/>
      <c r="J2573" s="1088"/>
      <c r="K2573" s="539"/>
      <c r="M2573" s="470"/>
      <c r="O2573" s="468"/>
      <c r="Q2573" s="465">
        <f>+C2573*$C$2559</f>
        <v>51</v>
      </c>
    </row>
    <row r="2574" spans="2:17" x14ac:dyDescent="0.25">
      <c r="B2574" s="493"/>
      <c r="C2574" s="526"/>
      <c r="D2574" s="494"/>
      <c r="F2574" s="495"/>
      <c r="G2574" s="561" t="str">
        <f>IFERROR(VLOOKUP(D2574,'Precios Equipos'!$C$1:$F$5052,3,0),"")</f>
        <v/>
      </c>
      <c r="H2574" s="561" t="str">
        <f t="shared" si="235"/>
        <v/>
      </c>
      <c r="I2574" s="477"/>
      <c r="K2574" s="539"/>
      <c r="M2574" s="470"/>
      <c r="O2574" s="468"/>
    </row>
    <row r="2575" spans="2:17" x14ac:dyDescent="0.25">
      <c r="B2575" s="493"/>
      <c r="C2575" s="526"/>
      <c r="D2575" s="620" t="s">
        <v>87</v>
      </c>
      <c r="F2575" s="495"/>
      <c r="G2575" s="561"/>
      <c r="H2575" s="561">
        <f>M2567</f>
        <v>190</v>
      </c>
      <c r="I2575" s="561">
        <f>SUM(H2575)</f>
        <v>190</v>
      </c>
      <c r="J2575" s="924">
        <f>+I2575/H2579</f>
        <v>0.22352941176470589</v>
      </c>
      <c r="K2575" s="539"/>
      <c r="M2575" s="470"/>
      <c r="O2575" s="468"/>
    </row>
    <row r="2576" spans="2:17" x14ac:dyDescent="0.25">
      <c r="B2576" s="493"/>
      <c r="C2576" s="526">
        <v>1</v>
      </c>
      <c r="D2576" s="494" t="s">
        <v>49</v>
      </c>
      <c r="F2576" s="495"/>
      <c r="G2576" s="561"/>
      <c r="H2576" s="561">
        <f>$O$153</f>
        <v>0</v>
      </c>
      <c r="I2576" s="1087">
        <f>SUM(H2576:H2577)</f>
        <v>0</v>
      </c>
      <c r="J2576" s="1088">
        <f>+I2576/H2579</f>
        <v>0</v>
      </c>
      <c r="K2576" s="539"/>
      <c r="M2576" s="470"/>
      <c r="O2576" s="468"/>
    </row>
    <row r="2577" spans="1:17" x14ac:dyDescent="0.25">
      <c r="B2577" s="493"/>
      <c r="C2577" s="526"/>
      <c r="D2577" s="494"/>
      <c r="F2577" s="495"/>
      <c r="G2577" s="561"/>
      <c r="H2577" s="561">
        <f>$O$154</f>
        <v>0</v>
      </c>
      <c r="I2577" s="1087"/>
      <c r="J2577" s="1088"/>
      <c r="K2577" s="539"/>
      <c r="M2577" s="470"/>
      <c r="O2577" s="468"/>
    </row>
    <row r="2578" spans="1:17" x14ac:dyDescent="0.25">
      <c r="B2578" s="493"/>
      <c r="C2578" s="526">
        <v>1</v>
      </c>
      <c r="D2578" s="467" t="s">
        <v>20</v>
      </c>
      <c r="F2578" s="495"/>
      <c r="G2578" s="561"/>
      <c r="H2578" s="561"/>
      <c r="I2578" s="477"/>
      <c r="J2578" s="973"/>
      <c r="K2578" s="539"/>
      <c r="M2578" s="470"/>
      <c r="O2578" s="468"/>
    </row>
    <row r="2579" spans="1:17" x14ac:dyDescent="0.25">
      <c r="B2579" s="493"/>
      <c r="C2579" s="526">
        <v>1</v>
      </c>
      <c r="D2579" s="467" t="s">
        <v>52</v>
      </c>
      <c r="F2579" s="495"/>
      <c r="G2579" s="553" t="s">
        <v>97</v>
      </c>
      <c r="H2579" s="561">
        <f>SUM(H2562:H2578)</f>
        <v>850</v>
      </c>
      <c r="I2579" s="477"/>
      <c r="J2579" s="973"/>
      <c r="K2579" s="539"/>
      <c r="M2579" s="470"/>
      <c r="O2579" s="468"/>
    </row>
    <row r="2580" spans="1:17" x14ac:dyDescent="0.25">
      <c r="B2580" s="493"/>
      <c r="C2580" s="526">
        <v>1</v>
      </c>
      <c r="D2580" s="467" t="s">
        <v>21</v>
      </c>
      <c r="F2580" s="495"/>
      <c r="G2580" s="553" t="s">
        <v>105</v>
      </c>
      <c r="H2580" s="561">
        <f>H2579*$M$159</f>
        <v>212.5</v>
      </c>
      <c r="I2580" s="477"/>
      <c r="J2580" s="973"/>
      <c r="K2580" s="539"/>
      <c r="M2580" s="470"/>
      <c r="O2580" s="468"/>
    </row>
    <row r="2581" spans="1:17" x14ac:dyDescent="0.25">
      <c r="B2581" s="521"/>
      <c r="C2581" s="527" t="s">
        <v>17</v>
      </c>
      <c r="D2581" s="522" t="s">
        <v>48</v>
      </c>
      <c r="E2581" s="523"/>
      <c r="F2581" s="524"/>
      <c r="G2581" s="553" t="s">
        <v>452</v>
      </c>
      <c r="H2581" s="561">
        <f>H2579+H2580</f>
        <v>1062.5</v>
      </c>
      <c r="I2581" s="477"/>
      <c r="J2581" s="973"/>
      <c r="K2581" s="539"/>
      <c r="M2581" s="470"/>
      <c r="O2581" s="468"/>
    </row>
    <row r="2582" spans="1:17" x14ac:dyDescent="0.25">
      <c r="M2582" s="470"/>
      <c r="O2582" s="468"/>
    </row>
    <row r="2583" spans="1:17" s="463" customFormat="1" x14ac:dyDescent="0.25">
      <c r="B2583" s="556" t="s">
        <v>6</v>
      </c>
      <c r="C2583" s="556" t="s">
        <v>0</v>
      </c>
      <c r="D2583" s="555" t="s">
        <v>8</v>
      </c>
      <c r="E2583" s="556" t="s">
        <v>4</v>
      </c>
      <c r="F2583" s="556" t="s">
        <v>3</v>
      </c>
      <c r="G2583" s="477"/>
      <c r="H2583" s="477"/>
      <c r="I2583" s="477"/>
      <c r="J2583" s="925"/>
      <c r="K2583" s="477"/>
      <c r="N2583" s="468"/>
      <c r="Q2583" s="465"/>
    </row>
    <row r="2584" spans="1:17" ht="16.5" thickBot="1" x14ac:dyDescent="0.3">
      <c r="A2584" s="463">
        <v>152</v>
      </c>
      <c r="B2584" s="1077">
        <f>B137</f>
        <v>8.02</v>
      </c>
      <c r="C2584" s="1077">
        <f>C137</f>
        <v>17</v>
      </c>
      <c r="D2584" s="1079" t="str">
        <f>D137</f>
        <v>TABLERO GENERAL ADOSADO 1-2X25A, 3-2X20A, DIFERENCIAL 3-2X30MA Y TABLERO EN AG 220V</v>
      </c>
      <c r="E2584" s="518">
        <f>H2603</f>
        <v>2017.2</v>
      </c>
      <c r="F2584" s="518">
        <f>+E2584*C2584</f>
        <v>34292.400000000001</v>
      </c>
      <c r="G2584" s="553" t="s">
        <v>450</v>
      </c>
      <c r="H2584" s="553" t="s">
        <v>1</v>
      </c>
      <c r="I2584" s="477"/>
      <c r="K2584" s="539"/>
      <c r="O2584" s="468"/>
    </row>
    <row r="2585" spans="1:17" ht="16.5" thickBot="1" x14ac:dyDescent="0.3">
      <c r="B2585" s="1078"/>
      <c r="C2585" s="1078"/>
      <c r="D2585" s="1080"/>
      <c r="E2585" s="520" t="s">
        <v>50</v>
      </c>
      <c r="F2585" s="520" t="s">
        <v>50</v>
      </c>
      <c r="G2585" s="553" t="s">
        <v>50</v>
      </c>
      <c r="H2585" s="553" t="s">
        <v>50</v>
      </c>
      <c r="I2585" s="477"/>
      <c r="K2585" s="539"/>
      <c r="L2585" s="540" t="s">
        <v>451</v>
      </c>
      <c r="M2585" s="541"/>
      <c r="O2585" s="468"/>
    </row>
    <row r="2586" spans="1:17" ht="16.5" thickBot="1" x14ac:dyDescent="0.3">
      <c r="B2586" s="493"/>
      <c r="C2586" s="526"/>
      <c r="D2586" s="463"/>
      <c r="E2586" s="491"/>
      <c r="F2586" s="492"/>
      <c r="G2586" s="561" t="str">
        <f>IFERROR(VLOOKUP(D2586,'Precios Equipos'!$C$1:$F$5052,3,0),"")</f>
        <v/>
      </c>
      <c r="H2586" s="561" t="str">
        <f t="shared" ref="H2586:H2596" si="236">IFERROR(G2586*C2586,"")</f>
        <v/>
      </c>
      <c r="I2586" s="477"/>
      <c r="K2586" s="539"/>
      <c r="L2586" s="542" t="s">
        <v>88</v>
      </c>
      <c r="M2586" s="543" t="s">
        <v>85</v>
      </c>
      <c r="O2586" s="468"/>
    </row>
    <row r="2587" spans="1:17" x14ac:dyDescent="0.25">
      <c r="B2587" s="493"/>
      <c r="C2587" s="526">
        <v>1</v>
      </c>
      <c r="D2587" s="500" t="str">
        <f>+'Precios Equipos'!C185</f>
        <v>Gabinete Adosado 550x450x150mm. (alto x ancho x profundidad) dimensiones aproximadas</v>
      </c>
      <c r="F2587" s="495"/>
      <c r="G2587" s="561">
        <f>IFERROR(VLOOKUP(D2587,'Precios Equipos'!$C$1:$F$5052,3,0),"")</f>
        <v>0</v>
      </c>
      <c r="H2587" s="561">
        <f t="shared" si="236"/>
        <v>0</v>
      </c>
      <c r="I2587" s="561">
        <f>SUM(H2587)</f>
        <v>0</v>
      </c>
      <c r="J2587" s="924">
        <f>+I2587/H2601</f>
        <v>0</v>
      </c>
      <c r="K2587" s="539"/>
      <c r="L2587" s="544" t="str">
        <f>+'Precios Equipos'!C111</f>
        <v>SISTEMA DE BARRAS 08-10 POLOS</v>
      </c>
      <c r="M2587" s="545">
        <f>IFERROR(VLOOKUP(L2587,'Precios Equipos'!$C$11:$F$208,3,0),0)</f>
        <v>23</v>
      </c>
      <c r="O2587" s="468"/>
      <c r="Q2587" s="465">
        <f>+C2587*$C$2584</f>
        <v>17</v>
      </c>
    </row>
    <row r="2588" spans="1:17" x14ac:dyDescent="0.25">
      <c r="B2588" s="493"/>
      <c r="C2588" s="526"/>
      <c r="D2588" s="494"/>
      <c r="F2588" s="495"/>
      <c r="G2588" s="561" t="str">
        <f>IFERROR(VLOOKUP(D2588,'Precios Equipos'!$C$1:$F$5052,3,0),"")</f>
        <v/>
      </c>
      <c r="H2588" s="561" t="str">
        <f t="shared" si="236"/>
        <v/>
      </c>
      <c r="I2588" s="477"/>
      <c r="K2588" s="539"/>
      <c r="L2588" s="544" t="str">
        <f>+'Precios Equipos'!C132</f>
        <v>CABLEADO 1 DIFERENCIALES, 2P</v>
      </c>
      <c r="M2588" s="545">
        <f>IFERROR(VLOOKUP(L2588,'Precios Equipos'!$C$11:$F$208,3,0),0)</f>
        <v>37</v>
      </c>
      <c r="O2588" s="468"/>
      <c r="P2588" s="501"/>
    </row>
    <row r="2589" spans="1:17" x14ac:dyDescent="0.25">
      <c r="B2589" s="493"/>
      <c r="C2589" s="526"/>
      <c r="D2589" s="620" t="s">
        <v>70</v>
      </c>
      <c r="F2589" s="495"/>
      <c r="G2589" s="561" t="str">
        <f>IFERROR(VLOOKUP(D2589,'Precios Equipos'!$C$1:$F$5052,3,0),"")</f>
        <v/>
      </c>
      <c r="H2589" s="561" t="str">
        <f t="shared" si="236"/>
        <v/>
      </c>
      <c r="I2589" s="477"/>
      <c r="K2589" s="539"/>
      <c r="L2589" s="544" t="str">
        <f>+'Precios Equipos'!C140</f>
        <v>Mano de obra 6-10 polos (3-5 ITM)</v>
      </c>
      <c r="M2589" s="545">
        <f>IFERROR(VLOOKUP(L2589,'Precios Equipos'!$C$11:$F$208,3,0),0)</f>
        <v>17</v>
      </c>
      <c r="O2589" s="468"/>
      <c r="P2589" s="501"/>
    </row>
    <row r="2590" spans="1:17" x14ac:dyDescent="0.25">
      <c r="B2590" s="493"/>
      <c r="C2590" s="526">
        <v>1</v>
      </c>
      <c r="D2590" s="494" t="str">
        <f>+'Precios Equipos'!C14</f>
        <v>ITM 2x25A, Caja Moldeada, 50kA en 220VAC, A1N, ABB</v>
      </c>
      <c r="F2590" s="497"/>
      <c r="G2590" s="561">
        <f>IFERROR(VLOOKUP(D2590,'Precios Equipos'!$C$1:$F$5052,3,0),"")</f>
        <v>110</v>
      </c>
      <c r="H2590" s="561">
        <f t="shared" si="236"/>
        <v>110</v>
      </c>
      <c r="I2590" s="561">
        <f>SUM(H2590)</f>
        <v>110</v>
      </c>
      <c r="J2590" s="924">
        <f>+I2590/H2601</f>
        <v>6.5437239738251038E-2</v>
      </c>
      <c r="K2590" s="539"/>
      <c r="L2590" s="544" t="str">
        <f>+'Precios Equipos'!C162</f>
        <v>Mano de obra 1-2 Diferenciales</v>
      </c>
      <c r="M2590" s="545">
        <f>IFERROR(VLOOKUP(L2590,'Precios Equipos'!$C$11:$F$208,3,0),0)</f>
        <v>33</v>
      </c>
      <c r="O2590" s="468"/>
      <c r="P2590" s="501"/>
      <c r="Q2590" s="465">
        <f>+C2590*$C$2584</f>
        <v>17</v>
      </c>
    </row>
    <row r="2591" spans="1:17" ht="16.5" thickBot="1" x14ac:dyDescent="0.3">
      <c r="B2591" s="493"/>
      <c r="C2591" s="526"/>
      <c r="D2591" s="494"/>
      <c r="F2591" s="497"/>
      <c r="G2591" s="561" t="str">
        <f>IFERROR(VLOOKUP(D2591,'Precios Equipos'!$C$1:$F$5052,3,0),"")</f>
        <v/>
      </c>
      <c r="H2591" s="561" t="str">
        <f t="shared" si="236"/>
        <v/>
      </c>
      <c r="I2591" s="477"/>
      <c r="K2591" s="539"/>
      <c r="L2591" s="544" t="str">
        <f>+'Precios Equipos'!C204</f>
        <v>Diseño Ingenieria Tableros Adosados</v>
      </c>
      <c r="M2591" s="545">
        <f>IFERROR(VLOOKUP(L2591,'Precios Equipos'!$C$11:$F$208,3,0),0)</f>
        <v>33</v>
      </c>
    </row>
    <row r="2592" spans="1:17" ht="16.5" thickBot="1" x14ac:dyDescent="0.3">
      <c r="B2592" s="493"/>
      <c r="C2592" s="526"/>
      <c r="D2592" s="620" t="s">
        <v>71</v>
      </c>
      <c r="F2592" s="497"/>
      <c r="G2592" s="561" t="str">
        <f>IFERROR(VLOOKUP(D2592,'Precios Equipos'!$C$1:$F$5052,3,0),"")</f>
        <v/>
      </c>
      <c r="H2592" s="561" t="str">
        <f t="shared" si="236"/>
        <v/>
      </c>
      <c r="I2592" s="477"/>
      <c r="K2592" s="539"/>
      <c r="L2592" s="546" t="s">
        <v>89</v>
      </c>
      <c r="M2592" s="560">
        <f>SUM(M2587:M2591)</f>
        <v>143</v>
      </c>
      <c r="O2592" s="499"/>
    </row>
    <row r="2593" spans="1:21" x14ac:dyDescent="0.25">
      <c r="B2593" s="493"/>
      <c r="C2593" s="526">
        <v>3</v>
      </c>
      <c r="D2593" s="494" t="str">
        <f>+'Precios Equipos'!C50</f>
        <v>Interruptor Riel Din 2x25A. S202 20kA en 220VAC, ABB</v>
      </c>
      <c r="F2593" s="497"/>
      <c r="G2593" s="561">
        <f>IFERROR(VLOOKUP(D2593,'Precios Equipos'!$C$1:$F$5052,3,0),"")</f>
        <v>263</v>
      </c>
      <c r="H2593" s="561">
        <f t="shared" si="236"/>
        <v>789</v>
      </c>
      <c r="I2593" s="1087">
        <f>SUM(H2593:H2594)</f>
        <v>1428</v>
      </c>
      <c r="J2593" s="1088">
        <f>+I2593/H2601</f>
        <v>0.84949434860202255</v>
      </c>
      <c r="K2593" s="539"/>
      <c r="L2593" s="489"/>
      <c r="M2593" s="489"/>
      <c r="O2593" s="499"/>
      <c r="Q2593" s="465">
        <f>+C2593*$C$2584</f>
        <v>51</v>
      </c>
    </row>
    <row r="2594" spans="1:21" x14ac:dyDescent="0.25">
      <c r="B2594" s="493"/>
      <c r="C2594" s="526">
        <v>3</v>
      </c>
      <c r="D2594" s="494" t="str">
        <f>+'Precios Equipos'!C58</f>
        <v>Interruptores Diferenciales 2x25A, 30mA, Tipo AC, F200, ABB</v>
      </c>
      <c r="F2594" s="495"/>
      <c r="G2594" s="561">
        <f>IFERROR(VLOOKUP(D2594,'Precios Equipos'!$C$1:$F$5052,3,0),"")</f>
        <v>213</v>
      </c>
      <c r="H2594" s="561">
        <f t="shared" si="236"/>
        <v>639</v>
      </c>
      <c r="I2594" s="1087"/>
      <c r="J2594" s="1088"/>
      <c r="K2594" s="539"/>
      <c r="Q2594" s="465">
        <f>+C2594*$C$2584</f>
        <v>51</v>
      </c>
    </row>
    <row r="2595" spans="1:21" x14ac:dyDescent="0.25">
      <c r="B2595" s="493"/>
      <c r="C2595" s="526">
        <v>1</v>
      </c>
      <c r="D2595" s="494" t="s">
        <v>784</v>
      </c>
      <c r="F2595" s="495"/>
      <c r="G2595" s="561" t="str">
        <f>IFERROR(VLOOKUP(D2595,'Precios Equipos'!$C$1:$F$5052,3,0),"")</f>
        <v/>
      </c>
      <c r="H2595" s="561" t="str">
        <f t="shared" si="236"/>
        <v/>
      </c>
      <c r="I2595" s="477"/>
      <c r="J2595" s="973"/>
      <c r="K2595" s="539"/>
      <c r="Q2595" s="465">
        <f>+C2595*$C$2584</f>
        <v>17</v>
      </c>
    </row>
    <row r="2596" spans="1:21" x14ac:dyDescent="0.25">
      <c r="B2596" s="493"/>
      <c r="C2596" s="526"/>
      <c r="D2596" s="494"/>
      <c r="F2596" s="495"/>
      <c r="G2596" s="561" t="str">
        <f>IFERROR(VLOOKUP(D2596,'Precios Equipos'!$C$1:$F$5052,3,0),"")</f>
        <v/>
      </c>
      <c r="H2596" s="561" t="str">
        <f t="shared" si="236"/>
        <v/>
      </c>
      <c r="I2596" s="477"/>
      <c r="K2596" s="539"/>
    </row>
    <row r="2597" spans="1:21" x14ac:dyDescent="0.25">
      <c r="B2597" s="493"/>
      <c r="C2597" s="526"/>
      <c r="D2597" s="620" t="s">
        <v>87</v>
      </c>
      <c r="F2597" s="495"/>
      <c r="G2597" s="561"/>
      <c r="H2597" s="561">
        <f>M2592</f>
        <v>143</v>
      </c>
      <c r="I2597" s="561">
        <f>SUM(H2597)</f>
        <v>143</v>
      </c>
      <c r="J2597" s="924">
        <f>+I2597/H2601</f>
        <v>8.5068411659726353E-2</v>
      </c>
      <c r="K2597" s="539"/>
    </row>
    <row r="2598" spans="1:21" x14ac:dyDescent="0.25">
      <c r="B2598" s="493"/>
      <c r="C2598" s="526">
        <v>1</v>
      </c>
      <c r="D2598" s="494" t="s">
        <v>49</v>
      </c>
      <c r="F2598" s="495"/>
      <c r="G2598" s="561" t="str">
        <f>IFERROR(VLOOKUP(D2598,'Precios Equipos'!$C$1:$F$5052,3,0),"")</f>
        <v/>
      </c>
      <c r="H2598" s="561" t="str">
        <f t="shared" ref="H2598:H2599" si="237">IFERROR(G2598*C2598,"")</f>
        <v/>
      </c>
      <c r="I2598" s="1087">
        <f>SUM(H2598:H2599)</f>
        <v>0</v>
      </c>
      <c r="J2598" s="1088">
        <f>+I2598/H2601</f>
        <v>0</v>
      </c>
      <c r="K2598" s="539"/>
    </row>
    <row r="2599" spans="1:21" x14ac:dyDescent="0.25">
      <c r="B2599" s="493"/>
      <c r="C2599" s="526">
        <v>1</v>
      </c>
      <c r="D2599" s="494" t="s">
        <v>51</v>
      </c>
      <c r="F2599" s="495"/>
      <c r="G2599" s="561" t="str">
        <f>IFERROR(VLOOKUP(D2599,'Precios Equipos'!$C$1:$F$5052,3,0),"")</f>
        <v/>
      </c>
      <c r="H2599" s="561" t="str">
        <f t="shared" si="237"/>
        <v/>
      </c>
      <c r="I2599" s="1087"/>
      <c r="J2599" s="1088"/>
      <c r="K2599" s="539"/>
    </row>
    <row r="2600" spans="1:21" x14ac:dyDescent="0.25">
      <c r="B2600" s="493"/>
      <c r="C2600" s="526">
        <v>1</v>
      </c>
      <c r="D2600" s="467" t="s">
        <v>20</v>
      </c>
      <c r="F2600" s="495"/>
      <c r="G2600" s="561"/>
      <c r="H2600" s="561"/>
      <c r="I2600" s="477"/>
      <c r="J2600" s="973"/>
      <c r="K2600" s="539"/>
    </row>
    <row r="2601" spans="1:21" x14ac:dyDescent="0.25">
      <c r="B2601" s="493"/>
      <c r="C2601" s="526">
        <v>1</v>
      </c>
      <c r="D2601" s="467" t="s">
        <v>52</v>
      </c>
      <c r="F2601" s="495"/>
      <c r="G2601" s="553" t="s">
        <v>97</v>
      </c>
      <c r="H2601" s="561">
        <f>SUM(H2587:H2600)</f>
        <v>1681</v>
      </c>
      <c r="I2601" s="477"/>
      <c r="J2601" s="973"/>
      <c r="K2601" s="539"/>
    </row>
    <row r="2602" spans="1:21" x14ac:dyDescent="0.25">
      <c r="B2602" s="493"/>
      <c r="C2602" s="526">
        <v>1</v>
      </c>
      <c r="D2602" s="467" t="s">
        <v>21</v>
      </c>
      <c r="F2602" s="495"/>
      <c r="G2602" s="553" t="s">
        <v>105</v>
      </c>
      <c r="H2602" s="561">
        <f>H2601*$M$156</f>
        <v>336.20000000000005</v>
      </c>
      <c r="I2602" s="477"/>
      <c r="J2602" s="973"/>
      <c r="K2602" s="539"/>
    </row>
    <row r="2603" spans="1:21" x14ac:dyDescent="0.25">
      <c r="B2603" s="521"/>
      <c r="C2603" s="527" t="s">
        <v>17</v>
      </c>
      <c r="D2603" s="522" t="s">
        <v>48</v>
      </c>
      <c r="E2603" s="523"/>
      <c r="F2603" s="524"/>
      <c r="G2603" s="553" t="s">
        <v>452</v>
      </c>
      <c r="H2603" s="561">
        <f>H2601+H2602</f>
        <v>2017.2</v>
      </c>
      <c r="I2603" s="477"/>
      <c r="J2603" s="973"/>
      <c r="K2603" s="539"/>
    </row>
    <row r="2605" spans="1:21" s="666" customFormat="1" x14ac:dyDescent="0.25">
      <c r="A2605" s="670"/>
      <c r="B2605" s="516" t="s">
        <v>0</v>
      </c>
      <c r="C2605" s="516" t="s">
        <v>0</v>
      </c>
      <c r="D2605" s="516" t="s">
        <v>8</v>
      </c>
      <c r="E2605" s="516" t="s">
        <v>4</v>
      </c>
      <c r="F2605" s="597" t="s">
        <v>3</v>
      </c>
      <c r="G2605" s="463"/>
      <c r="H2605" s="463"/>
      <c r="I2605" s="468"/>
      <c r="J2605" s="980"/>
      <c r="K2605" s="468"/>
      <c r="N2605" s="671"/>
      <c r="Q2605" s="465"/>
      <c r="U2605" s="672"/>
    </row>
    <row r="2606" spans="1:21" s="666" customFormat="1" x14ac:dyDescent="0.25">
      <c r="A2606" s="670"/>
      <c r="B2606" s="1097">
        <f>B139</f>
        <v>9.01</v>
      </c>
      <c r="C2606" s="1097">
        <f>C139</f>
        <v>10</v>
      </c>
      <c r="D2606" s="1132" t="str">
        <f>D139</f>
        <v>TABLERO DE DISTRIBUCIÓN COMPLETA PARA S.E.
MONOFASICA DE 05 KVA, 440-220V</v>
      </c>
      <c r="E2606" s="712">
        <f>+H2640</f>
        <v>2016.9</v>
      </c>
      <c r="F2606" s="710">
        <f>+E2606*C2606</f>
        <v>20169</v>
      </c>
      <c r="G2606" s="730" t="s">
        <v>4</v>
      </c>
      <c r="H2606" s="730" t="s">
        <v>3</v>
      </c>
      <c r="I2606" s="673"/>
      <c r="J2606" s="980"/>
      <c r="M2606" s="671"/>
      <c r="Q2606" s="465"/>
      <c r="T2606" s="672"/>
    </row>
    <row r="2607" spans="1:21" s="666" customFormat="1" x14ac:dyDescent="0.25">
      <c r="A2607" s="670"/>
      <c r="B2607" s="1097"/>
      <c r="C2607" s="1097"/>
      <c r="D2607" s="1132"/>
      <c r="E2607" s="713" t="s">
        <v>50</v>
      </c>
      <c r="F2607" s="711" t="s">
        <v>50</v>
      </c>
      <c r="G2607" s="576" t="s">
        <v>50</v>
      </c>
      <c r="H2607" s="576" t="s">
        <v>50</v>
      </c>
      <c r="I2607" s="464" t="s">
        <v>676</v>
      </c>
      <c r="J2607" s="981">
        <v>11.363636363636363</v>
      </c>
      <c r="M2607" s="671"/>
      <c r="Q2607" s="465"/>
      <c r="T2607" s="672"/>
    </row>
    <row r="2608" spans="1:21" s="666" customFormat="1" x14ac:dyDescent="0.25">
      <c r="A2608" s="670"/>
      <c r="B2608" s="674"/>
      <c r="C2608" s="674"/>
      <c r="D2608" s="463"/>
      <c r="E2608" s="675"/>
      <c r="F2608" s="676"/>
      <c r="G2608" s="479"/>
      <c r="H2608" s="479"/>
      <c r="I2608" s="468"/>
      <c r="J2608" s="980"/>
      <c r="M2608" s="671"/>
      <c r="Q2608" s="465"/>
      <c r="T2608" s="672"/>
    </row>
    <row r="2609" spans="1:20" s="666" customFormat="1" x14ac:dyDescent="0.25">
      <c r="A2609" s="670"/>
      <c r="B2609" s="677"/>
      <c r="C2609" s="677">
        <v>1</v>
      </c>
      <c r="D2609" s="668" t="str">
        <f>+'Precios Equipos'!C199</f>
        <v>Gabinete Fibra de vidrio de 800x800x250mm. Barbotante</v>
      </c>
      <c r="E2609" s="469"/>
      <c r="F2609" s="678"/>
      <c r="G2609" s="561">
        <f>IFERROR(VLOOKUP(D2609,'Precios Equipos'!$C$1:$F$5052,3,0),"")</f>
        <v>10</v>
      </c>
      <c r="H2609" s="561">
        <f t="shared" ref="H2609:H2637" si="238">IFERROR(G2609*C2609,"")</f>
        <v>10</v>
      </c>
      <c r="I2609" s="679">
        <f>+H2609</f>
        <v>10</v>
      </c>
      <c r="J2609" s="982">
        <f>+I2609/H2638</f>
        <v>6.6934404283801874E-3</v>
      </c>
      <c r="M2609" s="671"/>
      <c r="Q2609" s="465">
        <f>+C2609*$C$2606</f>
        <v>10</v>
      </c>
      <c r="S2609" s="672"/>
      <c r="T2609" s="672"/>
    </row>
    <row r="2610" spans="1:20" s="666" customFormat="1" x14ac:dyDescent="0.25">
      <c r="A2610" s="670"/>
      <c r="B2610" s="680"/>
      <c r="C2610" s="680"/>
      <c r="D2610" s="468"/>
      <c r="E2610" s="469"/>
      <c r="F2610" s="681"/>
      <c r="G2610" s="561" t="str">
        <f>IFERROR(VLOOKUP(D2610,'Precios Equipos'!$C$1:$F$5052,3,0),"")</f>
        <v/>
      </c>
      <c r="H2610" s="561" t="str">
        <f t="shared" si="238"/>
        <v/>
      </c>
      <c r="I2610" s="682"/>
      <c r="J2610" s="983"/>
      <c r="M2610" s="671"/>
      <c r="Q2610" s="465"/>
      <c r="T2610" s="672"/>
    </row>
    <row r="2611" spans="1:20" s="666" customFormat="1" x14ac:dyDescent="0.25">
      <c r="A2611" s="670"/>
      <c r="B2611" s="680"/>
      <c r="C2611" s="680"/>
      <c r="D2611" s="714" t="s">
        <v>677</v>
      </c>
      <c r="E2611" s="469"/>
      <c r="F2611" s="681"/>
      <c r="G2611" s="561" t="str">
        <f>IFERROR(VLOOKUP(D2611,'Precios Equipos'!$C$1:$F$5052,3,0),"")</f>
        <v/>
      </c>
      <c r="H2611" s="561" t="str">
        <f t="shared" si="238"/>
        <v/>
      </c>
      <c r="I2611" s="682"/>
      <c r="J2611" s="983"/>
      <c r="M2611" s="671"/>
      <c r="Q2611" s="465"/>
      <c r="T2611" s="672"/>
    </row>
    <row r="2612" spans="1:20" s="666" customFormat="1" x14ac:dyDescent="0.25">
      <c r="A2612" s="670"/>
      <c r="B2612" s="674"/>
      <c r="C2612" s="674">
        <v>1</v>
      </c>
      <c r="D2612" s="683" t="str">
        <f>+'Precios Equipos'!$C$28</f>
        <v>ITM  2 x 40A, Caja Moldeada, 15KA@440V, 2B160, SIGMA ELEKTRIK</v>
      </c>
      <c r="E2612" s="684"/>
      <c r="F2612" s="678"/>
      <c r="G2612" s="561">
        <f>IFERROR(VLOOKUP(D2612,'Precios Equipos'!$C$1:$F$5052,3,0),"")</f>
        <v>61</v>
      </c>
      <c r="H2612" s="561">
        <f t="shared" si="238"/>
        <v>61</v>
      </c>
      <c r="I2612" s="1127">
        <f>SUM(H2612:H2631)</f>
        <v>1484</v>
      </c>
      <c r="J2612" s="1128">
        <f>+I2612/H2638</f>
        <v>0.99330655957161984</v>
      </c>
      <c r="M2612" s="671"/>
      <c r="Q2612" s="465">
        <f>+C2612*$C$2606</f>
        <v>10</v>
      </c>
      <c r="T2612" s="672"/>
    </row>
    <row r="2613" spans="1:20" s="666" customFormat="1" x14ac:dyDescent="0.25">
      <c r="A2613" s="670"/>
      <c r="B2613" s="674"/>
      <c r="C2613" s="674"/>
      <c r="D2613" s="683"/>
      <c r="E2613" s="684"/>
      <c r="F2613" s="678"/>
      <c r="G2613" s="561" t="str">
        <f>IFERROR(VLOOKUP(D2613,'Precios Equipos'!$C$1:$F$5052,3,0),"")</f>
        <v/>
      </c>
      <c r="H2613" s="561" t="str">
        <f t="shared" si="238"/>
        <v/>
      </c>
      <c r="I2613" s="1127"/>
      <c r="J2613" s="1128"/>
      <c r="M2613" s="671"/>
      <c r="Q2613" s="465"/>
      <c r="T2613" s="672"/>
    </row>
    <row r="2614" spans="1:20" s="666" customFormat="1" x14ac:dyDescent="0.25">
      <c r="A2614" s="670"/>
      <c r="B2614" s="680"/>
      <c r="C2614" s="680"/>
      <c r="D2614" s="714" t="s">
        <v>678</v>
      </c>
      <c r="E2614" s="469"/>
      <c r="F2614" s="681"/>
      <c r="G2614" s="561" t="str">
        <f>IFERROR(VLOOKUP(D2614,'Precios Equipos'!$C$1:$F$5052,3,0),"")</f>
        <v/>
      </c>
      <c r="H2614" s="561" t="str">
        <f t="shared" si="238"/>
        <v/>
      </c>
      <c r="I2614" s="1127"/>
      <c r="J2614" s="1128"/>
      <c r="M2614" s="671"/>
      <c r="Q2614" s="465"/>
      <c r="T2614" s="672"/>
    </row>
    <row r="2615" spans="1:20" s="666" customFormat="1" x14ac:dyDescent="0.25">
      <c r="A2615" s="670"/>
      <c r="B2615" s="680"/>
      <c r="C2615" s="674">
        <v>1</v>
      </c>
      <c r="D2615" s="468" t="str">
        <f>+'Precios Equipos'!$C$61</f>
        <v>Protector de sobretension SPD AC 2P, 1000V AC, CLAMPER/DC SURGE PROTECCION</v>
      </c>
      <c r="E2615" s="469"/>
      <c r="F2615" s="681"/>
      <c r="G2615" s="561">
        <f>IFERROR(VLOOKUP(D2615,'Precios Equipos'!$C$1:$F$5052,3,0),"")</f>
        <v>59</v>
      </c>
      <c r="H2615" s="561">
        <f t="shared" ref="H2615" si="239">IFERROR(G2615*C2615,"")</f>
        <v>59</v>
      </c>
      <c r="I2615" s="1127"/>
      <c r="J2615" s="1128"/>
      <c r="L2615" s="1050" t="s">
        <v>1033</v>
      </c>
      <c r="M2615" s="671"/>
      <c r="Q2615" s="465">
        <f>+C2615*$C$2606</f>
        <v>10</v>
      </c>
      <c r="T2615" s="672"/>
    </row>
    <row r="2616" spans="1:20" s="666" customFormat="1" x14ac:dyDescent="0.25">
      <c r="A2616" s="670"/>
      <c r="B2616" s="674"/>
      <c r="C2616" s="674">
        <v>5</v>
      </c>
      <c r="D2616" s="683" t="str">
        <f>+'Precios Equipos'!$C$26</f>
        <v>ITM  2 x 16A, Caja Moldeada, 15KA@440V, 2B160, SIGMA ELEKTRIK</v>
      </c>
      <c r="E2616" s="684"/>
      <c r="F2616" s="678"/>
      <c r="G2616" s="561">
        <f>IFERROR(VLOOKUP(D2616,'Precios Equipos'!$C$1:$F$5052,3,0),"")</f>
        <v>115</v>
      </c>
      <c r="H2616" s="561">
        <f t="shared" si="238"/>
        <v>575</v>
      </c>
      <c r="I2616" s="1127"/>
      <c r="J2616" s="1128"/>
      <c r="M2616" s="671"/>
      <c r="Q2616" s="465">
        <f>+C2616*$C$2606</f>
        <v>50</v>
      </c>
      <c r="T2616" s="672"/>
    </row>
    <row r="2617" spans="1:20" s="666" customFormat="1" x14ac:dyDescent="0.25">
      <c r="A2617" s="670"/>
      <c r="B2617" s="674"/>
      <c r="C2617" s="674"/>
      <c r="D2617" s="683"/>
      <c r="E2617" s="684"/>
      <c r="F2617" s="685"/>
      <c r="G2617" s="561" t="str">
        <f>IFERROR(VLOOKUP(D2617,'Precios Equipos'!$C$1:$F$5052,3,0),"")</f>
        <v/>
      </c>
      <c r="H2617" s="561" t="str">
        <f t="shared" si="238"/>
        <v/>
      </c>
      <c r="I2617" s="1127"/>
      <c r="J2617" s="1128"/>
      <c r="M2617" s="671"/>
      <c r="Q2617" s="465"/>
      <c r="T2617" s="672"/>
    </row>
    <row r="2618" spans="1:20" s="666" customFormat="1" x14ac:dyDescent="0.25">
      <c r="A2618" s="670"/>
      <c r="B2618" s="674"/>
      <c r="C2618" s="674"/>
      <c r="D2618" s="715" t="s">
        <v>679</v>
      </c>
      <c r="E2618" s="684"/>
      <c r="F2618" s="685"/>
      <c r="G2618" s="561" t="str">
        <f>IFERROR(VLOOKUP(D2618,'Precios Equipos'!$C$1:$F$5052,3,0),"")</f>
        <v/>
      </c>
      <c r="H2618" s="561" t="str">
        <f t="shared" si="238"/>
        <v/>
      </c>
      <c r="I2618" s="1127"/>
      <c r="J2618" s="1128"/>
      <c r="M2618" s="671"/>
      <c r="Q2618" s="465"/>
      <c r="T2618" s="672"/>
    </row>
    <row r="2619" spans="1:20" s="666" customFormat="1" x14ac:dyDescent="0.25">
      <c r="A2619" s="670"/>
      <c r="B2619" s="674"/>
      <c r="C2619" s="674">
        <v>1</v>
      </c>
      <c r="D2619" s="683" t="str">
        <f>+'Precios Equipos'!C26</f>
        <v>ITM  2 x 16A, Caja Moldeada, 15KA@440V, 2B160, SIGMA ELEKTRIK</v>
      </c>
      <c r="E2619" s="684"/>
      <c r="F2619" s="678"/>
      <c r="G2619" s="561">
        <f>IFERROR(VLOOKUP(D2619,'Precios Equipos'!$C$1:$F$5052,3,0),"")</f>
        <v>115</v>
      </c>
      <c r="H2619" s="561">
        <f t="shared" si="238"/>
        <v>115</v>
      </c>
      <c r="I2619" s="1127"/>
      <c r="J2619" s="1128"/>
      <c r="M2619" s="671"/>
      <c r="Q2619" s="465">
        <f>+C2619*$C$2606</f>
        <v>10</v>
      </c>
      <c r="T2619" s="672"/>
    </row>
    <row r="2620" spans="1:20" s="666" customFormat="1" x14ac:dyDescent="0.25">
      <c r="A2620" s="670"/>
      <c r="B2620" s="686"/>
      <c r="C2620" s="686">
        <v>1</v>
      </c>
      <c r="D2620" s="683" t="str">
        <f>+'Precios Equipos'!$C$70</f>
        <v>Contactor Trifásico 18 A, AC3, 220V, AF16, ABB</v>
      </c>
      <c r="E2620" s="684"/>
      <c r="F2620" s="678"/>
      <c r="G2620" s="561">
        <f>IFERROR(VLOOKUP(D2620,'Precios Equipos'!$C$1:$F$5052,3,0),"")</f>
        <v>42</v>
      </c>
      <c r="H2620" s="561">
        <f t="shared" si="238"/>
        <v>42</v>
      </c>
      <c r="I2620" s="1127"/>
      <c r="J2620" s="1128"/>
      <c r="M2620" s="671"/>
      <c r="Q2620" s="465">
        <f>+C2620*$C$2606</f>
        <v>10</v>
      </c>
      <c r="T2620" s="672"/>
    </row>
    <row r="2621" spans="1:20" s="666" customFormat="1" x14ac:dyDescent="0.25">
      <c r="A2621" s="670"/>
      <c r="B2621" s="687"/>
      <c r="C2621" s="687">
        <v>1</v>
      </c>
      <c r="D2621" s="688" t="str">
        <f>+'Precios Equipos'!$C$77</f>
        <v>Interruptor Horario Digital, Res. 3 años, 220V, 60Hz</v>
      </c>
      <c r="E2621" s="469"/>
      <c r="F2621" s="678"/>
      <c r="G2621" s="561">
        <f>IFERROR(VLOOKUP(D2621,'Precios Equipos'!$C$1:$F$5052,3,0),"")</f>
        <v>42</v>
      </c>
      <c r="H2621" s="561">
        <f t="shared" si="238"/>
        <v>42</v>
      </c>
      <c r="I2621" s="1127"/>
      <c r="J2621" s="1128"/>
      <c r="M2621" s="671"/>
      <c r="Q2621" s="465">
        <f>+C2621*$C$2606</f>
        <v>10</v>
      </c>
      <c r="T2621" s="672"/>
    </row>
    <row r="2622" spans="1:20" s="666" customFormat="1" x14ac:dyDescent="0.25">
      <c r="A2622" s="670"/>
      <c r="B2622" s="674"/>
      <c r="C2622" s="674">
        <v>1</v>
      </c>
      <c r="D2622" s="683" t="str">
        <f>+'Precios Equipos'!$C$51</f>
        <v>Interruptor Riel Din 2x10A, 6KA@400V</v>
      </c>
      <c r="E2622" s="684"/>
      <c r="F2622" s="678"/>
      <c r="G2622" s="561">
        <f>IFERROR(VLOOKUP(D2622,'Precios Equipos'!$C$1:$F$5052,3,0),"")</f>
        <v>42</v>
      </c>
      <c r="H2622" s="561">
        <f t="shared" si="238"/>
        <v>42</v>
      </c>
      <c r="I2622" s="1127"/>
      <c r="J2622" s="1128"/>
      <c r="M2622" s="671"/>
      <c r="Q2622" s="465">
        <f>+C2622*$C$2606</f>
        <v>10</v>
      </c>
      <c r="T2622" s="672"/>
    </row>
    <row r="2623" spans="1:20" s="666" customFormat="1" x14ac:dyDescent="0.25">
      <c r="A2623" s="670"/>
      <c r="B2623" s="674"/>
      <c r="C2623" s="674"/>
      <c r="D2623" s="683"/>
      <c r="E2623" s="684"/>
      <c r="F2623" s="685"/>
      <c r="G2623" s="561" t="str">
        <f>IFERROR(VLOOKUP(D2623,'Precios Equipos'!$C$1:$F$5052,3,0),"")</f>
        <v/>
      </c>
      <c r="H2623" s="561" t="str">
        <f t="shared" si="238"/>
        <v/>
      </c>
      <c r="I2623" s="1127"/>
      <c r="J2623" s="1128"/>
      <c r="M2623" s="671"/>
      <c r="Q2623" s="465"/>
      <c r="T2623" s="672"/>
    </row>
    <row r="2624" spans="1:20" s="666" customFormat="1" x14ac:dyDescent="0.25">
      <c r="A2624" s="670"/>
      <c r="B2624" s="674"/>
      <c r="C2624" s="674"/>
      <c r="D2624" s="715" t="s">
        <v>680</v>
      </c>
      <c r="E2624" s="684"/>
      <c r="F2624" s="685"/>
      <c r="G2624" s="561" t="str">
        <f>IFERROR(VLOOKUP(D2624,'Precios Equipos'!$C$1:$F$5052,3,0),"")</f>
        <v/>
      </c>
      <c r="H2624" s="561" t="str">
        <f t="shared" si="238"/>
        <v/>
      </c>
      <c r="I2624" s="1127"/>
      <c r="J2624" s="1128"/>
      <c r="M2624" s="671"/>
      <c r="Q2624" s="465"/>
      <c r="T2624" s="672"/>
    </row>
    <row r="2625" spans="1:20" s="666" customFormat="1" x14ac:dyDescent="0.25">
      <c r="A2625" s="670"/>
      <c r="B2625" s="674"/>
      <c r="C2625" s="674">
        <v>1</v>
      </c>
      <c r="D2625" s="683" t="str">
        <f>+'Precios Equipos'!$C$34</f>
        <v>Medidor Electronico HXE34KS-1, HEXING</v>
      </c>
      <c r="E2625" s="684"/>
      <c r="F2625" s="678"/>
      <c r="G2625" s="561">
        <f>IFERROR(VLOOKUP(D2625,'Precios Equipos'!$C$1:$F$5052,3,0),"")</f>
        <v>42</v>
      </c>
      <c r="H2625" s="561">
        <f t="shared" si="238"/>
        <v>42</v>
      </c>
      <c r="I2625" s="1127"/>
      <c r="J2625" s="1128"/>
      <c r="M2625" s="671"/>
      <c r="Q2625" s="465">
        <f>+C2625*$C$2606</f>
        <v>10</v>
      </c>
      <c r="T2625" s="672"/>
    </row>
    <row r="2626" spans="1:20" s="666" customFormat="1" x14ac:dyDescent="0.25">
      <c r="A2626" s="670"/>
      <c r="B2626" s="686"/>
      <c r="C2626" s="686">
        <v>1</v>
      </c>
      <c r="D2626" s="683" t="str">
        <f>+'Precios Equipos'!$C$35</f>
        <v>Medidor Electronico Monofasico HXE12ES, HEXING</v>
      </c>
      <c r="E2626" s="684"/>
      <c r="F2626" s="678"/>
      <c r="G2626" s="561">
        <f>IFERROR(VLOOKUP(D2626,'Precios Equipos'!$C$1:$F$5052,3,0),"")</f>
        <v>41</v>
      </c>
      <c r="H2626" s="561">
        <f t="shared" si="238"/>
        <v>41</v>
      </c>
      <c r="I2626" s="1127"/>
      <c r="J2626" s="1128"/>
      <c r="M2626" s="671"/>
      <c r="Q2626" s="465">
        <f>+C2626*$C$2606</f>
        <v>10</v>
      </c>
      <c r="T2626" s="672"/>
    </row>
    <row r="2627" spans="1:20" s="666" customFormat="1" x14ac:dyDescent="0.25">
      <c r="A2627" s="670"/>
      <c r="B2627" s="686"/>
      <c r="C2627" s="686"/>
      <c r="D2627" s="683"/>
      <c r="E2627" s="684"/>
      <c r="F2627" s="678"/>
      <c r="G2627" s="561" t="str">
        <f>IFERROR(VLOOKUP(D2627,'Precios Equipos'!$C$1:$F$5052,3,0),"")</f>
        <v/>
      </c>
      <c r="H2627" s="561" t="str">
        <f t="shared" si="238"/>
        <v/>
      </c>
      <c r="I2627" s="1127"/>
      <c r="J2627" s="1128"/>
      <c r="M2627" s="671"/>
      <c r="Q2627" s="465"/>
      <c r="T2627" s="672"/>
    </row>
    <row r="2628" spans="1:20" s="666" customFormat="1" x14ac:dyDescent="0.25">
      <c r="A2628" s="670"/>
      <c r="B2628" s="674"/>
      <c r="C2628" s="674"/>
      <c r="D2628" s="715" t="s">
        <v>87</v>
      </c>
      <c r="E2628" s="684"/>
      <c r="F2628" s="685"/>
      <c r="G2628" s="561" t="str">
        <f>IFERROR(VLOOKUP(D2628,'Precios Equipos'!$C$1:$F$5052,3,0),"")</f>
        <v/>
      </c>
      <c r="H2628" s="561" t="str">
        <f t="shared" si="238"/>
        <v/>
      </c>
      <c r="I2628" s="1127"/>
      <c r="J2628" s="1128"/>
      <c r="M2628" s="671"/>
      <c r="Q2628" s="465"/>
      <c r="T2628" s="672"/>
    </row>
    <row r="2629" spans="1:20" s="666" customFormat="1" x14ac:dyDescent="0.25">
      <c r="A2629" s="670"/>
      <c r="B2629" s="687"/>
      <c r="C2629" s="687">
        <v>3</v>
      </c>
      <c r="D2629" s="689" t="str">
        <f>+'Precios Equipos'!$C$66</f>
        <v>Base PortaFusible y Fusible 25A / 2A</v>
      </c>
      <c r="E2629" s="684"/>
      <c r="F2629" s="678"/>
      <c r="G2629" s="561">
        <f>IFERROR(VLOOKUP(D2629,'Precios Equipos'!$C$1:$F$5052,3,0),"")</f>
        <v>127</v>
      </c>
      <c r="H2629" s="561">
        <f t="shared" si="238"/>
        <v>381</v>
      </c>
      <c r="I2629" s="1127"/>
      <c r="J2629" s="1128"/>
      <c r="M2629" s="671"/>
      <c r="Q2629" s="465">
        <f>+C2629*$C$2606</f>
        <v>30</v>
      </c>
      <c r="T2629" s="672"/>
    </row>
    <row r="2630" spans="1:20" s="666" customFormat="1" x14ac:dyDescent="0.25">
      <c r="A2630" s="670"/>
      <c r="B2630" s="674"/>
      <c r="C2630" s="674">
        <v>1</v>
      </c>
      <c r="D2630" s="689" t="str">
        <f>+'Precios Equipos'!$C$76</f>
        <v>Interruptor unipolar y tomacorriente</v>
      </c>
      <c r="E2630" s="469"/>
      <c r="F2630" s="678"/>
      <c r="G2630" s="561">
        <f>IFERROR(VLOOKUP(D2630,'Precios Equipos'!$C$1:$F$5052,3,0),"")</f>
        <v>42</v>
      </c>
      <c r="H2630" s="561">
        <f t="shared" si="238"/>
        <v>42</v>
      </c>
      <c r="I2630" s="1127"/>
      <c r="J2630" s="1128"/>
      <c r="M2630" s="671"/>
      <c r="Q2630" s="465">
        <f>+C2630*$C$2606</f>
        <v>10</v>
      </c>
      <c r="T2630" s="672"/>
    </row>
    <row r="2631" spans="1:20" s="666" customFormat="1" x14ac:dyDescent="0.25">
      <c r="A2631" s="670"/>
      <c r="B2631" s="687"/>
      <c r="C2631" s="687">
        <v>1</v>
      </c>
      <c r="D2631" s="689" t="str">
        <f>+'Precios Equipos'!$C$71</f>
        <v>Lampara Incandescente 100 W, 220 V con Socket</v>
      </c>
      <c r="E2631" s="690"/>
      <c r="F2631" s="678"/>
      <c r="G2631" s="561">
        <f>IFERROR(VLOOKUP(D2631,'Precios Equipos'!$C$1:$F$5052,3,0),"")</f>
        <v>42</v>
      </c>
      <c r="H2631" s="561">
        <f t="shared" si="238"/>
        <v>42</v>
      </c>
      <c r="I2631" s="1127"/>
      <c r="J2631" s="1128"/>
      <c r="M2631" s="671"/>
      <c r="Q2631" s="465">
        <f>+C2631*$C$2606</f>
        <v>10</v>
      </c>
      <c r="T2631" s="672"/>
    </row>
    <row r="2632" spans="1:20" s="666" customFormat="1" x14ac:dyDescent="0.25">
      <c r="A2632" s="670"/>
      <c r="B2632" s="674"/>
      <c r="C2632" s="674">
        <v>1</v>
      </c>
      <c r="D2632" s="468" t="s">
        <v>681</v>
      </c>
      <c r="E2632" s="469"/>
      <c r="F2632" s="678"/>
      <c r="G2632" s="561" t="str">
        <f>IFERROR(VLOOKUP(D2632,'Precios Equipos'!$C$1:$F$5052,3,0),"")</f>
        <v/>
      </c>
      <c r="H2632" s="561" t="str">
        <f t="shared" si="238"/>
        <v/>
      </c>
      <c r="I2632" s="682"/>
      <c r="J2632" s="984"/>
      <c r="M2632" s="671"/>
      <c r="Q2632" s="465"/>
      <c r="T2632" s="672"/>
    </row>
    <row r="2633" spans="1:20" s="666" customFormat="1" x14ac:dyDescent="0.25">
      <c r="A2633" s="670"/>
      <c r="B2633" s="674"/>
      <c r="C2633" s="674">
        <v>1</v>
      </c>
      <c r="D2633" s="468" t="s">
        <v>20</v>
      </c>
      <c r="E2633" s="469"/>
      <c r="F2633" s="678"/>
      <c r="G2633" s="561" t="str">
        <f>IFERROR(VLOOKUP(D2633,'Precios Equipos'!$C$1:$F$5052,3,0),"")</f>
        <v/>
      </c>
      <c r="H2633" s="561" t="str">
        <f t="shared" si="238"/>
        <v/>
      </c>
      <c r="I2633" s="682"/>
      <c r="J2633" s="984"/>
      <c r="M2633" s="671"/>
      <c r="Q2633" s="465"/>
      <c r="T2633" s="672"/>
    </row>
    <row r="2634" spans="1:20" s="666" customFormat="1" x14ac:dyDescent="0.25">
      <c r="A2634" s="670"/>
      <c r="B2634" s="674"/>
      <c r="C2634" s="674">
        <v>1</v>
      </c>
      <c r="D2634" s="468" t="s">
        <v>682</v>
      </c>
      <c r="E2634" s="469"/>
      <c r="F2634" s="681"/>
      <c r="G2634" s="561" t="str">
        <f>IFERROR(VLOOKUP(D2634,'Precios Equipos'!$C$1:$F$5052,3,0),"")</f>
        <v/>
      </c>
      <c r="H2634" s="561" t="str">
        <f t="shared" si="238"/>
        <v/>
      </c>
      <c r="I2634" s="682"/>
      <c r="J2634" s="984"/>
      <c r="M2634" s="671"/>
      <c r="Q2634" s="465"/>
      <c r="T2634" s="672"/>
    </row>
    <row r="2635" spans="1:20" s="666" customFormat="1" x14ac:dyDescent="0.25">
      <c r="A2635" s="670"/>
      <c r="B2635" s="674"/>
      <c r="C2635" s="674">
        <v>1</v>
      </c>
      <c r="D2635" s="468" t="s">
        <v>683</v>
      </c>
      <c r="E2635" s="469"/>
      <c r="F2635" s="681"/>
      <c r="G2635" s="561" t="str">
        <f>IFERROR(VLOOKUP(D2635,'Precios Equipos'!$C$1:$F$5052,3,0),"")</f>
        <v/>
      </c>
      <c r="H2635" s="561" t="str">
        <f t="shared" si="238"/>
        <v/>
      </c>
      <c r="I2635" s="682"/>
      <c r="J2635" s="984"/>
      <c r="M2635" s="671"/>
      <c r="Q2635" s="465"/>
      <c r="T2635" s="672"/>
    </row>
    <row r="2636" spans="1:20" s="666" customFormat="1" x14ac:dyDescent="0.25">
      <c r="A2636" s="670"/>
      <c r="B2636" s="674"/>
      <c r="C2636" s="674">
        <v>1</v>
      </c>
      <c r="D2636" s="468" t="s">
        <v>684</v>
      </c>
      <c r="E2636" s="469"/>
      <c r="F2636" s="681"/>
      <c r="G2636" s="561" t="str">
        <f>IFERROR(VLOOKUP(D2636,'Precios Equipos'!$C$1:$F$5052,3,0),"")</f>
        <v/>
      </c>
      <c r="H2636" s="561" t="str">
        <f t="shared" si="238"/>
        <v/>
      </c>
      <c r="I2636" s="682"/>
      <c r="J2636" s="984"/>
      <c r="M2636" s="671"/>
      <c r="Q2636" s="465"/>
      <c r="T2636" s="672"/>
    </row>
    <row r="2637" spans="1:20" s="666" customFormat="1" x14ac:dyDescent="0.25">
      <c r="A2637" s="670"/>
      <c r="B2637" s="674"/>
      <c r="C2637" s="674">
        <v>1</v>
      </c>
      <c r="D2637" s="468" t="s">
        <v>685</v>
      </c>
      <c r="E2637" s="469"/>
      <c r="F2637" s="681"/>
      <c r="G2637" s="561" t="str">
        <f>IFERROR(VLOOKUP(D2637,'Precios Equipos'!$C$1:$F$5052,3,0),"")</f>
        <v/>
      </c>
      <c r="H2637" s="561" t="str">
        <f t="shared" si="238"/>
        <v/>
      </c>
      <c r="I2637" s="682"/>
      <c r="J2637" s="984"/>
      <c r="M2637" s="671"/>
      <c r="Q2637" s="465"/>
      <c r="T2637" s="672"/>
    </row>
    <row r="2638" spans="1:20" s="666" customFormat="1" x14ac:dyDescent="0.25">
      <c r="A2638" s="670"/>
      <c r="B2638" s="674"/>
      <c r="C2638" s="674">
        <v>1</v>
      </c>
      <c r="D2638" s="468" t="s">
        <v>686</v>
      </c>
      <c r="E2638" s="469"/>
      <c r="F2638" s="681"/>
      <c r="G2638" s="576" t="s">
        <v>97</v>
      </c>
      <c r="H2638" s="731">
        <f>SUM(H2608:H2637)</f>
        <v>1494</v>
      </c>
      <c r="I2638" s="691"/>
      <c r="J2638" s="985">
        <v>1.0000000000000009</v>
      </c>
      <c r="M2638" s="671"/>
      <c r="Q2638" s="465"/>
      <c r="T2638" s="672"/>
    </row>
    <row r="2639" spans="1:20" s="666" customFormat="1" x14ac:dyDescent="0.25">
      <c r="A2639" s="670"/>
      <c r="B2639" s="674"/>
      <c r="C2639" s="674">
        <v>2</v>
      </c>
      <c r="D2639" s="468" t="s">
        <v>337</v>
      </c>
      <c r="E2639" s="469"/>
      <c r="F2639" s="681"/>
      <c r="G2639" s="576" t="s">
        <v>105</v>
      </c>
      <c r="H2639" s="561">
        <f>+H2638*$M$157</f>
        <v>522.9</v>
      </c>
      <c r="I2639" s="692"/>
      <c r="J2639" s="986">
        <v>0.53000053192453322</v>
      </c>
      <c r="M2639" s="671"/>
      <c r="Q2639" s="465"/>
      <c r="T2639" s="672"/>
    </row>
    <row r="2640" spans="1:20" s="666" customFormat="1" x14ac:dyDescent="0.25">
      <c r="A2640" s="670"/>
      <c r="B2640" s="693"/>
      <c r="C2640" s="693">
        <v>1</v>
      </c>
      <c r="D2640" s="523" t="s">
        <v>687</v>
      </c>
      <c r="E2640" s="694"/>
      <c r="F2640" s="695"/>
      <c r="G2640" s="576" t="s">
        <v>452</v>
      </c>
      <c r="H2640" s="561">
        <f>SUM(H2638:H2639)</f>
        <v>2016.9</v>
      </c>
      <c r="I2640" s="696"/>
      <c r="J2640" s="980"/>
      <c r="M2640" s="671"/>
      <c r="Q2640" s="465"/>
      <c r="T2640" s="672"/>
    </row>
    <row r="2641" spans="1:20" s="666" customFormat="1" x14ac:dyDescent="0.25">
      <c r="A2641" s="670"/>
      <c r="B2641" s="670"/>
      <c r="C2641" s="501"/>
      <c r="D2641" s="468"/>
      <c r="E2641" s="468"/>
      <c r="F2641" s="468"/>
      <c r="G2641" s="463"/>
      <c r="H2641" s="463"/>
      <c r="I2641" s="468"/>
      <c r="J2641" s="980"/>
      <c r="M2641" s="671"/>
      <c r="Q2641" s="465"/>
      <c r="T2641" s="672"/>
    </row>
    <row r="2642" spans="1:20" s="666" customFormat="1" x14ac:dyDescent="0.25">
      <c r="A2642" s="670"/>
      <c r="B2642" s="516" t="s">
        <v>688</v>
      </c>
      <c r="C2642" s="516" t="s">
        <v>0</v>
      </c>
      <c r="D2642" s="516" t="s">
        <v>8</v>
      </c>
      <c r="E2642" s="516" t="s">
        <v>4</v>
      </c>
      <c r="F2642" s="597" t="s">
        <v>3</v>
      </c>
      <c r="G2642" s="463"/>
      <c r="H2642" s="463"/>
      <c r="I2642" s="468"/>
      <c r="J2642" s="980"/>
      <c r="M2642" s="671"/>
      <c r="Q2642" s="465"/>
      <c r="T2642" s="672"/>
    </row>
    <row r="2643" spans="1:20" s="666" customFormat="1" x14ac:dyDescent="0.25">
      <c r="A2643" s="670"/>
      <c r="B2643" s="1097">
        <f>B140</f>
        <v>9.02</v>
      </c>
      <c r="C2643" s="1097">
        <f>C140</f>
        <v>11</v>
      </c>
      <c r="D2643" s="1132" t="str">
        <f>D140</f>
        <v>TABLERO DE DISTRIBUCIÓN COMPLETA PARA S.E.
MONOFASICA DE 10 KVA, 440-220V</v>
      </c>
      <c r="E2643" s="712">
        <f>+H2677</f>
        <v>1984.5</v>
      </c>
      <c r="F2643" s="710">
        <f>+E2643*C2643</f>
        <v>21829.5</v>
      </c>
      <c r="G2643" s="463"/>
      <c r="H2643" s="463"/>
      <c r="I2643" s="468"/>
      <c r="J2643" s="980"/>
      <c r="M2643" s="671"/>
      <c r="Q2643" s="465"/>
      <c r="T2643" s="672"/>
    </row>
    <row r="2644" spans="1:20" s="666" customFormat="1" x14ac:dyDescent="0.25">
      <c r="A2644" s="670"/>
      <c r="B2644" s="1097"/>
      <c r="C2644" s="1097"/>
      <c r="D2644" s="1132"/>
      <c r="E2644" s="713" t="s">
        <v>50</v>
      </c>
      <c r="F2644" s="711" t="s">
        <v>50</v>
      </c>
      <c r="G2644" s="730" t="s">
        <v>4</v>
      </c>
      <c r="H2644" s="730" t="s">
        <v>3</v>
      </c>
      <c r="I2644" s="464" t="s">
        <v>676</v>
      </c>
      <c r="J2644" s="981">
        <v>22.727272727272727</v>
      </c>
      <c r="M2644" s="671"/>
      <c r="Q2644" s="465"/>
      <c r="T2644" s="672"/>
    </row>
    <row r="2645" spans="1:20" s="666" customFormat="1" x14ac:dyDescent="0.25">
      <c r="A2645" s="670"/>
      <c r="B2645" s="670"/>
      <c r="C2645" s="674"/>
      <c r="D2645" s="463"/>
      <c r="E2645" s="675"/>
      <c r="F2645" s="676"/>
      <c r="G2645" s="576" t="s">
        <v>50</v>
      </c>
      <c r="H2645" s="576" t="s">
        <v>50</v>
      </c>
      <c r="I2645" s="464"/>
      <c r="J2645" s="980"/>
      <c r="M2645" s="671"/>
      <c r="Q2645" s="465"/>
      <c r="T2645" s="672"/>
    </row>
    <row r="2646" spans="1:20" s="666" customFormat="1" x14ac:dyDescent="0.25">
      <c r="A2646" s="670"/>
      <c r="B2646" s="670"/>
      <c r="C2646" s="677">
        <v>1</v>
      </c>
      <c r="D2646" s="668" t="str">
        <f>+'Precios Equipos'!C199</f>
        <v>Gabinete Fibra de vidrio de 800x800x250mm. Barbotante</v>
      </c>
      <c r="E2646" s="469"/>
      <c r="F2646" s="678"/>
      <c r="G2646" s="561">
        <f>IFERROR(VLOOKUP(D2646,'Precios Equipos'!$C$1:$F$5052,3,0),"")</f>
        <v>10</v>
      </c>
      <c r="H2646" s="561">
        <f t="shared" ref="H2646:H2674" si="240">IFERROR(G2646*C2646,"")</f>
        <v>10</v>
      </c>
      <c r="I2646" s="679">
        <f>+H2646</f>
        <v>10</v>
      </c>
      <c r="J2646" s="982">
        <f>+I2646/H2675</f>
        <v>6.8027210884353739E-3</v>
      </c>
      <c r="M2646" s="671"/>
      <c r="Q2646" s="465">
        <f>+C2646*$C$2643</f>
        <v>11</v>
      </c>
      <c r="T2646" s="672"/>
    </row>
    <row r="2647" spans="1:20" s="666" customFormat="1" x14ac:dyDescent="0.25">
      <c r="A2647" s="670"/>
      <c r="B2647" s="670"/>
      <c r="C2647" s="680"/>
      <c r="D2647" s="468"/>
      <c r="E2647" s="469"/>
      <c r="F2647" s="681"/>
      <c r="G2647" s="561" t="str">
        <f>IFERROR(VLOOKUP(D2647,'Precios Equipos'!$C$1:$F$5052,3,0),"")</f>
        <v/>
      </c>
      <c r="H2647" s="561" t="str">
        <f t="shared" si="240"/>
        <v/>
      </c>
      <c r="I2647" s="682"/>
      <c r="J2647" s="983"/>
      <c r="M2647" s="671"/>
      <c r="Q2647" s="465"/>
      <c r="T2647" s="672"/>
    </row>
    <row r="2648" spans="1:20" s="666" customFormat="1" x14ac:dyDescent="0.25">
      <c r="A2648" s="670"/>
      <c r="B2648" s="670"/>
      <c r="C2648" s="680"/>
      <c r="D2648" s="714" t="s">
        <v>677</v>
      </c>
      <c r="E2648" s="469"/>
      <c r="F2648" s="681"/>
      <c r="G2648" s="561" t="str">
        <f>IFERROR(VLOOKUP(D2648,'Precios Equipos'!$C$1:$F$5052,3,0),"")</f>
        <v/>
      </c>
      <c r="H2648" s="561" t="str">
        <f t="shared" si="240"/>
        <v/>
      </c>
      <c r="I2648" s="682"/>
      <c r="J2648" s="983"/>
      <c r="M2648" s="671"/>
      <c r="Q2648" s="465"/>
      <c r="T2648" s="672"/>
    </row>
    <row r="2649" spans="1:20" s="666" customFormat="1" x14ac:dyDescent="0.25">
      <c r="A2649" s="670"/>
      <c r="B2649" s="670"/>
      <c r="C2649" s="674">
        <v>1</v>
      </c>
      <c r="D2649" s="683" t="str">
        <f>+'Precios Equipos'!$C$28</f>
        <v>ITM  2 x 40A, Caja Moldeada, 15KA@440V, 2B160, SIGMA ELEKTRIK</v>
      </c>
      <c r="E2649" s="684"/>
      <c r="F2649" s="678"/>
      <c r="G2649" s="561">
        <f>IFERROR(VLOOKUP(D2649,'Precios Equipos'!$C$1:$F$5052,3,0),"")</f>
        <v>61</v>
      </c>
      <c r="H2649" s="561">
        <f t="shared" si="240"/>
        <v>61</v>
      </c>
      <c r="I2649" s="1127">
        <f>SUM(H2649:H2668)</f>
        <v>1460</v>
      </c>
      <c r="J2649" s="1128">
        <f>+I2649/H2675</f>
        <v>0.99319727891156462</v>
      </c>
      <c r="M2649" s="671"/>
      <c r="Q2649" s="465">
        <f>+C2649*$C$2643</f>
        <v>11</v>
      </c>
      <c r="T2649" s="672"/>
    </row>
    <row r="2650" spans="1:20" s="666" customFormat="1" x14ac:dyDescent="0.25">
      <c r="A2650" s="670"/>
      <c r="B2650" s="670"/>
      <c r="C2650" s="674"/>
      <c r="D2650" s="683"/>
      <c r="E2650" s="684"/>
      <c r="F2650" s="678"/>
      <c r="G2650" s="561" t="str">
        <f>IFERROR(VLOOKUP(D2650,'Precios Equipos'!$C$1:$F$5052,3,0),"")</f>
        <v/>
      </c>
      <c r="H2650" s="561" t="str">
        <f t="shared" si="240"/>
        <v/>
      </c>
      <c r="I2650" s="1127"/>
      <c r="J2650" s="1128"/>
      <c r="M2650" s="671"/>
      <c r="Q2650" s="465"/>
      <c r="T2650" s="672"/>
    </row>
    <row r="2651" spans="1:20" s="666" customFormat="1" x14ac:dyDescent="0.25">
      <c r="A2651" s="670"/>
      <c r="B2651" s="670"/>
      <c r="C2651" s="680"/>
      <c r="D2651" s="714" t="s">
        <v>678</v>
      </c>
      <c r="E2651" s="469"/>
      <c r="F2651" s="681"/>
      <c r="G2651" s="561" t="str">
        <f>IFERROR(VLOOKUP(D2651,'Precios Equipos'!$C$1:$F$5052,3,0),"")</f>
        <v/>
      </c>
      <c r="H2651" s="561" t="str">
        <f t="shared" si="240"/>
        <v/>
      </c>
      <c r="I2651" s="1127"/>
      <c r="J2651" s="1128"/>
      <c r="M2651" s="671"/>
      <c r="Q2651" s="465"/>
      <c r="T2651" s="672"/>
    </row>
    <row r="2652" spans="1:20" s="666" customFormat="1" x14ac:dyDescent="0.25">
      <c r="A2652" s="670"/>
      <c r="B2652" s="670"/>
      <c r="C2652" s="674">
        <v>1</v>
      </c>
      <c r="D2652" s="468" t="str">
        <f>+'Precios Equipos'!$C$61</f>
        <v>Protector de sobretension SPD AC 2P, 1000V AC, CLAMPER/DC SURGE PROTECCION</v>
      </c>
      <c r="E2652" s="469"/>
      <c r="F2652" s="681"/>
      <c r="G2652" s="561">
        <f>IFERROR(VLOOKUP(D2652,'Precios Equipos'!$C$1:$F$5052,3,0),"")</f>
        <v>59</v>
      </c>
      <c r="H2652" s="561">
        <f t="shared" ref="H2652" si="241">IFERROR(G2652*C2652,"")</f>
        <v>59</v>
      </c>
      <c r="I2652" s="1127"/>
      <c r="J2652" s="1128"/>
      <c r="M2652" s="671"/>
      <c r="Q2652" s="465">
        <f>+C2652*$C$2643</f>
        <v>11</v>
      </c>
      <c r="T2652" s="672"/>
    </row>
    <row r="2653" spans="1:20" s="666" customFormat="1" x14ac:dyDescent="0.25">
      <c r="A2653" s="670"/>
      <c r="B2653" s="670"/>
      <c r="C2653" s="674">
        <v>5</v>
      </c>
      <c r="D2653" s="683" t="str">
        <f>+'Precios Equipos'!$C$26</f>
        <v>ITM  2 x 16A, Caja Moldeada, 15KA@440V, 2B160, SIGMA ELEKTRIK</v>
      </c>
      <c r="E2653" s="690"/>
      <c r="F2653" s="678"/>
      <c r="G2653" s="561">
        <f>IFERROR(VLOOKUP(D2653,'Precios Equipos'!$C$1:$F$5052,3,0),"")</f>
        <v>115</v>
      </c>
      <c r="H2653" s="561">
        <f t="shared" si="240"/>
        <v>575</v>
      </c>
      <c r="I2653" s="1127"/>
      <c r="J2653" s="1128"/>
      <c r="M2653" s="671"/>
      <c r="Q2653" s="465">
        <f>+C2653*$C$2643</f>
        <v>55</v>
      </c>
      <c r="T2653" s="672"/>
    </row>
    <row r="2654" spans="1:20" s="666" customFormat="1" x14ac:dyDescent="0.25">
      <c r="A2654" s="670"/>
      <c r="B2654" s="670"/>
      <c r="C2654" s="674"/>
      <c r="D2654" s="683"/>
      <c r="E2654" s="690"/>
      <c r="F2654" s="697"/>
      <c r="G2654" s="561" t="str">
        <f>IFERROR(VLOOKUP(D2654,'Precios Equipos'!$C$1:$F$5052,3,0),"")</f>
        <v/>
      </c>
      <c r="H2654" s="561" t="str">
        <f t="shared" si="240"/>
        <v/>
      </c>
      <c r="I2654" s="1127"/>
      <c r="J2654" s="1128"/>
      <c r="M2654" s="671"/>
      <c r="Q2654" s="465"/>
      <c r="T2654" s="672"/>
    </row>
    <row r="2655" spans="1:20" s="666" customFormat="1" x14ac:dyDescent="0.25">
      <c r="A2655" s="670"/>
      <c r="B2655" s="670"/>
      <c r="C2655" s="674"/>
      <c r="D2655" s="715" t="s">
        <v>679</v>
      </c>
      <c r="E2655" s="684"/>
      <c r="F2655" s="685"/>
      <c r="G2655" s="561" t="str">
        <f>IFERROR(VLOOKUP(D2655,'Precios Equipos'!$C$1:$F$5052,3,0),"")</f>
        <v/>
      </c>
      <c r="H2655" s="561" t="str">
        <f t="shared" si="240"/>
        <v/>
      </c>
      <c r="I2655" s="1127"/>
      <c r="J2655" s="1128"/>
      <c r="M2655" s="671"/>
      <c r="Q2655" s="465"/>
      <c r="T2655" s="672"/>
    </row>
    <row r="2656" spans="1:20" s="666" customFormat="1" x14ac:dyDescent="0.25">
      <c r="A2656" s="670"/>
      <c r="B2656" s="670"/>
      <c r="C2656" s="674">
        <v>1</v>
      </c>
      <c r="D2656" s="683" t="str">
        <f>+'Precios Equipos'!C27</f>
        <v>ITM  2 x 25A, Caja Moldeada, 15KA@440V, 2B160, SIGMA ELEKTRIK</v>
      </c>
      <c r="E2656" s="684"/>
      <c r="F2656" s="678"/>
      <c r="G2656" s="561">
        <f>IFERROR(VLOOKUP(D2656,'Precios Equipos'!$C$1:$F$5052,3,0),"")</f>
        <v>91</v>
      </c>
      <c r="H2656" s="561">
        <f t="shared" si="240"/>
        <v>91</v>
      </c>
      <c r="I2656" s="1127"/>
      <c r="J2656" s="1128"/>
      <c r="M2656" s="671"/>
      <c r="Q2656" s="465">
        <f>+C2656*$C$2643</f>
        <v>11</v>
      </c>
      <c r="T2656" s="672"/>
    </row>
    <row r="2657" spans="1:20" s="666" customFormat="1" x14ac:dyDescent="0.25">
      <c r="A2657" s="670"/>
      <c r="B2657" s="670"/>
      <c r="C2657" s="686">
        <v>1</v>
      </c>
      <c r="D2657" s="683" t="str">
        <f>+'Precios Equipos'!$C$70</f>
        <v>Contactor Trifásico 18 A, AC3, 220V, AF16, ABB</v>
      </c>
      <c r="E2657" s="684"/>
      <c r="F2657" s="678"/>
      <c r="G2657" s="561">
        <f>IFERROR(VLOOKUP(D2657,'Precios Equipos'!$C$1:$F$5052,3,0),"")</f>
        <v>42</v>
      </c>
      <c r="H2657" s="561">
        <f t="shared" si="240"/>
        <v>42</v>
      </c>
      <c r="I2657" s="1127"/>
      <c r="J2657" s="1128"/>
      <c r="M2657" s="671"/>
      <c r="Q2657" s="465">
        <f>+C2657*$C$2643</f>
        <v>11</v>
      </c>
      <c r="T2657" s="672"/>
    </row>
    <row r="2658" spans="1:20" s="666" customFormat="1" x14ac:dyDescent="0.25">
      <c r="A2658" s="670"/>
      <c r="B2658" s="670"/>
      <c r="C2658" s="674">
        <v>1</v>
      </c>
      <c r="D2658" s="688" t="str">
        <f>+'Precios Equipos'!$C$77</f>
        <v>Interruptor Horario Digital, Res. 3 años, 220V, 60Hz</v>
      </c>
      <c r="E2658" s="469"/>
      <c r="F2658" s="678"/>
      <c r="G2658" s="561">
        <f>IFERROR(VLOOKUP(D2658,'Precios Equipos'!$C$1:$F$5052,3,0),"")</f>
        <v>42</v>
      </c>
      <c r="H2658" s="561">
        <f t="shared" si="240"/>
        <v>42</v>
      </c>
      <c r="I2658" s="1127"/>
      <c r="J2658" s="1128"/>
      <c r="M2658" s="671"/>
      <c r="Q2658" s="465">
        <f>+C2658*$C$2643</f>
        <v>11</v>
      </c>
      <c r="T2658" s="672"/>
    </row>
    <row r="2659" spans="1:20" s="666" customFormat="1" x14ac:dyDescent="0.25">
      <c r="A2659" s="670"/>
      <c r="B2659" s="670"/>
      <c r="C2659" s="674">
        <v>1</v>
      </c>
      <c r="D2659" s="683" t="str">
        <f>+'Precios Equipos'!$C$51</f>
        <v>Interruptor Riel Din 2x10A, 6KA@400V</v>
      </c>
      <c r="E2659" s="684"/>
      <c r="F2659" s="678"/>
      <c r="G2659" s="561">
        <f>IFERROR(VLOOKUP(D2659,'Precios Equipos'!$C$1:$F$5052,3,0),"")</f>
        <v>42</v>
      </c>
      <c r="H2659" s="561">
        <f t="shared" si="240"/>
        <v>42</v>
      </c>
      <c r="I2659" s="1127"/>
      <c r="J2659" s="1128"/>
      <c r="M2659" s="671"/>
      <c r="Q2659" s="465">
        <f>+C2659*$C$2643</f>
        <v>11</v>
      </c>
      <c r="T2659" s="672"/>
    </row>
    <row r="2660" spans="1:20" s="666" customFormat="1" x14ac:dyDescent="0.25">
      <c r="A2660" s="670"/>
      <c r="B2660" s="670"/>
      <c r="C2660" s="674"/>
      <c r="D2660" s="683"/>
      <c r="E2660" s="684"/>
      <c r="F2660" s="685"/>
      <c r="G2660" s="561" t="str">
        <f>IFERROR(VLOOKUP(D2660,'Precios Equipos'!$C$1:$F$5052,3,0),"")</f>
        <v/>
      </c>
      <c r="H2660" s="561" t="str">
        <f t="shared" si="240"/>
        <v/>
      </c>
      <c r="I2660" s="1127"/>
      <c r="J2660" s="1128"/>
      <c r="M2660" s="671"/>
      <c r="Q2660" s="465"/>
      <c r="T2660" s="672"/>
    </row>
    <row r="2661" spans="1:20" s="666" customFormat="1" x14ac:dyDescent="0.25">
      <c r="A2661" s="670"/>
      <c r="B2661" s="670"/>
      <c r="C2661" s="674"/>
      <c r="D2661" s="715" t="s">
        <v>680</v>
      </c>
      <c r="E2661" s="684"/>
      <c r="F2661" s="685"/>
      <c r="G2661" s="561" t="str">
        <f>IFERROR(VLOOKUP(D2661,'Precios Equipos'!$C$1:$F$5052,3,0),"")</f>
        <v/>
      </c>
      <c r="H2661" s="561" t="str">
        <f t="shared" si="240"/>
        <v/>
      </c>
      <c r="I2661" s="1127"/>
      <c r="J2661" s="1128"/>
      <c r="M2661" s="671"/>
      <c r="Q2661" s="465"/>
      <c r="T2661" s="672"/>
    </row>
    <row r="2662" spans="1:20" s="666" customFormat="1" x14ac:dyDescent="0.25">
      <c r="A2662" s="670"/>
      <c r="B2662" s="670"/>
      <c r="C2662" s="674">
        <v>1</v>
      </c>
      <c r="D2662" s="683" t="str">
        <f>+'Precios Equipos'!$C$34</f>
        <v>Medidor Electronico HXE34KS-1, HEXING</v>
      </c>
      <c r="E2662" s="684"/>
      <c r="F2662" s="678"/>
      <c r="G2662" s="561">
        <f>IFERROR(VLOOKUP(D2662,'Precios Equipos'!$C$1:$F$5052,3,0),"")</f>
        <v>42</v>
      </c>
      <c r="H2662" s="561">
        <f t="shared" si="240"/>
        <v>42</v>
      </c>
      <c r="I2662" s="1127"/>
      <c r="J2662" s="1128"/>
      <c r="M2662" s="671"/>
      <c r="Q2662" s="465">
        <f>+C2662*$C$2643</f>
        <v>11</v>
      </c>
      <c r="T2662" s="672"/>
    </row>
    <row r="2663" spans="1:20" s="666" customFormat="1" x14ac:dyDescent="0.25">
      <c r="A2663" s="670"/>
      <c r="B2663" s="670"/>
      <c r="C2663" s="686">
        <v>1</v>
      </c>
      <c r="D2663" s="683" t="str">
        <f>+'Precios Equipos'!$C$35</f>
        <v>Medidor Electronico Monofasico HXE12ES, HEXING</v>
      </c>
      <c r="E2663" s="684"/>
      <c r="F2663" s="678"/>
      <c r="G2663" s="561">
        <f>IFERROR(VLOOKUP(D2663,'Precios Equipos'!$C$1:$F$5052,3,0),"")</f>
        <v>41</v>
      </c>
      <c r="H2663" s="561">
        <f t="shared" si="240"/>
        <v>41</v>
      </c>
      <c r="I2663" s="1127"/>
      <c r="J2663" s="1128"/>
      <c r="M2663" s="671"/>
      <c r="Q2663" s="465">
        <f>+C2663*$C$2643</f>
        <v>11</v>
      </c>
      <c r="T2663" s="672"/>
    </row>
    <row r="2664" spans="1:20" s="666" customFormat="1" x14ac:dyDescent="0.25">
      <c r="A2664" s="670"/>
      <c r="B2664" s="670"/>
      <c r="C2664" s="686"/>
      <c r="D2664" s="683"/>
      <c r="E2664" s="684"/>
      <c r="F2664" s="678"/>
      <c r="G2664" s="561" t="str">
        <f>IFERROR(VLOOKUP(D2664,'Precios Equipos'!$C$1:$F$5052,3,0),"")</f>
        <v/>
      </c>
      <c r="H2664" s="561" t="str">
        <f t="shared" si="240"/>
        <v/>
      </c>
      <c r="I2664" s="1127"/>
      <c r="J2664" s="1128"/>
      <c r="M2664" s="671"/>
      <c r="Q2664" s="465"/>
      <c r="T2664" s="672"/>
    </row>
    <row r="2665" spans="1:20" s="666" customFormat="1" x14ac:dyDescent="0.25">
      <c r="A2665" s="670"/>
      <c r="B2665" s="670"/>
      <c r="C2665" s="674"/>
      <c r="D2665" s="715" t="s">
        <v>87</v>
      </c>
      <c r="E2665" s="684"/>
      <c r="F2665" s="685"/>
      <c r="G2665" s="561" t="str">
        <f>IFERROR(VLOOKUP(D2665,'Precios Equipos'!$C$1:$F$5052,3,0),"")</f>
        <v/>
      </c>
      <c r="H2665" s="561" t="str">
        <f t="shared" si="240"/>
        <v/>
      </c>
      <c r="I2665" s="1127"/>
      <c r="J2665" s="1128"/>
      <c r="M2665" s="671"/>
      <c r="Q2665" s="465"/>
      <c r="T2665" s="672"/>
    </row>
    <row r="2666" spans="1:20" s="666" customFormat="1" x14ac:dyDescent="0.25">
      <c r="A2666" s="670"/>
      <c r="B2666" s="670"/>
      <c r="C2666" s="674">
        <v>3</v>
      </c>
      <c r="D2666" s="689" t="str">
        <f>+'Precios Equipos'!$C$66</f>
        <v>Base PortaFusible y Fusible 25A / 2A</v>
      </c>
      <c r="E2666" s="684"/>
      <c r="F2666" s="678"/>
      <c r="G2666" s="561">
        <f>IFERROR(VLOOKUP(D2666,'Precios Equipos'!$C$1:$F$5052,3,0),"")</f>
        <v>127</v>
      </c>
      <c r="H2666" s="561">
        <f t="shared" si="240"/>
        <v>381</v>
      </c>
      <c r="I2666" s="1127"/>
      <c r="J2666" s="1128"/>
      <c r="M2666" s="671"/>
      <c r="Q2666" s="465">
        <f>+C2666*$C$2643</f>
        <v>33</v>
      </c>
      <c r="T2666" s="672"/>
    </row>
    <row r="2667" spans="1:20" s="666" customFormat="1" x14ac:dyDescent="0.25">
      <c r="A2667" s="670"/>
      <c r="B2667" s="670"/>
      <c r="C2667" s="674">
        <v>1</v>
      </c>
      <c r="D2667" s="689" t="str">
        <f>+'Precios Equipos'!$C$76</f>
        <v>Interruptor unipolar y tomacorriente</v>
      </c>
      <c r="E2667" s="469"/>
      <c r="F2667" s="678"/>
      <c r="G2667" s="561">
        <f>IFERROR(VLOOKUP(D2667,'Precios Equipos'!$C$1:$F$5052,3,0),"")</f>
        <v>42</v>
      </c>
      <c r="H2667" s="561">
        <f t="shared" si="240"/>
        <v>42</v>
      </c>
      <c r="I2667" s="1127"/>
      <c r="J2667" s="1128"/>
      <c r="M2667" s="671"/>
      <c r="Q2667" s="465">
        <f>+C2667*$C$2643</f>
        <v>11</v>
      </c>
      <c r="T2667" s="672"/>
    </row>
    <row r="2668" spans="1:20" s="666" customFormat="1" x14ac:dyDescent="0.25">
      <c r="A2668" s="670"/>
      <c r="B2668" s="670"/>
      <c r="C2668" s="674">
        <v>1</v>
      </c>
      <c r="D2668" s="689" t="str">
        <f>+'Precios Equipos'!$C$71</f>
        <v>Lampara Incandescente 100 W, 220 V con Socket</v>
      </c>
      <c r="E2668" s="690"/>
      <c r="F2668" s="678"/>
      <c r="G2668" s="561">
        <f>IFERROR(VLOOKUP(D2668,'Precios Equipos'!$C$1:$F$5052,3,0),"")</f>
        <v>42</v>
      </c>
      <c r="H2668" s="561">
        <f t="shared" si="240"/>
        <v>42</v>
      </c>
      <c r="I2668" s="1127"/>
      <c r="J2668" s="1128"/>
      <c r="M2668" s="671"/>
      <c r="Q2668" s="465">
        <f>+C2668*$C$2643</f>
        <v>11</v>
      </c>
      <c r="T2668" s="672"/>
    </row>
    <row r="2669" spans="1:20" s="666" customFormat="1" x14ac:dyDescent="0.25">
      <c r="A2669" s="670"/>
      <c r="B2669" s="670"/>
      <c r="C2669" s="674">
        <v>1</v>
      </c>
      <c r="D2669" s="468" t="s">
        <v>681</v>
      </c>
      <c r="E2669" s="469"/>
      <c r="F2669" s="678"/>
      <c r="G2669" s="561" t="str">
        <f>IFERROR(VLOOKUP(D2669,'Precios Equipos'!$C$1:$F$5052,3,0),"")</f>
        <v/>
      </c>
      <c r="H2669" s="561" t="str">
        <f t="shared" si="240"/>
        <v/>
      </c>
      <c r="I2669" s="682"/>
      <c r="J2669" s="984"/>
      <c r="M2669" s="671"/>
      <c r="Q2669" s="465"/>
      <c r="T2669" s="672"/>
    </row>
    <row r="2670" spans="1:20" s="666" customFormat="1" x14ac:dyDescent="0.25">
      <c r="A2670" s="670"/>
      <c r="B2670" s="670"/>
      <c r="C2670" s="674">
        <v>1</v>
      </c>
      <c r="D2670" s="468" t="s">
        <v>20</v>
      </c>
      <c r="E2670" s="469"/>
      <c r="F2670" s="681"/>
      <c r="G2670" s="561" t="str">
        <f>IFERROR(VLOOKUP(D2670,'Precios Equipos'!$C$1:$F$5052,3,0),"")</f>
        <v/>
      </c>
      <c r="H2670" s="561" t="str">
        <f t="shared" si="240"/>
        <v/>
      </c>
      <c r="I2670" s="682"/>
      <c r="J2670" s="984"/>
      <c r="M2670" s="671"/>
      <c r="Q2670" s="465"/>
      <c r="T2670" s="672"/>
    </row>
    <row r="2671" spans="1:20" s="666" customFormat="1" x14ac:dyDescent="0.25">
      <c r="A2671" s="670"/>
      <c r="B2671" s="670"/>
      <c r="C2671" s="674">
        <v>1</v>
      </c>
      <c r="D2671" s="468" t="s">
        <v>682</v>
      </c>
      <c r="E2671" s="469"/>
      <c r="F2671" s="681"/>
      <c r="G2671" s="561" t="str">
        <f>IFERROR(VLOOKUP(D2671,'Precios Equipos'!$C$1:$F$5052,3,0),"")</f>
        <v/>
      </c>
      <c r="H2671" s="561" t="str">
        <f t="shared" si="240"/>
        <v/>
      </c>
      <c r="I2671" s="682"/>
      <c r="J2671" s="984"/>
      <c r="M2671" s="671"/>
      <c r="Q2671" s="465"/>
      <c r="T2671" s="672"/>
    </row>
    <row r="2672" spans="1:20" s="666" customFormat="1" x14ac:dyDescent="0.25">
      <c r="A2672" s="670"/>
      <c r="B2672" s="670"/>
      <c r="C2672" s="674">
        <v>1</v>
      </c>
      <c r="D2672" s="468" t="s">
        <v>683</v>
      </c>
      <c r="E2672" s="469"/>
      <c r="F2672" s="681"/>
      <c r="G2672" s="561" t="str">
        <f>IFERROR(VLOOKUP(D2672,'Precios Equipos'!$C$1:$F$5052,3,0),"")</f>
        <v/>
      </c>
      <c r="H2672" s="561" t="str">
        <f t="shared" si="240"/>
        <v/>
      </c>
      <c r="I2672" s="682"/>
      <c r="J2672" s="984"/>
      <c r="M2672" s="671"/>
      <c r="Q2672" s="465"/>
      <c r="T2672" s="672"/>
    </row>
    <row r="2673" spans="1:20" s="666" customFormat="1" x14ac:dyDescent="0.25">
      <c r="A2673" s="670"/>
      <c r="B2673" s="670"/>
      <c r="C2673" s="674">
        <v>1</v>
      </c>
      <c r="D2673" s="468" t="s">
        <v>684</v>
      </c>
      <c r="E2673" s="469"/>
      <c r="F2673" s="681"/>
      <c r="G2673" s="561" t="str">
        <f>IFERROR(VLOOKUP(D2673,'Precios Equipos'!$C$1:$F$5052,3,0),"")</f>
        <v/>
      </c>
      <c r="H2673" s="561" t="str">
        <f t="shared" si="240"/>
        <v/>
      </c>
      <c r="I2673" s="682"/>
      <c r="J2673" s="984"/>
      <c r="M2673" s="671"/>
      <c r="Q2673" s="465"/>
      <c r="T2673" s="672"/>
    </row>
    <row r="2674" spans="1:20" s="666" customFormat="1" x14ac:dyDescent="0.25">
      <c r="A2674" s="670"/>
      <c r="B2674" s="670"/>
      <c r="C2674" s="674">
        <v>1</v>
      </c>
      <c r="D2674" s="468" t="s">
        <v>685</v>
      </c>
      <c r="E2674" s="469"/>
      <c r="F2674" s="681"/>
      <c r="G2674" s="561" t="str">
        <f>IFERROR(VLOOKUP(D2674,'Precios Equipos'!$C$1:$F$5052,3,0),"")</f>
        <v/>
      </c>
      <c r="H2674" s="561" t="str">
        <f t="shared" si="240"/>
        <v/>
      </c>
      <c r="I2674" s="682"/>
      <c r="J2674" s="984"/>
      <c r="M2674" s="671"/>
      <c r="Q2674" s="465"/>
      <c r="T2674" s="672"/>
    </row>
    <row r="2675" spans="1:20" s="666" customFormat="1" x14ac:dyDescent="0.25">
      <c r="A2675" s="670"/>
      <c r="B2675" s="670"/>
      <c r="C2675" s="674">
        <v>1</v>
      </c>
      <c r="D2675" s="468" t="s">
        <v>686</v>
      </c>
      <c r="E2675" s="469"/>
      <c r="F2675" s="681"/>
      <c r="G2675" s="576" t="s">
        <v>97</v>
      </c>
      <c r="H2675" s="731">
        <f>SUM(H2646:H2674)</f>
        <v>1470</v>
      </c>
      <c r="I2675" s="691"/>
      <c r="J2675" s="985">
        <f>+J2649+J2646</f>
        <v>1</v>
      </c>
      <c r="M2675" s="671"/>
      <c r="Q2675" s="465"/>
      <c r="T2675" s="672"/>
    </row>
    <row r="2676" spans="1:20" s="666" customFormat="1" x14ac:dyDescent="0.25">
      <c r="A2676" s="670"/>
      <c r="B2676" s="670"/>
      <c r="C2676" s="674">
        <v>2</v>
      </c>
      <c r="D2676" s="468" t="s">
        <v>337</v>
      </c>
      <c r="E2676" s="469"/>
      <c r="F2676" s="681"/>
      <c r="G2676" s="576" t="s">
        <v>105</v>
      </c>
      <c r="H2676" s="561">
        <f>+H2675*$M$157</f>
        <v>514.5</v>
      </c>
      <c r="I2676" s="692"/>
      <c r="J2676" s="986">
        <f>+H2676/H2675</f>
        <v>0.35</v>
      </c>
      <c r="M2676" s="671"/>
      <c r="Q2676" s="465"/>
      <c r="T2676" s="672"/>
    </row>
    <row r="2677" spans="1:20" s="666" customFormat="1" x14ac:dyDescent="0.25">
      <c r="A2677" s="670"/>
      <c r="B2677" s="670"/>
      <c r="C2677" s="693">
        <v>1</v>
      </c>
      <c r="D2677" s="523" t="s">
        <v>687</v>
      </c>
      <c r="E2677" s="694"/>
      <c r="F2677" s="695"/>
      <c r="G2677" s="576" t="s">
        <v>452</v>
      </c>
      <c r="H2677" s="561">
        <f>SUM(H2675:H2676)</f>
        <v>1984.5</v>
      </c>
      <c r="I2677" s="696"/>
      <c r="J2677" s="980"/>
      <c r="M2677" s="671"/>
      <c r="Q2677" s="465"/>
      <c r="T2677" s="672"/>
    </row>
    <row r="2678" spans="1:20" s="666" customFormat="1" x14ac:dyDescent="0.25">
      <c r="A2678" s="670"/>
      <c r="B2678" s="670"/>
      <c r="C2678" s="501"/>
      <c r="D2678" s="579"/>
      <c r="E2678" s="698"/>
      <c r="F2678" s="698"/>
      <c r="G2678" s="732"/>
      <c r="H2678" s="733"/>
      <c r="I2678" s="699"/>
      <c r="J2678" s="980"/>
      <c r="M2678" s="671"/>
      <c r="Q2678" s="465"/>
      <c r="T2678" s="672"/>
    </row>
    <row r="2679" spans="1:20" s="666" customFormat="1" x14ac:dyDescent="0.25">
      <c r="A2679" s="670"/>
      <c r="B2679" s="516" t="s">
        <v>688</v>
      </c>
      <c r="C2679" s="516" t="s">
        <v>0</v>
      </c>
      <c r="D2679" s="516" t="s">
        <v>8</v>
      </c>
      <c r="E2679" s="516" t="s">
        <v>4</v>
      </c>
      <c r="F2679" s="597" t="s">
        <v>3</v>
      </c>
      <c r="G2679" s="732"/>
      <c r="H2679" s="733"/>
      <c r="I2679" s="699"/>
      <c r="J2679" s="980"/>
      <c r="M2679" s="671"/>
      <c r="Q2679" s="465"/>
      <c r="T2679" s="672"/>
    </row>
    <row r="2680" spans="1:20" s="666" customFormat="1" x14ac:dyDescent="0.25">
      <c r="A2680" s="670"/>
      <c r="B2680" s="1097">
        <f>B141</f>
        <v>9.0299999999999994</v>
      </c>
      <c r="C2680" s="1097">
        <f>C141</f>
        <v>12</v>
      </c>
      <c r="D2680" s="1132" t="str">
        <f>D141</f>
        <v>TABLERO DE DISTRIBUCIÓN COMPLETA PARA S.E. 
MONOFASICA DE 15 KVA, 440-220V</v>
      </c>
      <c r="E2680" s="712">
        <f>+H2714</f>
        <v>1767.15</v>
      </c>
      <c r="F2680" s="710">
        <f>+E2680*C2680</f>
        <v>21205.800000000003</v>
      </c>
      <c r="G2680" s="730" t="s">
        <v>4</v>
      </c>
      <c r="H2680" s="730" t="s">
        <v>3</v>
      </c>
      <c r="I2680" s="464" t="s">
        <v>676</v>
      </c>
      <c r="J2680" s="981">
        <v>34.090909090909093</v>
      </c>
      <c r="M2680" s="671"/>
      <c r="Q2680" s="465"/>
      <c r="T2680" s="672"/>
    </row>
    <row r="2681" spans="1:20" s="666" customFormat="1" x14ac:dyDescent="0.25">
      <c r="A2681" s="670"/>
      <c r="B2681" s="1097"/>
      <c r="C2681" s="1097"/>
      <c r="D2681" s="1132"/>
      <c r="E2681" s="713" t="s">
        <v>50</v>
      </c>
      <c r="F2681" s="711" t="s">
        <v>50</v>
      </c>
      <c r="G2681" s="576" t="s">
        <v>50</v>
      </c>
      <c r="H2681" s="576" t="s">
        <v>50</v>
      </c>
      <c r="I2681" s="464"/>
      <c r="J2681" s="980"/>
      <c r="M2681" s="671"/>
      <c r="Q2681" s="465"/>
      <c r="T2681" s="672"/>
    </row>
    <row r="2682" spans="1:20" s="666" customFormat="1" x14ac:dyDescent="0.25">
      <c r="A2682" s="670"/>
      <c r="B2682" s="700"/>
      <c r="C2682" s="674"/>
      <c r="D2682" s="463"/>
      <c r="E2682" s="675"/>
      <c r="F2682" s="676"/>
      <c r="G2682" s="479"/>
      <c r="H2682" s="479"/>
      <c r="I2682" s="468"/>
      <c r="J2682" s="980"/>
      <c r="M2682" s="671"/>
      <c r="Q2682" s="465"/>
      <c r="T2682" s="672"/>
    </row>
    <row r="2683" spans="1:20" s="666" customFormat="1" x14ac:dyDescent="0.25">
      <c r="A2683" s="670"/>
      <c r="B2683" s="700"/>
      <c r="C2683" s="677">
        <v>1</v>
      </c>
      <c r="D2683" s="701" t="str">
        <f>+'Precios Equipos'!C199</f>
        <v>Gabinete Fibra de vidrio de 800x800x250mm. Barbotante</v>
      </c>
      <c r="E2683" s="469"/>
      <c r="F2683" s="678"/>
      <c r="G2683" s="561">
        <f>IFERROR(VLOOKUP(D2683,'Precios Equipos'!$C$1:$F$5052,3,0),"")</f>
        <v>10</v>
      </c>
      <c r="H2683" s="561">
        <f t="shared" ref="H2683:H2711" si="242">IFERROR(G2683*C2683,"")</f>
        <v>10</v>
      </c>
      <c r="I2683" s="679">
        <f>+H2683</f>
        <v>10</v>
      </c>
      <c r="J2683" s="982">
        <f>+I2683/H2712</f>
        <v>7.6394194041252868E-3</v>
      </c>
      <c r="M2683" s="671"/>
      <c r="Q2683" s="465">
        <f>+C2683*$C$2680</f>
        <v>12</v>
      </c>
      <c r="T2683" s="672"/>
    </row>
    <row r="2684" spans="1:20" s="666" customFormat="1" x14ac:dyDescent="0.25">
      <c r="A2684" s="670"/>
      <c r="B2684" s="700"/>
      <c r="C2684" s="680"/>
      <c r="D2684" s="470"/>
      <c r="E2684" s="469"/>
      <c r="F2684" s="681"/>
      <c r="G2684" s="561" t="str">
        <f>IFERROR(VLOOKUP(D2684,'Precios Equipos'!$C$1:$F$5052,3,0),"")</f>
        <v/>
      </c>
      <c r="H2684" s="561" t="str">
        <f t="shared" si="242"/>
        <v/>
      </c>
      <c r="I2684" s="682"/>
      <c r="J2684" s="983"/>
      <c r="M2684" s="671"/>
      <c r="Q2684" s="465"/>
      <c r="T2684" s="672"/>
    </row>
    <row r="2685" spans="1:20" s="666" customFormat="1" x14ac:dyDescent="0.25">
      <c r="A2685" s="670"/>
      <c r="B2685" s="700"/>
      <c r="C2685" s="680"/>
      <c r="D2685" s="714" t="s">
        <v>677</v>
      </c>
      <c r="E2685" s="469"/>
      <c r="F2685" s="681"/>
      <c r="G2685" s="561" t="str">
        <f>IFERROR(VLOOKUP(D2685,'Precios Equipos'!$C$1:$F$5052,3,0),"")</f>
        <v/>
      </c>
      <c r="H2685" s="561" t="str">
        <f t="shared" si="242"/>
        <v/>
      </c>
      <c r="I2685" s="682"/>
      <c r="J2685" s="983"/>
      <c r="M2685" s="671"/>
      <c r="Q2685" s="465"/>
      <c r="T2685" s="672"/>
    </row>
    <row r="2686" spans="1:20" s="666" customFormat="1" x14ac:dyDescent="0.25">
      <c r="A2686" s="670"/>
      <c r="B2686" s="700"/>
      <c r="C2686" s="674">
        <v>1</v>
      </c>
      <c r="D2686" s="683" t="str">
        <f>+'Precios Equipos'!C29</f>
        <v>ITM  2 x 63A, Caja Moldeada, 15KA@440V, 2B160, SIGMA ELEKTRIK</v>
      </c>
      <c r="E2686" s="684"/>
      <c r="F2686" s="678"/>
      <c r="G2686" s="561">
        <f>IFERROR(VLOOKUP(D2686,'Precios Equipos'!$C$1:$F$5052,3,0),"")</f>
        <v>20</v>
      </c>
      <c r="H2686" s="561">
        <f t="shared" si="242"/>
        <v>20</v>
      </c>
      <c r="I2686" s="1127">
        <f>SUM(H2686:H2705)</f>
        <v>1299</v>
      </c>
      <c r="J2686" s="1128">
        <f>+I2686/H2712</f>
        <v>0.99236058059587473</v>
      </c>
      <c r="K2686" s="672"/>
      <c r="L2686" s="672"/>
      <c r="M2686" s="672"/>
      <c r="N2686" s="672"/>
      <c r="O2686" s="672"/>
      <c r="P2686" s="672"/>
      <c r="Q2686" s="465">
        <f>+C2686*$C$2680</f>
        <v>12</v>
      </c>
      <c r="R2686" s="672"/>
      <c r="S2686" s="672"/>
      <c r="T2686" s="672"/>
    </row>
    <row r="2687" spans="1:20" s="666" customFormat="1" x14ac:dyDescent="0.25">
      <c r="A2687" s="670"/>
      <c r="B2687" s="700"/>
      <c r="C2687" s="674"/>
      <c r="D2687" s="683"/>
      <c r="E2687" s="684"/>
      <c r="F2687" s="678"/>
      <c r="G2687" s="561" t="str">
        <f>IFERROR(VLOOKUP(D2687,'Precios Equipos'!$C$1:$F$5052,3,0),"")</f>
        <v/>
      </c>
      <c r="H2687" s="561" t="str">
        <f t="shared" si="242"/>
        <v/>
      </c>
      <c r="I2687" s="1127"/>
      <c r="J2687" s="1128"/>
      <c r="K2687" s="672"/>
      <c r="L2687" s="672"/>
      <c r="M2687" s="672"/>
      <c r="N2687" s="672"/>
      <c r="O2687" s="672"/>
      <c r="P2687" s="672"/>
      <c r="Q2687" s="465"/>
      <c r="R2687" s="672"/>
      <c r="S2687" s="672"/>
      <c r="T2687" s="672"/>
    </row>
    <row r="2688" spans="1:20" s="666" customFormat="1" x14ac:dyDescent="0.25">
      <c r="A2688" s="670"/>
      <c r="B2688" s="700"/>
      <c r="C2688" s="680"/>
      <c r="D2688" s="714" t="s">
        <v>678</v>
      </c>
      <c r="E2688" s="469"/>
      <c r="F2688" s="681"/>
      <c r="G2688" s="561" t="str">
        <f>IFERROR(VLOOKUP(D2688,'Precios Equipos'!$C$1:$F$5052,3,0),"")</f>
        <v/>
      </c>
      <c r="H2688" s="561" t="str">
        <f t="shared" si="242"/>
        <v/>
      </c>
      <c r="I2688" s="1127"/>
      <c r="J2688" s="1128"/>
      <c r="K2688" s="672"/>
      <c r="L2688" s="672"/>
      <c r="M2688" s="672"/>
      <c r="N2688" s="672"/>
      <c r="O2688" s="672"/>
      <c r="P2688" s="672"/>
      <c r="Q2688" s="465"/>
      <c r="R2688" s="672"/>
      <c r="S2688" s="672"/>
      <c r="T2688" s="672"/>
    </row>
    <row r="2689" spans="1:20" s="666" customFormat="1" x14ac:dyDescent="0.25">
      <c r="A2689" s="670"/>
      <c r="B2689" s="700"/>
      <c r="C2689" s="674">
        <v>1</v>
      </c>
      <c r="D2689" s="468" t="str">
        <f>+'Precios Equipos'!$C$61</f>
        <v>Protector de sobretension SPD AC 2P, 1000V AC, CLAMPER/DC SURGE PROTECCION</v>
      </c>
      <c r="E2689" s="469"/>
      <c r="F2689" s="681"/>
      <c r="G2689" s="561">
        <f>IFERROR(VLOOKUP(D2689,'Precios Equipos'!$C$1:$F$5052,3,0),"")</f>
        <v>59</v>
      </c>
      <c r="H2689" s="561">
        <f t="shared" ref="H2689" si="243">IFERROR(G2689*C2689,"")</f>
        <v>59</v>
      </c>
      <c r="I2689" s="1127"/>
      <c r="J2689" s="1128"/>
      <c r="K2689" s="672"/>
      <c r="L2689" s="672"/>
      <c r="M2689" s="672"/>
      <c r="N2689" s="672"/>
      <c r="O2689" s="672"/>
      <c r="P2689" s="672"/>
      <c r="Q2689" s="465">
        <f>+C2689*$C$2680</f>
        <v>12</v>
      </c>
      <c r="R2689" s="672"/>
      <c r="S2689" s="672"/>
      <c r="T2689" s="672"/>
    </row>
    <row r="2690" spans="1:20" s="666" customFormat="1" x14ac:dyDescent="0.25">
      <c r="A2690" s="670"/>
      <c r="B2690" s="700"/>
      <c r="C2690" s="674">
        <v>5</v>
      </c>
      <c r="D2690" s="683" t="str">
        <f>+'Precios Equipos'!C27</f>
        <v>ITM  2 x 25A, Caja Moldeada, 15KA@440V, 2B160, SIGMA ELEKTRIK</v>
      </c>
      <c r="E2690" s="684"/>
      <c r="F2690" s="678"/>
      <c r="G2690" s="561">
        <f>IFERROR(VLOOKUP(D2690,'Precios Equipos'!$C$1:$F$5052,3,0),"")</f>
        <v>91</v>
      </c>
      <c r="H2690" s="561">
        <f t="shared" si="242"/>
        <v>455</v>
      </c>
      <c r="I2690" s="1127"/>
      <c r="J2690" s="1128"/>
      <c r="K2690" s="672"/>
      <c r="L2690" s="672"/>
      <c r="M2690" s="672"/>
      <c r="N2690" s="672"/>
      <c r="O2690" s="672"/>
      <c r="P2690" s="672"/>
      <c r="Q2690" s="465">
        <f>+C2690*$C$2680</f>
        <v>60</v>
      </c>
      <c r="R2690" s="672"/>
      <c r="S2690" s="672"/>
      <c r="T2690" s="672"/>
    </row>
    <row r="2691" spans="1:20" s="666" customFormat="1" x14ac:dyDescent="0.25">
      <c r="A2691" s="670"/>
      <c r="B2691" s="700"/>
      <c r="C2691" s="674"/>
      <c r="D2691" s="683"/>
      <c r="E2691" s="684"/>
      <c r="F2691" s="685"/>
      <c r="G2691" s="561" t="str">
        <f>IFERROR(VLOOKUP(D2691,'Precios Equipos'!$C$1:$F$5052,3,0),"")</f>
        <v/>
      </c>
      <c r="H2691" s="561" t="str">
        <f t="shared" si="242"/>
        <v/>
      </c>
      <c r="I2691" s="1127"/>
      <c r="J2691" s="1128"/>
      <c r="K2691" s="672"/>
      <c r="L2691" s="672"/>
      <c r="M2691" s="672"/>
      <c r="N2691" s="672"/>
      <c r="O2691" s="672"/>
      <c r="P2691" s="672"/>
      <c r="Q2691" s="465"/>
      <c r="R2691" s="672"/>
      <c r="S2691" s="672"/>
      <c r="T2691" s="672"/>
    </row>
    <row r="2692" spans="1:20" s="666" customFormat="1" x14ac:dyDescent="0.25">
      <c r="A2692" s="670"/>
      <c r="B2692" s="700"/>
      <c r="C2692" s="674"/>
      <c r="D2692" s="715" t="s">
        <v>679</v>
      </c>
      <c r="E2692" s="684"/>
      <c r="F2692" s="685"/>
      <c r="G2692" s="561" t="str">
        <f>IFERROR(VLOOKUP(D2692,'Precios Equipos'!$C$1:$F$5052,3,0),"")</f>
        <v/>
      </c>
      <c r="H2692" s="561" t="str">
        <f t="shared" si="242"/>
        <v/>
      </c>
      <c r="I2692" s="1127"/>
      <c r="J2692" s="1128"/>
      <c r="K2692" s="672"/>
      <c r="L2692" s="672"/>
      <c r="M2692" s="672"/>
      <c r="N2692" s="672"/>
      <c r="O2692" s="672"/>
      <c r="P2692" s="672"/>
      <c r="Q2692" s="465"/>
      <c r="R2692" s="672"/>
      <c r="S2692" s="672"/>
      <c r="T2692" s="672"/>
    </row>
    <row r="2693" spans="1:20" s="666" customFormat="1" x14ac:dyDescent="0.25">
      <c r="A2693" s="670"/>
      <c r="B2693" s="700"/>
      <c r="C2693" s="674">
        <v>1</v>
      </c>
      <c r="D2693" s="683" t="str">
        <f>+'Precios Equipos'!C27</f>
        <v>ITM  2 x 25A, Caja Moldeada, 15KA@440V, 2B160, SIGMA ELEKTRIK</v>
      </c>
      <c r="E2693" s="684"/>
      <c r="F2693" s="678"/>
      <c r="G2693" s="561">
        <f>IFERROR(VLOOKUP(D2693,'Precios Equipos'!$C$1:$F$5052,3,0),"")</f>
        <v>91</v>
      </c>
      <c r="H2693" s="561">
        <f t="shared" si="242"/>
        <v>91</v>
      </c>
      <c r="I2693" s="1127"/>
      <c r="J2693" s="1128"/>
      <c r="K2693" s="672"/>
      <c r="L2693" s="672"/>
      <c r="M2693" s="672"/>
      <c r="N2693" s="672"/>
      <c r="O2693" s="672"/>
      <c r="P2693" s="672"/>
      <c r="Q2693" s="465">
        <f>+C2693*$C$2680</f>
        <v>12</v>
      </c>
      <c r="R2693" s="672"/>
      <c r="S2693" s="672"/>
      <c r="T2693" s="672"/>
    </row>
    <row r="2694" spans="1:20" s="666" customFormat="1" x14ac:dyDescent="0.25">
      <c r="A2694" s="670"/>
      <c r="B2694" s="700"/>
      <c r="C2694" s="686">
        <v>1</v>
      </c>
      <c r="D2694" s="683" t="str">
        <f>+'Precios Equipos'!$C$70</f>
        <v>Contactor Trifásico 18 A, AC3, 220V, AF16, ABB</v>
      </c>
      <c r="E2694" s="684"/>
      <c r="F2694" s="678"/>
      <c r="G2694" s="561">
        <f>IFERROR(VLOOKUP(D2694,'Precios Equipos'!$C$1:$F$5052,3,0),"")</f>
        <v>42</v>
      </c>
      <c r="H2694" s="561">
        <f t="shared" si="242"/>
        <v>42</v>
      </c>
      <c r="I2694" s="1127"/>
      <c r="J2694" s="1128"/>
      <c r="K2694" s="672"/>
      <c r="L2694" s="672"/>
      <c r="M2694" s="672"/>
      <c r="N2694" s="672"/>
      <c r="O2694" s="672"/>
      <c r="P2694" s="672"/>
      <c r="Q2694" s="465">
        <f>+C2694*$C$2680</f>
        <v>12</v>
      </c>
      <c r="R2694" s="672"/>
      <c r="S2694" s="672"/>
      <c r="T2694" s="672"/>
    </row>
    <row r="2695" spans="1:20" s="666" customFormat="1" x14ac:dyDescent="0.25">
      <c r="A2695" s="670"/>
      <c r="B2695" s="700"/>
      <c r="C2695" s="674">
        <v>1</v>
      </c>
      <c r="D2695" s="688" t="str">
        <f>+'Precios Equipos'!$C$77</f>
        <v>Interruptor Horario Digital, Res. 3 años, 220V, 60Hz</v>
      </c>
      <c r="E2695" s="469"/>
      <c r="F2695" s="678"/>
      <c r="G2695" s="561">
        <f>IFERROR(VLOOKUP(D2695,'Precios Equipos'!$C$1:$F$5052,3,0),"")</f>
        <v>42</v>
      </c>
      <c r="H2695" s="561">
        <f t="shared" si="242"/>
        <v>42</v>
      </c>
      <c r="I2695" s="1127"/>
      <c r="J2695" s="1128"/>
      <c r="K2695" s="672"/>
      <c r="L2695" s="672"/>
      <c r="M2695" s="672"/>
      <c r="N2695" s="672"/>
      <c r="O2695" s="672"/>
      <c r="P2695" s="672"/>
      <c r="Q2695" s="465">
        <f>+C2695*$C$2680</f>
        <v>12</v>
      </c>
      <c r="R2695" s="672"/>
      <c r="S2695" s="672"/>
      <c r="T2695" s="672"/>
    </row>
    <row r="2696" spans="1:20" s="666" customFormat="1" x14ac:dyDescent="0.25">
      <c r="A2696" s="670"/>
      <c r="B2696" s="700"/>
      <c r="C2696" s="674">
        <v>1</v>
      </c>
      <c r="D2696" s="683" t="str">
        <f>+'Precios Equipos'!$C$51</f>
        <v>Interruptor Riel Din 2x10A, 6KA@400V</v>
      </c>
      <c r="E2696" s="684"/>
      <c r="F2696" s="678"/>
      <c r="G2696" s="561">
        <f>IFERROR(VLOOKUP(D2696,'Precios Equipos'!$C$1:$F$5052,3,0),"")</f>
        <v>42</v>
      </c>
      <c r="H2696" s="561">
        <f t="shared" si="242"/>
        <v>42</v>
      </c>
      <c r="I2696" s="1127"/>
      <c r="J2696" s="1128"/>
      <c r="K2696" s="672"/>
      <c r="L2696" s="672"/>
      <c r="M2696" s="672"/>
      <c r="N2696" s="672"/>
      <c r="O2696" s="672"/>
      <c r="P2696" s="672"/>
      <c r="Q2696" s="465">
        <f>+C2696*$C$2680</f>
        <v>12</v>
      </c>
      <c r="R2696" s="672"/>
      <c r="S2696" s="672"/>
      <c r="T2696" s="672"/>
    </row>
    <row r="2697" spans="1:20" s="666" customFormat="1" x14ac:dyDescent="0.25">
      <c r="A2697" s="670"/>
      <c r="B2697" s="700"/>
      <c r="C2697" s="674"/>
      <c r="D2697" s="683"/>
      <c r="E2697" s="684"/>
      <c r="F2697" s="685"/>
      <c r="G2697" s="561" t="str">
        <f>IFERROR(VLOOKUP(D2697,'Precios Equipos'!$C$1:$F$5052,3,0),"")</f>
        <v/>
      </c>
      <c r="H2697" s="561" t="str">
        <f t="shared" si="242"/>
        <v/>
      </c>
      <c r="I2697" s="1127"/>
      <c r="J2697" s="1128"/>
      <c r="K2697" s="672"/>
      <c r="L2697" s="672"/>
      <c r="M2697" s="672"/>
      <c r="N2697" s="672"/>
      <c r="O2697" s="672"/>
      <c r="P2697" s="672"/>
      <c r="Q2697" s="465"/>
      <c r="R2697" s="672"/>
      <c r="S2697" s="672"/>
      <c r="T2697" s="672"/>
    </row>
    <row r="2698" spans="1:20" s="666" customFormat="1" x14ac:dyDescent="0.25">
      <c r="A2698" s="670"/>
      <c r="B2698" s="700"/>
      <c r="C2698" s="674"/>
      <c r="D2698" s="715" t="s">
        <v>680</v>
      </c>
      <c r="E2698" s="684"/>
      <c r="F2698" s="685"/>
      <c r="G2698" s="561" t="str">
        <f>IFERROR(VLOOKUP(D2698,'Precios Equipos'!$C$1:$F$5052,3,0),"")</f>
        <v/>
      </c>
      <c r="H2698" s="561" t="str">
        <f t="shared" si="242"/>
        <v/>
      </c>
      <c r="I2698" s="1127"/>
      <c r="J2698" s="1128"/>
      <c r="K2698" s="672"/>
      <c r="L2698" s="672"/>
      <c r="M2698" s="672"/>
      <c r="N2698" s="672"/>
      <c r="O2698" s="672"/>
      <c r="P2698" s="672"/>
      <c r="Q2698" s="465"/>
      <c r="R2698" s="672"/>
      <c r="S2698" s="672"/>
      <c r="T2698" s="672"/>
    </row>
    <row r="2699" spans="1:20" s="666" customFormat="1" x14ac:dyDescent="0.25">
      <c r="A2699" s="670"/>
      <c r="B2699" s="700"/>
      <c r="C2699" s="674">
        <v>1</v>
      </c>
      <c r="D2699" s="683" t="str">
        <f>+'Precios Equipos'!$C$34</f>
        <v>Medidor Electronico HXE34KS-1, HEXING</v>
      </c>
      <c r="E2699" s="684"/>
      <c r="F2699" s="678"/>
      <c r="G2699" s="561">
        <f>IFERROR(VLOOKUP(D2699,'Precios Equipos'!$C$1:$F$5052,3,0),"")</f>
        <v>42</v>
      </c>
      <c r="H2699" s="561">
        <f t="shared" si="242"/>
        <v>42</v>
      </c>
      <c r="I2699" s="1127"/>
      <c r="J2699" s="1128"/>
      <c r="K2699" s="672"/>
      <c r="L2699" s="672"/>
      <c r="M2699" s="672"/>
      <c r="N2699" s="672"/>
      <c r="O2699" s="672"/>
      <c r="P2699" s="672"/>
      <c r="Q2699" s="465">
        <f>+C2699*$C$2680</f>
        <v>12</v>
      </c>
      <c r="R2699" s="672"/>
      <c r="S2699" s="672"/>
      <c r="T2699" s="672"/>
    </row>
    <row r="2700" spans="1:20" s="666" customFormat="1" x14ac:dyDescent="0.25">
      <c r="A2700" s="670"/>
      <c r="B2700" s="700"/>
      <c r="C2700" s="686">
        <v>1</v>
      </c>
      <c r="D2700" s="683" t="str">
        <f>+'Precios Equipos'!$C$35</f>
        <v>Medidor Electronico Monofasico HXE12ES, HEXING</v>
      </c>
      <c r="E2700" s="684"/>
      <c r="F2700" s="678"/>
      <c r="G2700" s="561">
        <f>IFERROR(VLOOKUP(D2700,'Precios Equipos'!$C$1:$F$5052,3,0),"")</f>
        <v>41</v>
      </c>
      <c r="H2700" s="561">
        <f t="shared" si="242"/>
        <v>41</v>
      </c>
      <c r="I2700" s="1127"/>
      <c r="J2700" s="1128"/>
      <c r="K2700" s="672"/>
      <c r="L2700" s="672"/>
      <c r="M2700" s="672"/>
      <c r="N2700" s="672"/>
      <c r="O2700" s="672"/>
      <c r="P2700" s="672"/>
      <c r="Q2700" s="465">
        <f>+C2700*$C$2680</f>
        <v>12</v>
      </c>
      <c r="R2700" s="672"/>
      <c r="S2700" s="672"/>
      <c r="T2700" s="672"/>
    </row>
    <row r="2701" spans="1:20" s="666" customFormat="1" x14ac:dyDescent="0.25">
      <c r="A2701" s="670"/>
      <c r="B2701" s="700"/>
      <c r="C2701" s="686"/>
      <c r="D2701" s="683"/>
      <c r="E2701" s="684"/>
      <c r="F2701" s="678"/>
      <c r="G2701" s="561" t="str">
        <f>IFERROR(VLOOKUP(D2701,'Precios Equipos'!$C$1:$F$5052,3,0),"")</f>
        <v/>
      </c>
      <c r="H2701" s="561" t="str">
        <f t="shared" si="242"/>
        <v/>
      </c>
      <c r="I2701" s="1127"/>
      <c r="J2701" s="1128"/>
      <c r="K2701" s="672"/>
      <c r="L2701" s="672"/>
      <c r="M2701" s="672"/>
      <c r="N2701" s="672"/>
      <c r="O2701" s="672"/>
      <c r="P2701" s="672"/>
      <c r="Q2701" s="465"/>
      <c r="R2701" s="672"/>
      <c r="S2701" s="672"/>
      <c r="T2701" s="672"/>
    </row>
    <row r="2702" spans="1:20" s="666" customFormat="1" x14ac:dyDescent="0.25">
      <c r="A2702" s="670"/>
      <c r="B2702" s="700"/>
      <c r="C2702" s="674"/>
      <c r="D2702" s="715" t="s">
        <v>87</v>
      </c>
      <c r="E2702" s="684"/>
      <c r="F2702" s="685"/>
      <c r="G2702" s="561" t="str">
        <f>IFERROR(VLOOKUP(D2702,'Precios Equipos'!$C$1:$F$5052,3,0),"")</f>
        <v/>
      </c>
      <c r="H2702" s="561" t="str">
        <f t="shared" si="242"/>
        <v/>
      </c>
      <c r="I2702" s="1127"/>
      <c r="J2702" s="1128"/>
      <c r="K2702" s="672"/>
      <c r="L2702" s="672"/>
      <c r="M2702" s="672"/>
      <c r="N2702" s="672"/>
      <c r="O2702" s="672"/>
      <c r="P2702" s="672"/>
      <c r="Q2702" s="465"/>
      <c r="R2702" s="672"/>
      <c r="S2702" s="672"/>
      <c r="T2702" s="672"/>
    </row>
    <row r="2703" spans="1:20" s="666" customFormat="1" x14ac:dyDescent="0.25">
      <c r="A2703" s="670"/>
      <c r="B2703" s="700"/>
      <c r="C2703" s="674">
        <v>3</v>
      </c>
      <c r="D2703" s="689" t="str">
        <f>+'Precios Equipos'!$C$66</f>
        <v>Base PortaFusible y Fusible 25A / 2A</v>
      </c>
      <c r="E2703" s="690"/>
      <c r="F2703" s="678"/>
      <c r="G2703" s="561">
        <f>IFERROR(VLOOKUP(D2703,'Precios Equipos'!$C$1:$F$5052,3,0),"")</f>
        <v>127</v>
      </c>
      <c r="H2703" s="561">
        <f t="shared" si="242"/>
        <v>381</v>
      </c>
      <c r="I2703" s="1127"/>
      <c r="J2703" s="1128"/>
      <c r="K2703" s="672"/>
      <c r="L2703" s="672"/>
      <c r="M2703" s="672"/>
      <c r="N2703" s="672"/>
      <c r="O2703" s="672"/>
      <c r="P2703" s="672"/>
      <c r="Q2703" s="465">
        <f>+C2703*$C$2680</f>
        <v>36</v>
      </c>
      <c r="R2703" s="672"/>
      <c r="S2703" s="672"/>
      <c r="T2703" s="672"/>
    </row>
    <row r="2704" spans="1:20" s="666" customFormat="1" x14ac:dyDescent="0.25">
      <c r="A2704" s="670"/>
      <c r="B2704" s="700"/>
      <c r="C2704" s="674">
        <v>1</v>
      </c>
      <c r="D2704" s="689" t="str">
        <f>+'Precios Equipos'!$C$76</f>
        <v>Interruptor unipolar y tomacorriente</v>
      </c>
      <c r="E2704" s="469"/>
      <c r="F2704" s="678"/>
      <c r="G2704" s="561">
        <f>IFERROR(VLOOKUP(D2704,'Precios Equipos'!$C$1:$F$5052,3,0),"")</f>
        <v>42</v>
      </c>
      <c r="H2704" s="561">
        <f t="shared" si="242"/>
        <v>42</v>
      </c>
      <c r="I2704" s="1127"/>
      <c r="J2704" s="1128"/>
      <c r="K2704" s="672"/>
      <c r="L2704" s="672"/>
      <c r="M2704" s="672"/>
      <c r="N2704" s="672"/>
      <c r="O2704" s="672"/>
      <c r="P2704" s="672"/>
      <c r="Q2704" s="465">
        <f>+C2704*$C$2680</f>
        <v>12</v>
      </c>
      <c r="R2704" s="672"/>
      <c r="S2704" s="672"/>
      <c r="T2704" s="672"/>
    </row>
    <row r="2705" spans="1:20" s="666" customFormat="1" x14ac:dyDescent="0.25">
      <c r="A2705" s="670"/>
      <c r="B2705" s="700"/>
      <c r="C2705" s="674">
        <v>1</v>
      </c>
      <c r="D2705" s="689" t="str">
        <f>+'Precios Equipos'!$C$71</f>
        <v>Lampara Incandescente 100 W, 220 V con Socket</v>
      </c>
      <c r="E2705" s="469"/>
      <c r="F2705" s="678"/>
      <c r="G2705" s="561">
        <f>IFERROR(VLOOKUP(D2705,'Precios Equipos'!$C$1:$F$5052,3,0),"")</f>
        <v>42</v>
      </c>
      <c r="H2705" s="561">
        <f t="shared" si="242"/>
        <v>42</v>
      </c>
      <c r="I2705" s="1127"/>
      <c r="J2705" s="1128"/>
      <c r="K2705" s="672"/>
      <c r="L2705" s="672"/>
      <c r="M2705" s="672"/>
      <c r="N2705" s="672"/>
      <c r="O2705" s="672"/>
      <c r="P2705" s="672"/>
      <c r="Q2705" s="465">
        <f>+C2705*$C$2680</f>
        <v>12</v>
      </c>
      <c r="R2705" s="672"/>
      <c r="S2705" s="672"/>
      <c r="T2705" s="672"/>
    </row>
    <row r="2706" spans="1:20" s="666" customFormat="1" x14ac:dyDescent="0.25">
      <c r="A2706" s="670"/>
      <c r="B2706" s="700"/>
      <c r="C2706" s="674">
        <v>1</v>
      </c>
      <c r="D2706" s="468" t="s">
        <v>681</v>
      </c>
      <c r="E2706" s="469"/>
      <c r="F2706" s="678"/>
      <c r="G2706" s="561" t="str">
        <f>IFERROR(VLOOKUP(D2706,'Precios Equipos'!$C$1:$F$5052,3,0),"")</f>
        <v/>
      </c>
      <c r="H2706" s="561" t="str">
        <f t="shared" si="242"/>
        <v/>
      </c>
      <c r="I2706" s="682"/>
      <c r="J2706" s="984"/>
      <c r="M2706" s="671"/>
      <c r="Q2706" s="465"/>
      <c r="T2706" s="672"/>
    </row>
    <row r="2707" spans="1:20" s="666" customFormat="1" x14ac:dyDescent="0.25">
      <c r="A2707" s="670"/>
      <c r="B2707" s="700"/>
      <c r="C2707" s="674">
        <v>1</v>
      </c>
      <c r="D2707" s="468" t="s">
        <v>20</v>
      </c>
      <c r="E2707" s="469"/>
      <c r="F2707" s="681"/>
      <c r="G2707" s="561" t="str">
        <f>IFERROR(VLOOKUP(D2707,'Precios Equipos'!$C$1:$F$5052,3,0),"")</f>
        <v/>
      </c>
      <c r="H2707" s="561" t="str">
        <f t="shared" si="242"/>
        <v/>
      </c>
      <c r="I2707" s="682"/>
      <c r="J2707" s="984"/>
      <c r="M2707" s="671"/>
      <c r="Q2707" s="465"/>
      <c r="T2707" s="672"/>
    </row>
    <row r="2708" spans="1:20" s="666" customFormat="1" x14ac:dyDescent="0.25">
      <c r="A2708" s="670"/>
      <c r="B2708" s="700"/>
      <c r="C2708" s="674">
        <v>1</v>
      </c>
      <c r="D2708" s="468" t="s">
        <v>682</v>
      </c>
      <c r="E2708" s="469"/>
      <c r="F2708" s="681"/>
      <c r="G2708" s="561" t="str">
        <f>IFERROR(VLOOKUP(D2708,'Precios Equipos'!$C$1:$F$5052,3,0),"")</f>
        <v/>
      </c>
      <c r="H2708" s="561" t="str">
        <f t="shared" si="242"/>
        <v/>
      </c>
      <c r="I2708" s="682"/>
      <c r="J2708" s="984"/>
      <c r="M2708" s="671"/>
      <c r="Q2708" s="465"/>
      <c r="T2708" s="672"/>
    </row>
    <row r="2709" spans="1:20" s="666" customFormat="1" x14ac:dyDescent="0.25">
      <c r="A2709" s="670"/>
      <c r="B2709" s="700"/>
      <c r="C2709" s="674">
        <v>1</v>
      </c>
      <c r="D2709" s="468" t="s">
        <v>683</v>
      </c>
      <c r="E2709" s="469"/>
      <c r="F2709" s="681"/>
      <c r="G2709" s="561" t="str">
        <f>IFERROR(VLOOKUP(D2709,'Precios Equipos'!$C$1:$F$5052,3,0),"")</f>
        <v/>
      </c>
      <c r="H2709" s="561" t="str">
        <f t="shared" si="242"/>
        <v/>
      </c>
      <c r="I2709" s="682"/>
      <c r="J2709" s="984"/>
      <c r="M2709" s="671"/>
      <c r="Q2709" s="465"/>
      <c r="T2709" s="672"/>
    </row>
    <row r="2710" spans="1:20" s="666" customFormat="1" x14ac:dyDescent="0.25">
      <c r="A2710" s="670"/>
      <c r="B2710" s="700"/>
      <c r="C2710" s="674">
        <v>1</v>
      </c>
      <c r="D2710" s="468" t="s">
        <v>684</v>
      </c>
      <c r="E2710" s="469"/>
      <c r="F2710" s="681"/>
      <c r="G2710" s="561" t="str">
        <f>IFERROR(VLOOKUP(D2710,'Precios Equipos'!$C$1:$F$5052,3,0),"")</f>
        <v/>
      </c>
      <c r="H2710" s="561" t="str">
        <f t="shared" si="242"/>
        <v/>
      </c>
      <c r="I2710" s="682"/>
      <c r="J2710" s="984"/>
      <c r="M2710" s="671"/>
      <c r="Q2710" s="465"/>
      <c r="T2710" s="672"/>
    </row>
    <row r="2711" spans="1:20" s="666" customFormat="1" x14ac:dyDescent="0.25">
      <c r="A2711" s="670"/>
      <c r="B2711" s="700"/>
      <c r="C2711" s="674">
        <v>1</v>
      </c>
      <c r="D2711" s="468" t="s">
        <v>685</v>
      </c>
      <c r="E2711" s="469"/>
      <c r="F2711" s="681"/>
      <c r="G2711" s="561" t="str">
        <f>IFERROR(VLOOKUP(D2711,'Precios Equipos'!$C$1:$F$5052,3,0),"")</f>
        <v/>
      </c>
      <c r="H2711" s="561" t="str">
        <f t="shared" si="242"/>
        <v/>
      </c>
      <c r="I2711" s="682"/>
      <c r="J2711" s="984"/>
      <c r="M2711" s="671"/>
      <c r="Q2711" s="465"/>
      <c r="T2711" s="672"/>
    </row>
    <row r="2712" spans="1:20" s="666" customFormat="1" x14ac:dyDescent="0.25">
      <c r="A2712" s="670"/>
      <c r="B2712" s="700"/>
      <c r="C2712" s="674">
        <v>1</v>
      </c>
      <c r="D2712" s="468" t="s">
        <v>686</v>
      </c>
      <c r="E2712" s="469"/>
      <c r="F2712" s="681"/>
      <c r="G2712" s="576" t="s">
        <v>97</v>
      </c>
      <c r="H2712" s="731">
        <f>SUM(H2683:H2711)</f>
        <v>1309</v>
      </c>
      <c r="I2712" s="691"/>
      <c r="J2712" s="985">
        <f>+J2686+J2683</f>
        <v>1</v>
      </c>
      <c r="M2712" s="671"/>
      <c r="Q2712" s="465"/>
      <c r="T2712" s="672"/>
    </row>
    <row r="2713" spans="1:20" s="666" customFormat="1" x14ac:dyDescent="0.25">
      <c r="A2713" s="670"/>
      <c r="B2713" s="700"/>
      <c r="C2713" s="674">
        <v>2</v>
      </c>
      <c r="D2713" s="468" t="s">
        <v>337</v>
      </c>
      <c r="E2713" s="469"/>
      <c r="F2713" s="681"/>
      <c r="G2713" s="576" t="s">
        <v>105</v>
      </c>
      <c r="H2713" s="561">
        <f>+H2712*$M$157</f>
        <v>458.15</v>
      </c>
      <c r="I2713" s="692"/>
      <c r="J2713" s="986">
        <f>+H2713/H2712</f>
        <v>0.35</v>
      </c>
      <c r="M2713" s="671"/>
      <c r="Q2713" s="465"/>
      <c r="T2713" s="672"/>
    </row>
    <row r="2714" spans="1:20" s="666" customFormat="1" x14ac:dyDescent="0.25">
      <c r="A2714" s="670"/>
      <c r="B2714" s="702"/>
      <c r="C2714" s="693">
        <v>1</v>
      </c>
      <c r="D2714" s="523" t="s">
        <v>687</v>
      </c>
      <c r="E2714" s="694"/>
      <c r="F2714" s="695"/>
      <c r="G2714" s="576" t="s">
        <v>452</v>
      </c>
      <c r="H2714" s="561">
        <f>SUM(H2712:H2713)</f>
        <v>1767.15</v>
      </c>
      <c r="I2714" s="696"/>
      <c r="J2714" s="980"/>
      <c r="M2714" s="671"/>
      <c r="Q2714" s="465"/>
      <c r="T2714" s="672"/>
    </row>
    <row r="2715" spans="1:20" s="666" customFormat="1" x14ac:dyDescent="0.25">
      <c r="A2715" s="670"/>
      <c r="B2715" s="670"/>
      <c r="C2715" s="501"/>
      <c r="D2715" s="579"/>
      <c r="E2715" s="698"/>
      <c r="F2715" s="698"/>
      <c r="G2715" s="732"/>
      <c r="H2715" s="733"/>
      <c r="I2715" s="699"/>
      <c r="J2715" s="980"/>
      <c r="M2715" s="671"/>
      <c r="Q2715" s="465"/>
      <c r="T2715" s="672"/>
    </row>
    <row r="2716" spans="1:20" s="666" customFormat="1" x14ac:dyDescent="0.25">
      <c r="A2716" s="670"/>
      <c r="B2716" s="516" t="s">
        <v>688</v>
      </c>
      <c r="C2716" s="516" t="s">
        <v>0</v>
      </c>
      <c r="D2716" s="516" t="s">
        <v>8</v>
      </c>
      <c r="E2716" s="516" t="s">
        <v>4</v>
      </c>
      <c r="F2716" s="597" t="s">
        <v>3</v>
      </c>
      <c r="G2716" s="732"/>
      <c r="H2716" s="733"/>
      <c r="I2716" s="699"/>
      <c r="J2716" s="980"/>
      <c r="M2716" s="671"/>
      <c r="Q2716" s="465"/>
      <c r="T2716" s="672"/>
    </row>
    <row r="2717" spans="1:20" s="666" customFormat="1" x14ac:dyDescent="0.25">
      <c r="A2717" s="670"/>
      <c r="B2717" s="1132">
        <f>B142</f>
        <v>9.0399999999999991</v>
      </c>
      <c r="C2717" s="1132">
        <f>C142</f>
        <v>8</v>
      </c>
      <c r="D2717" s="1132" t="str">
        <f>D142</f>
        <v>TABLERO DE DISTRIBUCIÓN COMPLETA PARA S.E. 
MONOFASICA DE 25 KVA, 440-220V</v>
      </c>
      <c r="E2717" s="712">
        <f>+H2751</f>
        <v>1564.65</v>
      </c>
      <c r="F2717" s="710">
        <f>+E2717*C2717</f>
        <v>12517.2</v>
      </c>
      <c r="G2717" s="730" t="s">
        <v>4</v>
      </c>
      <c r="H2717" s="730" t="s">
        <v>3</v>
      </c>
      <c r="I2717" s="464" t="s">
        <v>676</v>
      </c>
      <c r="J2717" s="981">
        <v>45.454545454545453</v>
      </c>
      <c r="M2717" s="671"/>
      <c r="Q2717" s="465"/>
      <c r="T2717" s="672"/>
    </row>
    <row r="2718" spans="1:20" s="666" customFormat="1" x14ac:dyDescent="0.25">
      <c r="A2718" s="670"/>
      <c r="B2718" s="1132"/>
      <c r="C2718" s="1132"/>
      <c r="D2718" s="1132"/>
      <c r="E2718" s="713" t="s">
        <v>50</v>
      </c>
      <c r="F2718" s="711" t="s">
        <v>50</v>
      </c>
      <c r="G2718" s="576" t="s">
        <v>50</v>
      </c>
      <c r="H2718" s="576" t="s">
        <v>50</v>
      </c>
      <c r="I2718" s="464"/>
      <c r="J2718" s="980"/>
      <c r="M2718" s="671"/>
      <c r="Q2718" s="465"/>
      <c r="T2718" s="672"/>
    </row>
    <row r="2719" spans="1:20" s="666" customFormat="1" x14ac:dyDescent="0.25">
      <c r="A2719" s="670"/>
      <c r="B2719" s="700"/>
      <c r="C2719" s="674"/>
      <c r="D2719" s="463"/>
      <c r="E2719" s="675"/>
      <c r="F2719" s="676"/>
      <c r="G2719" s="479"/>
      <c r="H2719" s="479"/>
      <c r="I2719" s="468"/>
      <c r="J2719" s="980"/>
      <c r="M2719" s="671"/>
      <c r="Q2719" s="465"/>
      <c r="T2719" s="672"/>
    </row>
    <row r="2720" spans="1:20" s="666" customFormat="1" x14ac:dyDescent="0.25">
      <c r="A2720" s="670"/>
      <c r="B2720" s="700"/>
      <c r="C2720" s="677">
        <v>1</v>
      </c>
      <c r="D2720" s="701" t="str">
        <f>+'Precios Equipos'!C199</f>
        <v>Gabinete Fibra de vidrio de 800x800x250mm. Barbotante</v>
      </c>
      <c r="E2720" s="469"/>
      <c r="F2720" s="678"/>
      <c r="G2720" s="561">
        <f>IFERROR(VLOOKUP(D2720,'Precios Equipos'!$C$1:$F$5052,3,0),"")</f>
        <v>10</v>
      </c>
      <c r="H2720" s="561">
        <f t="shared" ref="H2720:H2748" si="244">IFERROR(G2720*C2720,"")</f>
        <v>10</v>
      </c>
      <c r="I2720" s="679">
        <f>+H2720</f>
        <v>10</v>
      </c>
      <c r="J2720" s="982">
        <f>+I2720/H2749</f>
        <v>8.6281276962899053E-3</v>
      </c>
      <c r="M2720" s="671"/>
      <c r="Q2720" s="465">
        <f>+C2720*$C$2717</f>
        <v>8</v>
      </c>
      <c r="T2720" s="672"/>
    </row>
    <row r="2721" spans="1:20" s="666" customFormat="1" x14ac:dyDescent="0.25">
      <c r="A2721" s="670"/>
      <c r="B2721" s="700"/>
      <c r="C2721" s="680"/>
      <c r="D2721" s="470"/>
      <c r="E2721" s="469"/>
      <c r="F2721" s="681"/>
      <c r="G2721" s="561" t="str">
        <f>IFERROR(VLOOKUP(D2721,'Precios Equipos'!$C$1:$F$5052,3,0),"")</f>
        <v/>
      </c>
      <c r="H2721" s="561" t="str">
        <f t="shared" si="244"/>
        <v/>
      </c>
      <c r="I2721" s="682"/>
      <c r="J2721" s="983"/>
      <c r="M2721" s="671"/>
      <c r="Q2721" s="465"/>
      <c r="T2721" s="672"/>
    </row>
    <row r="2722" spans="1:20" s="666" customFormat="1" x14ac:dyDescent="0.25">
      <c r="A2722" s="670"/>
      <c r="B2722" s="700"/>
      <c r="C2722" s="680"/>
      <c r="D2722" s="714" t="s">
        <v>677</v>
      </c>
      <c r="E2722" s="469"/>
      <c r="F2722" s="681"/>
      <c r="G2722" s="561" t="str">
        <f>IFERROR(VLOOKUP(D2722,'Precios Equipos'!$C$1:$F$5052,3,0),"")</f>
        <v/>
      </c>
      <c r="H2722" s="561" t="str">
        <f t="shared" si="244"/>
        <v/>
      </c>
      <c r="I2722" s="682"/>
      <c r="J2722" s="983"/>
      <c r="M2722" s="671"/>
      <c r="Q2722" s="465"/>
      <c r="T2722" s="672"/>
    </row>
    <row r="2723" spans="1:20" s="666" customFormat="1" x14ac:dyDescent="0.25">
      <c r="A2723" s="670"/>
      <c r="B2723" s="700"/>
      <c r="C2723" s="674">
        <v>1</v>
      </c>
      <c r="D2723" s="683" t="str">
        <f>+'Precios Equipos'!C29</f>
        <v>ITM  2 x 63A, Caja Moldeada, 15KA@440V, 2B160, SIGMA ELEKTRIK</v>
      </c>
      <c r="E2723" s="684"/>
      <c r="F2723" s="678"/>
      <c r="G2723" s="561">
        <f>IFERROR(VLOOKUP(D2723,'Precios Equipos'!$C$1:$F$5052,3,0),"")</f>
        <v>20</v>
      </c>
      <c r="H2723" s="561">
        <f t="shared" si="244"/>
        <v>20</v>
      </c>
      <c r="I2723" s="1127">
        <f>SUM(H2723:H2742)</f>
        <v>1149</v>
      </c>
      <c r="J2723" s="1128">
        <f>+I2723/H2749</f>
        <v>0.99137187230371004</v>
      </c>
      <c r="K2723" s="672"/>
      <c r="L2723" s="672"/>
      <c r="M2723" s="672"/>
      <c r="N2723" s="672"/>
      <c r="O2723" s="672"/>
      <c r="P2723" s="672"/>
      <c r="Q2723" s="465">
        <f>+C2723*$C$2717</f>
        <v>8</v>
      </c>
      <c r="R2723" s="672"/>
      <c r="S2723" s="672"/>
      <c r="T2723" s="672"/>
    </row>
    <row r="2724" spans="1:20" s="666" customFormat="1" x14ac:dyDescent="0.25">
      <c r="A2724" s="670"/>
      <c r="B2724" s="700"/>
      <c r="C2724" s="674"/>
      <c r="D2724" s="683"/>
      <c r="E2724" s="684"/>
      <c r="F2724" s="678"/>
      <c r="G2724" s="561" t="str">
        <f>IFERROR(VLOOKUP(D2724,'Precios Equipos'!$C$1:$F$5052,3,0),"")</f>
        <v/>
      </c>
      <c r="H2724" s="561" t="str">
        <f t="shared" si="244"/>
        <v/>
      </c>
      <c r="I2724" s="1127"/>
      <c r="J2724" s="1128"/>
      <c r="K2724" s="672"/>
      <c r="L2724" s="672"/>
      <c r="M2724" s="672"/>
      <c r="N2724" s="672"/>
      <c r="O2724" s="672"/>
      <c r="P2724" s="672"/>
      <c r="Q2724" s="465"/>
      <c r="R2724" s="672"/>
      <c r="S2724" s="672"/>
      <c r="T2724" s="672"/>
    </row>
    <row r="2725" spans="1:20" s="666" customFormat="1" x14ac:dyDescent="0.25">
      <c r="A2725" s="670"/>
      <c r="B2725" s="700"/>
      <c r="C2725" s="680"/>
      <c r="D2725" s="714" t="s">
        <v>678</v>
      </c>
      <c r="E2725" s="469"/>
      <c r="F2725" s="681"/>
      <c r="G2725" s="561" t="str">
        <f>IFERROR(VLOOKUP(D2725,'Precios Equipos'!$C$1:$F$5052,3,0),"")</f>
        <v/>
      </c>
      <c r="H2725" s="561" t="str">
        <f t="shared" si="244"/>
        <v/>
      </c>
      <c r="I2725" s="1127"/>
      <c r="J2725" s="1128"/>
      <c r="K2725" s="672"/>
      <c r="L2725" s="672"/>
      <c r="M2725" s="672"/>
      <c r="N2725" s="672"/>
      <c r="O2725" s="672"/>
      <c r="P2725" s="672"/>
      <c r="Q2725" s="465"/>
      <c r="R2725" s="672"/>
      <c r="S2725" s="672"/>
      <c r="T2725" s="672"/>
    </row>
    <row r="2726" spans="1:20" s="666" customFormat="1" x14ac:dyDescent="0.25">
      <c r="A2726" s="670"/>
      <c r="B2726" s="700"/>
      <c r="C2726" s="674">
        <v>1</v>
      </c>
      <c r="D2726" s="468" t="str">
        <f>+'Precios Equipos'!$C$61</f>
        <v>Protector de sobretension SPD AC 2P, 1000V AC, CLAMPER/DC SURGE PROTECCION</v>
      </c>
      <c r="E2726" s="469"/>
      <c r="F2726" s="681"/>
      <c r="G2726" s="561">
        <f>IFERROR(VLOOKUP(D2726,'Precios Equipos'!$C$1:$F$5052,3,0),"")</f>
        <v>59</v>
      </c>
      <c r="H2726" s="561">
        <f t="shared" ref="H2726" si="245">IFERROR(G2726*C2726,"")</f>
        <v>59</v>
      </c>
      <c r="I2726" s="1127"/>
      <c r="J2726" s="1128"/>
      <c r="K2726" s="672"/>
      <c r="L2726" s="672"/>
      <c r="M2726" s="672"/>
      <c r="N2726" s="672"/>
      <c r="O2726" s="672"/>
      <c r="P2726" s="672"/>
      <c r="Q2726" s="465">
        <f>+C2726*$C$2717</f>
        <v>8</v>
      </c>
      <c r="R2726" s="672"/>
      <c r="S2726" s="672"/>
      <c r="T2726" s="672"/>
    </row>
    <row r="2727" spans="1:20" s="666" customFormat="1" x14ac:dyDescent="0.25">
      <c r="A2727" s="670"/>
      <c r="B2727" s="700"/>
      <c r="C2727" s="674">
        <v>5</v>
      </c>
      <c r="D2727" s="683" t="str">
        <f>+'Precios Equipos'!C28</f>
        <v>ITM  2 x 40A, Caja Moldeada, 15KA@440V, 2B160, SIGMA ELEKTRIK</v>
      </c>
      <c r="E2727" s="684"/>
      <c r="F2727" s="678"/>
      <c r="G2727" s="561">
        <f>IFERROR(VLOOKUP(D2727,'Precios Equipos'!$C$1:$F$5052,3,0),"")</f>
        <v>61</v>
      </c>
      <c r="H2727" s="561">
        <f t="shared" si="244"/>
        <v>305</v>
      </c>
      <c r="I2727" s="1127"/>
      <c r="J2727" s="1128"/>
      <c r="K2727" s="672"/>
      <c r="L2727" s="672"/>
      <c r="M2727" s="672"/>
      <c r="N2727" s="672"/>
      <c r="O2727" s="672"/>
      <c r="P2727" s="672"/>
      <c r="Q2727" s="465">
        <f>+C2727*$C$2717</f>
        <v>40</v>
      </c>
      <c r="R2727" s="672"/>
      <c r="S2727" s="672"/>
      <c r="T2727" s="672"/>
    </row>
    <row r="2728" spans="1:20" s="666" customFormat="1" x14ac:dyDescent="0.25">
      <c r="A2728" s="670"/>
      <c r="B2728" s="700"/>
      <c r="C2728" s="674"/>
      <c r="D2728" s="683"/>
      <c r="E2728" s="684"/>
      <c r="F2728" s="685"/>
      <c r="G2728" s="561" t="str">
        <f>IFERROR(VLOOKUP(D2728,'Precios Equipos'!$C$1:$F$5052,3,0),"")</f>
        <v/>
      </c>
      <c r="H2728" s="561" t="str">
        <f t="shared" si="244"/>
        <v/>
      </c>
      <c r="I2728" s="1127"/>
      <c r="J2728" s="1128"/>
      <c r="K2728" s="672"/>
      <c r="L2728" s="672"/>
      <c r="M2728" s="672"/>
      <c r="N2728" s="672"/>
      <c r="O2728" s="672"/>
      <c r="P2728" s="672"/>
      <c r="Q2728" s="465"/>
      <c r="R2728" s="672"/>
      <c r="S2728" s="672"/>
      <c r="T2728" s="672"/>
    </row>
    <row r="2729" spans="1:20" s="666" customFormat="1" x14ac:dyDescent="0.25">
      <c r="A2729" s="670"/>
      <c r="B2729" s="700"/>
      <c r="C2729" s="674"/>
      <c r="D2729" s="715" t="s">
        <v>679</v>
      </c>
      <c r="E2729" s="684"/>
      <c r="F2729" s="685"/>
      <c r="G2729" s="561" t="str">
        <f>IFERROR(VLOOKUP(D2729,'Precios Equipos'!$C$1:$F$5052,3,0),"")</f>
        <v/>
      </c>
      <c r="H2729" s="561" t="str">
        <f t="shared" si="244"/>
        <v/>
      </c>
      <c r="I2729" s="1127"/>
      <c r="J2729" s="1128"/>
      <c r="K2729" s="672"/>
      <c r="L2729" s="672"/>
      <c r="M2729" s="672"/>
      <c r="N2729" s="672"/>
      <c r="O2729" s="672"/>
      <c r="P2729" s="672"/>
      <c r="Q2729" s="465"/>
      <c r="R2729" s="672"/>
      <c r="S2729" s="672"/>
      <c r="T2729" s="672"/>
    </row>
    <row r="2730" spans="1:20" s="666" customFormat="1" x14ac:dyDescent="0.25">
      <c r="A2730" s="670"/>
      <c r="B2730" s="700"/>
      <c r="C2730" s="674">
        <v>1</v>
      </c>
      <c r="D2730" s="683" t="str">
        <f>+'Precios Equipos'!C27</f>
        <v>ITM  2 x 25A, Caja Moldeada, 15KA@440V, 2B160, SIGMA ELEKTRIK</v>
      </c>
      <c r="E2730" s="684"/>
      <c r="F2730" s="678"/>
      <c r="G2730" s="561">
        <f>IFERROR(VLOOKUP(D2730,'Precios Equipos'!$C$1:$F$5052,3,0),"")</f>
        <v>91</v>
      </c>
      <c r="H2730" s="561">
        <f t="shared" si="244"/>
        <v>91</v>
      </c>
      <c r="I2730" s="1127"/>
      <c r="J2730" s="1128"/>
      <c r="K2730" s="672"/>
      <c r="L2730" s="672"/>
      <c r="M2730" s="672"/>
      <c r="N2730" s="672"/>
      <c r="O2730" s="672"/>
      <c r="P2730" s="672"/>
      <c r="Q2730" s="465">
        <f>+C2730*$C$2717</f>
        <v>8</v>
      </c>
      <c r="R2730" s="672"/>
      <c r="S2730" s="672"/>
      <c r="T2730" s="672"/>
    </row>
    <row r="2731" spans="1:20" s="666" customFormat="1" x14ac:dyDescent="0.25">
      <c r="A2731" s="670"/>
      <c r="B2731" s="700"/>
      <c r="C2731" s="686">
        <v>1</v>
      </c>
      <c r="D2731" s="683" t="str">
        <f>+'Precios Equipos'!$C$70</f>
        <v>Contactor Trifásico 18 A, AC3, 220V, AF16, ABB</v>
      </c>
      <c r="E2731" s="684"/>
      <c r="F2731" s="678"/>
      <c r="G2731" s="561">
        <f>IFERROR(VLOOKUP(D2731,'Precios Equipos'!$C$1:$F$5052,3,0),"")</f>
        <v>42</v>
      </c>
      <c r="H2731" s="561">
        <f t="shared" si="244"/>
        <v>42</v>
      </c>
      <c r="I2731" s="1127"/>
      <c r="J2731" s="1128"/>
      <c r="K2731" s="672"/>
      <c r="L2731" s="672"/>
      <c r="M2731" s="672"/>
      <c r="N2731" s="672"/>
      <c r="O2731" s="672"/>
      <c r="P2731" s="672"/>
      <c r="Q2731" s="465">
        <f>+C2731*$C$2717</f>
        <v>8</v>
      </c>
      <c r="R2731" s="672"/>
      <c r="S2731" s="672"/>
      <c r="T2731" s="672"/>
    </row>
    <row r="2732" spans="1:20" s="666" customFormat="1" x14ac:dyDescent="0.25">
      <c r="A2732" s="670"/>
      <c r="B2732" s="700"/>
      <c r="C2732" s="674">
        <v>1</v>
      </c>
      <c r="D2732" s="688" t="str">
        <f>+'Precios Equipos'!$C$77</f>
        <v>Interruptor Horario Digital, Res. 3 años, 220V, 60Hz</v>
      </c>
      <c r="E2732" s="469"/>
      <c r="F2732" s="678"/>
      <c r="G2732" s="561">
        <f>IFERROR(VLOOKUP(D2732,'Precios Equipos'!$C$1:$F$5052,3,0),"")</f>
        <v>42</v>
      </c>
      <c r="H2732" s="561">
        <f t="shared" si="244"/>
        <v>42</v>
      </c>
      <c r="I2732" s="1127"/>
      <c r="J2732" s="1128"/>
      <c r="K2732" s="672"/>
      <c r="L2732" s="672"/>
      <c r="M2732" s="672"/>
      <c r="N2732" s="672"/>
      <c r="O2732" s="672"/>
      <c r="P2732" s="672"/>
      <c r="Q2732" s="465">
        <f>+C2732*$C$2717</f>
        <v>8</v>
      </c>
      <c r="R2732" s="672"/>
      <c r="S2732" s="672"/>
      <c r="T2732" s="672"/>
    </row>
    <row r="2733" spans="1:20" s="666" customFormat="1" x14ac:dyDescent="0.25">
      <c r="A2733" s="670"/>
      <c r="B2733" s="700"/>
      <c r="C2733" s="674">
        <v>1</v>
      </c>
      <c r="D2733" s="683" t="str">
        <f>+'Precios Equipos'!$C$51</f>
        <v>Interruptor Riel Din 2x10A, 6KA@400V</v>
      </c>
      <c r="E2733" s="684"/>
      <c r="F2733" s="678"/>
      <c r="G2733" s="561">
        <f>IFERROR(VLOOKUP(D2733,'Precios Equipos'!$C$1:$F$5052,3,0),"")</f>
        <v>42</v>
      </c>
      <c r="H2733" s="561">
        <f t="shared" si="244"/>
        <v>42</v>
      </c>
      <c r="I2733" s="1127"/>
      <c r="J2733" s="1128"/>
      <c r="K2733" s="672"/>
      <c r="L2733" s="672"/>
      <c r="M2733" s="672"/>
      <c r="N2733" s="672"/>
      <c r="O2733" s="672"/>
      <c r="P2733" s="672"/>
      <c r="Q2733" s="465">
        <f>+C2733*$C$2717</f>
        <v>8</v>
      </c>
      <c r="R2733" s="672"/>
      <c r="S2733" s="672"/>
      <c r="T2733" s="672"/>
    </row>
    <row r="2734" spans="1:20" s="666" customFormat="1" x14ac:dyDescent="0.25">
      <c r="A2734" s="670"/>
      <c r="B2734" s="700"/>
      <c r="C2734" s="674"/>
      <c r="D2734" s="683"/>
      <c r="E2734" s="684"/>
      <c r="F2734" s="685"/>
      <c r="G2734" s="561" t="str">
        <f>IFERROR(VLOOKUP(D2734,'Precios Equipos'!$C$1:$F$5052,3,0),"")</f>
        <v/>
      </c>
      <c r="H2734" s="561" t="str">
        <f t="shared" si="244"/>
        <v/>
      </c>
      <c r="I2734" s="1127"/>
      <c r="J2734" s="1128"/>
      <c r="K2734" s="672"/>
      <c r="L2734" s="672"/>
      <c r="M2734" s="672"/>
      <c r="N2734" s="672"/>
      <c r="O2734" s="672"/>
      <c r="P2734" s="672"/>
      <c r="Q2734" s="465"/>
      <c r="R2734" s="672"/>
      <c r="S2734" s="672"/>
      <c r="T2734" s="672"/>
    </row>
    <row r="2735" spans="1:20" s="666" customFormat="1" x14ac:dyDescent="0.25">
      <c r="A2735" s="670"/>
      <c r="B2735" s="700"/>
      <c r="C2735" s="674"/>
      <c r="D2735" s="715" t="s">
        <v>680</v>
      </c>
      <c r="E2735" s="684"/>
      <c r="F2735" s="685"/>
      <c r="G2735" s="561" t="str">
        <f>IFERROR(VLOOKUP(D2735,'Precios Equipos'!$C$1:$F$5052,3,0),"")</f>
        <v/>
      </c>
      <c r="H2735" s="561" t="str">
        <f t="shared" si="244"/>
        <v/>
      </c>
      <c r="I2735" s="1127"/>
      <c r="J2735" s="1128"/>
      <c r="K2735" s="672"/>
      <c r="L2735" s="672"/>
      <c r="M2735" s="672"/>
      <c r="N2735" s="672"/>
      <c r="O2735" s="672"/>
      <c r="P2735" s="672"/>
      <c r="Q2735" s="465"/>
      <c r="R2735" s="672"/>
      <c r="S2735" s="672"/>
      <c r="T2735" s="672"/>
    </row>
    <row r="2736" spans="1:20" s="666" customFormat="1" x14ac:dyDescent="0.25">
      <c r="A2736" s="670"/>
      <c r="B2736" s="700"/>
      <c r="C2736" s="674">
        <v>1</v>
      </c>
      <c r="D2736" s="683" t="str">
        <f>+'Precios Equipos'!$C$34</f>
        <v>Medidor Electronico HXE34KS-1, HEXING</v>
      </c>
      <c r="E2736" s="684"/>
      <c r="F2736" s="678"/>
      <c r="G2736" s="561">
        <f>IFERROR(VLOOKUP(D2736,'Precios Equipos'!$C$1:$F$5052,3,0),"")</f>
        <v>42</v>
      </c>
      <c r="H2736" s="561">
        <f t="shared" si="244"/>
        <v>42</v>
      </c>
      <c r="I2736" s="1127"/>
      <c r="J2736" s="1128"/>
      <c r="K2736" s="672"/>
      <c r="L2736" s="672"/>
      <c r="M2736" s="672"/>
      <c r="N2736" s="672"/>
      <c r="O2736" s="672"/>
      <c r="P2736" s="672"/>
      <c r="Q2736" s="465">
        <f>+C2736*$C$2717</f>
        <v>8</v>
      </c>
      <c r="R2736" s="672"/>
      <c r="S2736" s="672"/>
      <c r="T2736" s="672"/>
    </row>
    <row r="2737" spans="1:20" s="666" customFormat="1" x14ac:dyDescent="0.25">
      <c r="A2737" s="670"/>
      <c r="B2737" s="700"/>
      <c r="C2737" s="686">
        <v>1</v>
      </c>
      <c r="D2737" s="683" t="str">
        <f>+'Precios Equipos'!$C$35</f>
        <v>Medidor Electronico Monofasico HXE12ES, HEXING</v>
      </c>
      <c r="E2737" s="684"/>
      <c r="F2737" s="678"/>
      <c r="G2737" s="561">
        <f>IFERROR(VLOOKUP(D2737,'Precios Equipos'!$C$1:$F$5052,3,0),"")</f>
        <v>41</v>
      </c>
      <c r="H2737" s="561">
        <f t="shared" si="244"/>
        <v>41</v>
      </c>
      <c r="I2737" s="1127"/>
      <c r="J2737" s="1128"/>
      <c r="K2737" s="672"/>
      <c r="L2737" s="672"/>
      <c r="M2737" s="672"/>
      <c r="N2737" s="672"/>
      <c r="O2737" s="672"/>
      <c r="P2737" s="672"/>
      <c r="Q2737" s="465">
        <f>+C2737*$C$2717</f>
        <v>8</v>
      </c>
      <c r="R2737" s="672"/>
      <c r="S2737" s="672"/>
      <c r="T2737" s="672"/>
    </row>
    <row r="2738" spans="1:20" s="666" customFormat="1" x14ac:dyDescent="0.25">
      <c r="A2738" s="670"/>
      <c r="B2738" s="700"/>
      <c r="C2738" s="686"/>
      <c r="D2738" s="683"/>
      <c r="E2738" s="684"/>
      <c r="F2738" s="678"/>
      <c r="G2738" s="561" t="str">
        <f>IFERROR(VLOOKUP(D2738,'Precios Equipos'!$C$1:$F$5052,3,0),"")</f>
        <v/>
      </c>
      <c r="H2738" s="561" t="str">
        <f t="shared" si="244"/>
        <v/>
      </c>
      <c r="I2738" s="1127"/>
      <c r="J2738" s="1128"/>
      <c r="K2738" s="672"/>
      <c r="L2738" s="672"/>
      <c r="M2738" s="672"/>
      <c r="N2738" s="672"/>
      <c r="O2738" s="672"/>
      <c r="P2738" s="672"/>
      <c r="Q2738" s="465"/>
      <c r="R2738" s="672"/>
      <c r="S2738" s="672"/>
      <c r="T2738" s="672"/>
    </row>
    <row r="2739" spans="1:20" s="666" customFormat="1" x14ac:dyDescent="0.25">
      <c r="A2739" s="670"/>
      <c r="B2739" s="700"/>
      <c r="C2739" s="674"/>
      <c r="D2739" s="715" t="s">
        <v>87</v>
      </c>
      <c r="E2739" s="684"/>
      <c r="F2739" s="685"/>
      <c r="G2739" s="561" t="str">
        <f>IFERROR(VLOOKUP(D2739,'Precios Equipos'!$C$1:$F$5052,3,0),"")</f>
        <v/>
      </c>
      <c r="H2739" s="561" t="str">
        <f t="shared" si="244"/>
        <v/>
      </c>
      <c r="I2739" s="1127"/>
      <c r="J2739" s="1128"/>
      <c r="K2739" s="672"/>
      <c r="L2739" s="672"/>
      <c r="M2739" s="672"/>
      <c r="N2739" s="672"/>
      <c r="O2739" s="672"/>
      <c r="P2739" s="672"/>
      <c r="Q2739" s="465"/>
      <c r="R2739" s="672"/>
      <c r="S2739" s="672"/>
      <c r="T2739" s="672"/>
    </row>
    <row r="2740" spans="1:20" s="666" customFormat="1" x14ac:dyDescent="0.25">
      <c r="A2740" s="670"/>
      <c r="B2740" s="700"/>
      <c r="C2740" s="674">
        <v>3</v>
      </c>
      <c r="D2740" s="689" t="str">
        <f>+'Precios Equipos'!$C$66</f>
        <v>Base PortaFusible y Fusible 25A / 2A</v>
      </c>
      <c r="E2740" s="690"/>
      <c r="F2740" s="678"/>
      <c r="G2740" s="561">
        <f>IFERROR(VLOOKUP(D2740,'Precios Equipos'!$C$1:$F$5052,3,0),"")</f>
        <v>127</v>
      </c>
      <c r="H2740" s="561">
        <f t="shared" si="244"/>
        <v>381</v>
      </c>
      <c r="I2740" s="1127"/>
      <c r="J2740" s="1128"/>
      <c r="K2740" s="672"/>
      <c r="L2740" s="672"/>
      <c r="M2740" s="672"/>
      <c r="N2740" s="672"/>
      <c r="O2740" s="672"/>
      <c r="P2740" s="672"/>
      <c r="Q2740" s="465">
        <f>+C2740*$C$2717</f>
        <v>24</v>
      </c>
      <c r="R2740" s="672"/>
      <c r="S2740" s="672"/>
      <c r="T2740" s="672"/>
    </row>
    <row r="2741" spans="1:20" s="666" customFormat="1" x14ac:dyDescent="0.25">
      <c r="A2741" s="670"/>
      <c r="B2741" s="700"/>
      <c r="C2741" s="674">
        <v>1</v>
      </c>
      <c r="D2741" s="689" t="str">
        <f>+'Precios Equipos'!$C$76</f>
        <v>Interruptor unipolar y tomacorriente</v>
      </c>
      <c r="E2741" s="469"/>
      <c r="F2741" s="678"/>
      <c r="G2741" s="561">
        <f>IFERROR(VLOOKUP(D2741,'Precios Equipos'!$C$1:$F$5052,3,0),"")</f>
        <v>42</v>
      </c>
      <c r="H2741" s="561">
        <f t="shared" si="244"/>
        <v>42</v>
      </c>
      <c r="I2741" s="1127"/>
      <c r="J2741" s="1128"/>
      <c r="K2741" s="672"/>
      <c r="L2741" s="672"/>
      <c r="M2741" s="672"/>
      <c r="N2741" s="672"/>
      <c r="O2741" s="672"/>
      <c r="P2741" s="672"/>
      <c r="Q2741" s="465">
        <f>+C2741*$C$2717</f>
        <v>8</v>
      </c>
      <c r="R2741" s="672"/>
      <c r="S2741" s="672"/>
      <c r="T2741" s="672"/>
    </row>
    <row r="2742" spans="1:20" s="666" customFormat="1" x14ac:dyDescent="0.25">
      <c r="A2742" s="670"/>
      <c r="B2742" s="700"/>
      <c r="C2742" s="674">
        <v>1</v>
      </c>
      <c r="D2742" s="689" t="str">
        <f>+'Precios Equipos'!$C$71</f>
        <v>Lampara Incandescente 100 W, 220 V con Socket</v>
      </c>
      <c r="E2742" s="469"/>
      <c r="F2742" s="678"/>
      <c r="G2742" s="561">
        <f>IFERROR(VLOOKUP(D2742,'Precios Equipos'!$C$1:$F$5052,3,0),"")</f>
        <v>42</v>
      </c>
      <c r="H2742" s="561">
        <f t="shared" si="244"/>
        <v>42</v>
      </c>
      <c r="I2742" s="1127"/>
      <c r="J2742" s="1128"/>
      <c r="K2742" s="672"/>
      <c r="L2742" s="672"/>
      <c r="M2742" s="672"/>
      <c r="N2742" s="672"/>
      <c r="O2742" s="672"/>
      <c r="P2742" s="672"/>
      <c r="Q2742" s="465">
        <f>+C2742*$C$2717</f>
        <v>8</v>
      </c>
      <c r="R2742" s="672"/>
      <c r="S2742" s="672"/>
      <c r="T2742" s="672"/>
    </row>
    <row r="2743" spans="1:20" s="666" customFormat="1" x14ac:dyDescent="0.25">
      <c r="A2743" s="670"/>
      <c r="B2743" s="700"/>
      <c r="C2743" s="674">
        <v>1</v>
      </c>
      <c r="D2743" s="468" t="s">
        <v>681</v>
      </c>
      <c r="E2743" s="469"/>
      <c r="F2743" s="678"/>
      <c r="G2743" s="561" t="str">
        <f>IFERROR(VLOOKUP(D2743,'Precios Equipos'!$C$1:$F$5052,3,0),"")</f>
        <v/>
      </c>
      <c r="H2743" s="561" t="str">
        <f t="shared" si="244"/>
        <v/>
      </c>
      <c r="I2743" s="682"/>
      <c r="J2743" s="984"/>
      <c r="K2743" s="672"/>
      <c r="L2743" s="672"/>
      <c r="M2743" s="672"/>
      <c r="N2743" s="672"/>
      <c r="O2743" s="672"/>
      <c r="P2743" s="672"/>
      <c r="Q2743" s="465"/>
      <c r="R2743" s="672"/>
      <c r="S2743" s="672"/>
      <c r="T2743" s="672"/>
    </row>
    <row r="2744" spans="1:20" s="666" customFormat="1" x14ac:dyDescent="0.25">
      <c r="A2744" s="670"/>
      <c r="B2744" s="700"/>
      <c r="C2744" s="674">
        <v>1</v>
      </c>
      <c r="D2744" s="468" t="s">
        <v>20</v>
      </c>
      <c r="E2744" s="469"/>
      <c r="F2744" s="681"/>
      <c r="G2744" s="561" t="str">
        <f>IFERROR(VLOOKUP(D2744,'Precios Equipos'!$C$1:$F$5052,3,0),"")</f>
        <v/>
      </c>
      <c r="H2744" s="561" t="str">
        <f t="shared" si="244"/>
        <v/>
      </c>
      <c r="I2744" s="682"/>
      <c r="J2744" s="984"/>
      <c r="K2744" s="672"/>
      <c r="L2744" s="672"/>
      <c r="M2744" s="672"/>
      <c r="N2744" s="672"/>
      <c r="O2744" s="672"/>
      <c r="P2744" s="672"/>
      <c r="Q2744" s="465"/>
      <c r="R2744" s="672"/>
      <c r="S2744" s="672"/>
      <c r="T2744" s="672"/>
    </row>
    <row r="2745" spans="1:20" s="666" customFormat="1" x14ac:dyDescent="0.25">
      <c r="A2745" s="670"/>
      <c r="B2745" s="700"/>
      <c r="C2745" s="674">
        <v>1</v>
      </c>
      <c r="D2745" s="468" t="s">
        <v>682</v>
      </c>
      <c r="E2745" s="469"/>
      <c r="F2745" s="681"/>
      <c r="G2745" s="561" t="str">
        <f>IFERROR(VLOOKUP(D2745,'Precios Equipos'!$C$1:$F$5052,3,0),"")</f>
        <v/>
      </c>
      <c r="H2745" s="561" t="str">
        <f t="shared" si="244"/>
        <v/>
      </c>
      <c r="I2745" s="682"/>
      <c r="J2745" s="984"/>
      <c r="M2745" s="671"/>
      <c r="Q2745" s="465"/>
      <c r="T2745" s="672"/>
    </row>
    <row r="2746" spans="1:20" s="666" customFormat="1" x14ac:dyDescent="0.25">
      <c r="A2746" s="670"/>
      <c r="B2746" s="700"/>
      <c r="C2746" s="674">
        <v>1</v>
      </c>
      <c r="D2746" s="468" t="s">
        <v>683</v>
      </c>
      <c r="E2746" s="469"/>
      <c r="F2746" s="681"/>
      <c r="G2746" s="561" t="str">
        <f>IFERROR(VLOOKUP(D2746,'Precios Equipos'!$C$1:$F$5052,3,0),"")</f>
        <v/>
      </c>
      <c r="H2746" s="561" t="str">
        <f t="shared" si="244"/>
        <v/>
      </c>
      <c r="I2746" s="682"/>
      <c r="J2746" s="984"/>
      <c r="M2746" s="671"/>
      <c r="Q2746" s="465"/>
      <c r="T2746" s="672"/>
    </row>
    <row r="2747" spans="1:20" s="666" customFormat="1" x14ac:dyDescent="0.25">
      <c r="A2747" s="670"/>
      <c r="B2747" s="700"/>
      <c r="C2747" s="674">
        <v>1</v>
      </c>
      <c r="D2747" s="468" t="s">
        <v>684</v>
      </c>
      <c r="E2747" s="469"/>
      <c r="F2747" s="681"/>
      <c r="G2747" s="561" t="str">
        <f>IFERROR(VLOOKUP(D2747,'Precios Equipos'!$C$1:$F$5052,3,0),"")</f>
        <v/>
      </c>
      <c r="H2747" s="561" t="str">
        <f t="shared" si="244"/>
        <v/>
      </c>
      <c r="I2747" s="682"/>
      <c r="J2747" s="984"/>
      <c r="M2747" s="671"/>
      <c r="Q2747" s="465"/>
      <c r="T2747" s="672"/>
    </row>
    <row r="2748" spans="1:20" s="666" customFormat="1" x14ac:dyDescent="0.25">
      <c r="A2748" s="670"/>
      <c r="B2748" s="700"/>
      <c r="C2748" s="674">
        <v>1</v>
      </c>
      <c r="D2748" s="468" t="s">
        <v>685</v>
      </c>
      <c r="E2748" s="469"/>
      <c r="F2748" s="681"/>
      <c r="G2748" s="561" t="str">
        <f>IFERROR(VLOOKUP(D2748,'Precios Equipos'!$C$1:$F$5052,3,0),"")</f>
        <v/>
      </c>
      <c r="H2748" s="561" t="str">
        <f t="shared" si="244"/>
        <v/>
      </c>
      <c r="I2748" s="682"/>
      <c r="J2748" s="984"/>
      <c r="M2748" s="671"/>
      <c r="Q2748" s="465"/>
      <c r="T2748" s="672"/>
    </row>
    <row r="2749" spans="1:20" s="666" customFormat="1" x14ac:dyDescent="0.25">
      <c r="A2749" s="670"/>
      <c r="B2749" s="700"/>
      <c r="C2749" s="674">
        <v>1</v>
      </c>
      <c r="D2749" s="468" t="s">
        <v>686</v>
      </c>
      <c r="E2749" s="469"/>
      <c r="F2749" s="681"/>
      <c r="G2749" s="576" t="s">
        <v>97</v>
      </c>
      <c r="H2749" s="731">
        <f>SUM(H2720:H2748)</f>
        <v>1159</v>
      </c>
      <c r="I2749" s="691"/>
      <c r="J2749" s="985">
        <f>+J2723+J2720</f>
        <v>1</v>
      </c>
      <c r="M2749" s="671"/>
      <c r="Q2749" s="465"/>
      <c r="T2749" s="672"/>
    </row>
    <row r="2750" spans="1:20" s="666" customFormat="1" x14ac:dyDescent="0.25">
      <c r="A2750" s="670"/>
      <c r="B2750" s="700"/>
      <c r="C2750" s="674">
        <v>2</v>
      </c>
      <c r="D2750" s="468" t="s">
        <v>337</v>
      </c>
      <c r="E2750" s="469"/>
      <c r="F2750" s="681"/>
      <c r="G2750" s="576" t="s">
        <v>105</v>
      </c>
      <c r="H2750" s="561">
        <f>+H2749*$M$157</f>
        <v>405.65</v>
      </c>
      <c r="I2750" s="692"/>
      <c r="J2750" s="986">
        <f>+H2750/H2749</f>
        <v>0.35</v>
      </c>
      <c r="M2750" s="671"/>
      <c r="Q2750" s="465"/>
      <c r="T2750" s="672"/>
    </row>
    <row r="2751" spans="1:20" s="666" customFormat="1" x14ac:dyDescent="0.25">
      <c r="A2751" s="670"/>
      <c r="B2751" s="702"/>
      <c r="C2751" s="693">
        <v>1</v>
      </c>
      <c r="D2751" s="523" t="s">
        <v>687</v>
      </c>
      <c r="E2751" s="694"/>
      <c r="F2751" s="695"/>
      <c r="G2751" s="576" t="s">
        <v>452</v>
      </c>
      <c r="H2751" s="561">
        <f>SUM(H2749:H2750)</f>
        <v>1564.65</v>
      </c>
      <c r="I2751" s="696"/>
      <c r="J2751" s="980"/>
      <c r="M2751" s="671"/>
      <c r="Q2751" s="465"/>
      <c r="T2751" s="672"/>
    </row>
    <row r="2752" spans="1:20" s="666" customFormat="1" x14ac:dyDescent="0.25">
      <c r="A2752" s="670"/>
      <c r="B2752" s="670"/>
      <c r="C2752" s="501"/>
      <c r="D2752" s="579"/>
      <c r="E2752" s="698"/>
      <c r="F2752" s="698"/>
      <c r="G2752" s="732"/>
      <c r="H2752" s="733"/>
      <c r="I2752" s="699"/>
      <c r="J2752" s="980"/>
      <c r="M2752" s="671"/>
      <c r="Q2752" s="465"/>
      <c r="T2752" s="672"/>
    </row>
    <row r="2753" spans="1:20" s="666" customFormat="1" x14ac:dyDescent="0.25">
      <c r="A2753" s="670"/>
      <c r="B2753" s="516" t="s">
        <v>688</v>
      </c>
      <c r="C2753" s="516" t="s">
        <v>0</v>
      </c>
      <c r="D2753" s="516" t="s">
        <v>8</v>
      </c>
      <c r="E2753" s="516" t="s">
        <v>4</v>
      </c>
      <c r="F2753" s="597" t="s">
        <v>3</v>
      </c>
      <c r="G2753" s="463"/>
      <c r="H2753" s="463"/>
      <c r="I2753" s="468"/>
      <c r="J2753" s="980"/>
      <c r="M2753" s="671"/>
      <c r="Q2753" s="465"/>
      <c r="T2753" s="672"/>
    </row>
    <row r="2754" spans="1:20" s="666" customFormat="1" x14ac:dyDescent="0.25">
      <c r="A2754" s="670"/>
      <c r="B2754" s="1132">
        <f>B143</f>
        <v>9.0499999999999989</v>
      </c>
      <c r="C2754" s="1132">
        <f>C143</f>
        <v>1</v>
      </c>
      <c r="D2754" s="1132" t="str">
        <f>D143</f>
        <v>TABLERO DE DISTRIBUCIÓN COMPLETA PARA S.E. 
MONOFASICA DE 40 KVA, 440-220V</v>
      </c>
      <c r="E2754" s="712">
        <f>+H2789</f>
        <v>1155.5999999999999</v>
      </c>
      <c r="F2754" s="710">
        <f>+E2754*C2754</f>
        <v>1155.5999999999999</v>
      </c>
      <c r="G2754" s="734" t="s">
        <v>4</v>
      </c>
      <c r="H2754" s="734" t="s">
        <v>3</v>
      </c>
      <c r="I2754" s="464" t="s">
        <v>676</v>
      </c>
      <c r="J2754" s="981">
        <v>60.8457560085184</v>
      </c>
      <c r="M2754" s="671"/>
      <c r="Q2754" s="465"/>
      <c r="T2754" s="672"/>
    </row>
    <row r="2755" spans="1:20" s="666" customFormat="1" x14ac:dyDescent="0.25">
      <c r="A2755" s="670"/>
      <c r="B2755" s="1132"/>
      <c r="C2755" s="1132"/>
      <c r="D2755" s="1132"/>
      <c r="E2755" s="713" t="s">
        <v>50</v>
      </c>
      <c r="F2755" s="711" t="s">
        <v>50</v>
      </c>
      <c r="G2755" s="704" t="s">
        <v>50</v>
      </c>
      <c r="H2755" s="704" t="s">
        <v>50</v>
      </c>
      <c r="I2755" s="464"/>
      <c r="J2755" s="980"/>
      <c r="M2755" s="671"/>
      <c r="Q2755" s="465"/>
      <c r="T2755" s="672"/>
    </row>
    <row r="2756" spans="1:20" s="666" customFormat="1" x14ac:dyDescent="0.25">
      <c r="A2756" s="670"/>
      <c r="B2756" s="700"/>
      <c r="C2756" s="705"/>
      <c r="D2756" s="463"/>
      <c r="E2756" s="675"/>
      <c r="F2756" s="676"/>
      <c r="G2756" s="479"/>
      <c r="H2756" s="479"/>
      <c r="I2756" s="467"/>
      <c r="J2756" s="980"/>
      <c r="M2756" s="671"/>
      <c r="Q2756" s="465"/>
      <c r="T2756" s="672"/>
    </row>
    <row r="2757" spans="1:20" s="666" customFormat="1" x14ac:dyDescent="0.25">
      <c r="A2757" s="670"/>
      <c r="B2757" s="700"/>
      <c r="C2757" s="677">
        <v>1</v>
      </c>
      <c r="D2757" s="701" t="str">
        <f>+'Precios Equipos'!C200</f>
        <v>Gabinete Fibra de vidrio de 900x1000x250mm. Barbotante</v>
      </c>
      <c r="E2757" s="469"/>
      <c r="F2757" s="678"/>
      <c r="G2757" s="561">
        <f>IFERROR(VLOOKUP(D2757,'Precios Equipos'!$C$1:$F$5052,3,0),"")</f>
        <v>0</v>
      </c>
      <c r="H2757" s="561">
        <f t="shared" ref="H2757:H2784" si="246">IFERROR(G2757*C2757,"")</f>
        <v>0</v>
      </c>
      <c r="I2757" s="547">
        <f>+H2757</f>
        <v>0</v>
      </c>
      <c r="J2757" s="982">
        <f>+I2757/H2787</f>
        <v>0</v>
      </c>
      <c r="M2757" s="671"/>
      <c r="Q2757" s="465">
        <f>+C2757*$C$2754</f>
        <v>1</v>
      </c>
      <c r="T2757" s="672"/>
    </row>
    <row r="2758" spans="1:20" s="666" customFormat="1" x14ac:dyDescent="0.25">
      <c r="A2758" s="670"/>
      <c r="B2758" s="700"/>
      <c r="C2758" s="680"/>
      <c r="D2758" s="470"/>
      <c r="E2758" s="469"/>
      <c r="F2758" s="681"/>
      <c r="G2758" s="561" t="str">
        <f>IFERROR(VLOOKUP(D2758,'Precios Equipos'!$C$1:$F$5052,3,0),"")</f>
        <v/>
      </c>
      <c r="H2758" s="561" t="str">
        <f t="shared" si="246"/>
        <v/>
      </c>
      <c r="I2758" s="706"/>
      <c r="J2758" s="984"/>
      <c r="M2758" s="671"/>
      <c r="Q2758" s="465"/>
      <c r="T2758" s="672"/>
    </row>
    <row r="2759" spans="1:20" s="666" customFormat="1" x14ac:dyDescent="0.25">
      <c r="A2759" s="670"/>
      <c r="B2759" s="700"/>
      <c r="C2759" s="680"/>
      <c r="D2759" s="718" t="s">
        <v>677</v>
      </c>
      <c r="E2759" s="469"/>
      <c r="F2759" s="681"/>
      <c r="G2759" s="561" t="str">
        <f>IFERROR(VLOOKUP(D2759,'Precios Equipos'!$C$1:$F$5052,3,0),"")</f>
        <v/>
      </c>
      <c r="H2759" s="561" t="str">
        <f t="shared" si="246"/>
        <v/>
      </c>
      <c r="I2759" s="1137">
        <f>SUM(H2760:H2780)</f>
        <v>856</v>
      </c>
      <c r="J2759" s="1124">
        <f>+I2759/H2787</f>
        <v>1</v>
      </c>
      <c r="M2759" s="671"/>
      <c r="Q2759" s="465"/>
      <c r="T2759" s="672"/>
    </row>
    <row r="2760" spans="1:20" s="666" customFormat="1" x14ac:dyDescent="0.25">
      <c r="A2760" s="670"/>
      <c r="B2760" s="700"/>
      <c r="C2760" s="674">
        <v>1</v>
      </c>
      <c r="D2760" s="683" t="str">
        <f>+'Precios Equipos'!C32</f>
        <v>ITM  3 x 63A, Caja Moldeada, Reg. (50.4-63)A, 25KA@380V, 3B160, SIGMA ELEKTRIK</v>
      </c>
      <c r="E2760" s="684"/>
      <c r="F2760" s="678"/>
      <c r="G2760" s="561">
        <f>IFERROR(VLOOKUP(D2760,'Precios Equipos'!$C$1:$F$5052,3,0),"")</f>
        <v>1</v>
      </c>
      <c r="H2760" s="561">
        <f t="shared" si="246"/>
        <v>1</v>
      </c>
      <c r="I2760" s="1138"/>
      <c r="J2760" s="1125"/>
      <c r="M2760" s="671"/>
      <c r="Q2760" s="465">
        <f>+C2760*$C$2754</f>
        <v>1</v>
      </c>
      <c r="T2760" s="672"/>
    </row>
    <row r="2761" spans="1:20" s="666" customFormat="1" x14ac:dyDescent="0.25">
      <c r="A2761" s="670"/>
      <c r="B2761" s="700"/>
      <c r="C2761" s="674"/>
      <c r="D2761" s="683"/>
      <c r="E2761" s="684"/>
      <c r="F2761" s="678"/>
      <c r="G2761" s="561" t="str">
        <f>IFERROR(VLOOKUP(D2761,'Precios Equipos'!$C$1:$F$5052,3,0),"")</f>
        <v/>
      </c>
      <c r="H2761" s="561" t="str">
        <f t="shared" si="246"/>
        <v/>
      </c>
      <c r="I2761" s="1138"/>
      <c r="J2761" s="1125"/>
      <c r="M2761" s="671"/>
      <c r="Q2761" s="465"/>
      <c r="T2761" s="672"/>
    </row>
    <row r="2762" spans="1:20" s="666" customFormat="1" x14ac:dyDescent="0.25">
      <c r="A2762" s="670"/>
      <c r="B2762" s="700"/>
      <c r="C2762" s="680"/>
      <c r="D2762" s="718" t="s">
        <v>678</v>
      </c>
      <c r="E2762" s="469"/>
      <c r="F2762" s="681"/>
      <c r="G2762" s="561" t="str">
        <f>IFERROR(VLOOKUP(D2762,'Precios Equipos'!$C$1:$F$5052,3,0),"")</f>
        <v/>
      </c>
      <c r="H2762" s="561" t="str">
        <f t="shared" si="246"/>
        <v/>
      </c>
      <c r="I2762" s="1138"/>
      <c r="J2762" s="1125"/>
      <c r="M2762" s="671"/>
      <c r="Q2762" s="465"/>
      <c r="T2762" s="672"/>
    </row>
    <row r="2763" spans="1:20" s="666" customFormat="1" x14ac:dyDescent="0.25">
      <c r="A2763" s="670"/>
      <c r="B2763" s="700"/>
      <c r="C2763" s="674">
        <v>1</v>
      </c>
      <c r="D2763" s="468" t="str">
        <f>+'Precios Equipos'!$C$61</f>
        <v>Protector de sobretension SPD AC 2P, 1000V AC, CLAMPER/DC SURGE PROTECCION</v>
      </c>
      <c r="E2763" s="469"/>
      <c r="F2763" s="681"/>
      <c r="G2763" s="561">
        <f>IFERROR(VLOOKUP(D2763,'Precios Equipos'!$C$1:$F$5052,3,0),"")</f>
        <v>59</v>
      </c>
      <c r="H2763" s="561">
        <f t="shared" ref="H2763" si="247">IFERROR(G2763*C2763,"")</f>
        <v>59</v>
      </c>
      <c r="I2763" s="1138"/>
      <c r="J2763" s="1125"/>
      <c r="M2763" s="671"/>
      <c r="Q2763" s="465">
        <f>+C2763*$C$2754</f>
        <v>1</v>
      </c>
      <c r="T2763" s="672"/>
    </row>
    <row r="2764" spans="1:20" s="666" customFormat="1" x14ac:dyDescent="0.25">
      <c r="A2764" s="670"/>
      <c r="B2764" s="700"/>
      <c r="C2764" s="686">
        <v>5</v>
      </c>
      <c r="D2764" s="683" t="str">
        <f>+'Precios Equipos'!C31</f>
        <v>ITM  3 x 40A, Caja Moldeada, Reg. (32-40)A, 25KA@380V, 3B160, SIGMA ELEKTRIK</v>
      </c>
      <c r="E2764" s="690"/>
      <c r="F2764" s="678"/>
      <c r="G2764" s="561">
        <f>IFERROR(VLOOKUP(D2764,'Precios Equipos'!$C$1:$F$5052,3,0),"")</f>
        <v>5</v>
      </c>
      <c r="H2764" s="561">
        <f t="shared" si="246"/>
        <v>25</v>
      </c>
      <c r="I2764" s="1138"/>
      <c r="J2764" s="1125"/>
      <c r="M2764" s="671"/>
      <c r="Q2764" s="465">
        <f>+C2764*$C$2754</f>
        <v>5</v>
      </c>
      <c r="T2764" s="672"/>
    </row>
    <row r="2765" spans="1:20" s="666" customFormat="1" x14ac:dyDescent="0.25">
      <c r="A2765" s="670"/>
      <c r="B2765" s="700"/>
      <c r="C2765" s="686"/>
      <c r="D2765" s="683"/>
      <c r="E2765" s="690"/>
      <c r="F2765" s="697"/>
      <c r="G2765" s="561" t="str">
        <f>IFERROR(VLOOKUP(D2765,'Precios Equipos'!$C$1:$F$5052,3,0),"")</f>
        <v/>
      </c>
      <c r="H2765" s="561" t="str">
        <f t="shared" si="246"/>
        <v/>
      </c>
      <c r="I2765" s="1138"/>
      <c r="J2765" s="1125"/>
      <c r="M2765" s="671"/>
      <c r="Q2765" s="465"/>
      <c r="T2765" s="672"/>
    </row>
    <row r="2766" spans="1:20" s="666" customFormat="1" x14ac:dyDescent="0.25">
      <c r="A2766" s="670"/>
      <c r="B2766" s="700"/>
      <c r="C2766" s="686"/>
      <c r="D2766" s="719" t="s">
        <v>679</v>
      </c>
      <c r="E2766" s="690"/>
      <c r="F2766" s="697"/>
      <c r="G2766" s="561" t="str">
        <f>IFERROR(VLOOKUP(D2766,'Precios Equipos'!$C$1:$F$5052,3,0),"")</f>
        <v/>
      </c>
      <c r="H2766" s="561" t="str">
        <f t="shared" si="246"/>
        <v/>
      </c>
      <c r="I2766" s="1138"/>
      <c r="J2766" s="1125"/>
      <c r="M2766" s="671"/>
      <c r="Q2766" s="465"/>
      <c r="T2766" s="672"/>
    </row>
    <row r="2767" spans="1:20" s="666" customFormat="1" x14ac:dyDescent="0.25">
      <c r="A2767" s="670"/>
      <c r="B2767" s="700"/>
      <c r="C2767" s="686">
        <v>1</v>
      </c>
      <c r="D2767" s="683" t="str">
        <f>+'Precios Equipos'!C30</f>
        <v>ITM  3 x 25A, Caja Moldeada, Reg. (20-25)A, 25KA@380V, 3B160, SIGMA ELEKTRIK</v>
      </c>
      <c r="E2767" s="690"/>
      <c r="F2767" s="678"/>
      <c r="G2767" s="561">
        <f>IFERROR(VLOOKUP(D2767,'Precios Equipos'!$C$1:$F$5052,3,0),"")</f>
        <v>1</v>
      </c>
      <c r="H2767" s="561">
        <f t="shared" si="246"/>
        <v>1</v>
      </c>
      <c r="I2767" s="1138"/>
      <c r="J2767" s="1125"/>
      <c r="L2767" s="716"/>
      <c r="M2767" s="717"/>
      <c r="Q2767" s="465">
        <f>+C2767*$C$2754</f>
        <v>1</v>
      </c>
      <c r="T2767" s="672"/>
    </row>
    <row r="2768" spans="1:20" s="666" customFormat="1" x14ac:dyDescent="0.25">
      <c r="A2768" s="670"/>
      <c r="B2768" s="700"/>
      <c r="C2768" s="686">
        <v>1</v>
      </c>
      <c r="D2768" s="683" t="str">
        <f>+'Precios Equipos'!$C$70</f>
        <v>Contactor Trifásico 18 A, AC3, 220V, AF16, ABB</v>
      </c>
      <c r="E2768" s="684"/>
      <c r="F2768" s="678"/>
      <c r="G2768" s="561">
        <f>IFERROR(VLOOKUP(D2768,'Precios Equipos'!$C$1:$F$5052,3,0),"")</f>
        <v>42</v>
      </c>
      <c r="H2768" s="561">
        <f t="shared" si="246"/>
        <v>42</v>
      </c>
      <c r="I2768" s="1138"/>
      <c r="J2768" s="1125"/>
      <c r="L2768" s="716"/>
      <c r="M2768" s="717"/>
      <c r="Q2768" s="465">
        <f>+C2768*$C$2754</f>
        <v>1</v>
      </c>
      <c r="T2768" s="672"/>
    </row>
    <row r="2769" spans="1:20" s="666" customFormat="1" x14ac:dyDescent="0.25">
      <c r="A2769" s="670"/>
      <c r="B2769" s="700"/>
      <c r="C2769" s="674">
        <v>1</v>
      </c>
      <c r="D2769" s="688" t="str">
        <f>+'Precios Equipos'!$C$77</f>
        <v>Interruptor Horario Digital, Res. 3 años, 220V, 60Hz</v>
      </c>
      <c r="E2769" s="469"/>
      <c r="F2769" s="678"/>
      <c r="G2769" s="561">
        <f>IFERROR(VLOOKUP(D2769,'Precios Equipos'!$C$1:$F$5052,3,0),"")</f>
        <v>42</v>
      </c>
      <c r="H2769" s="561">
        <f t="shared" si="246"/>
        <v>42</v>
      </c>
      <c r="I2769" s="1138"/>
      <c r="J2769" s="1125"/>
      <c r="L2769" s="716"/>
      <c r="M2769" s="717"/>
      <c r="Q2769" s="465">
        <f>+C2769*$C$2754</f>
        <v>1</v>
      </c>
      <c r="T2769" s="672"/>
    </row>
    <row r="2770" spans="1:20" s="666" customFormat="1" x14ac:dyDescent="0.25">
      <c r="A2770" s="670"/>
      <c r="B2770" s="700"/>
      <c r="C2770" s="674">
        <v>1</v>
      </c>
      <c r="D2770" s="683" t="str">
        <f>+'Precios Equipos'!$C$51</f>
        <v>Interruptor Riel Din 2x10A, 6KA@400V</v>
      </c>
      <c r="E2770" s="684"/>
      <c r="F2770" s="678"/>
      <c r="G2770" s="561">
        <f>IFERROR(VLOOKUP(D2770,'Precios Equipos'!$C$1:$F$5052,3,0),"")</f>
        <v>42</v>
      </c>
      <c r="H2770" s="561">
        <f t="shared" si="246"/>
        <v>42</v>
      </c>
      <c r="I2770" s="1138"/>
      <c r="J2770" s="1125"/>
      <c r="L2770" s="716"/>
      <c r="M2770" s="717"/>
      <c r="Q2770" s="465">
        <f>+C2770*$C$2754</f>
        <v>1</v>
      </c>
      <c r="T2770" s="672"/>
    </row>
    <row r="2771" spans="1:20" s="666" customFormat="1" x14ac:dyDescent="0.25">
      <c r="A2771" s="670"/>
      <c r="B2771" s="700"/>
      <c r="C2771" s="674"/>
      <c r="D2771" s="683"/>
      <c r="E2771" s="684"/>
      <c r="F2771" s="685"/>
      <c r="G2771" s="561" t="str">
        <f>IFERROR(VLOOKUP(D2771,'Precios Equipos'!$C$1:$F$5052,3,0),"")</f>
        <v/>
      </c>
      <c r="H2771" s="561" t="str">
        <f t="shared" si="246"/>
        <v/>
      </c>
      <c r="I2771" s="1138"/>
      <c r="J2771" s="1125"/>
      <c r="L2771" s="716"/>
      <c r="M2771" s="717"/>
      <c r="Q2771" s="465"/>
      <c r="T2771" s="672"/>
    </row>
    <row r="2772" spans="1:20" s="666" customFormat="1" x14ac:dyDescent="0.25">
      <c r="A2772" s="670"/>
      <c r="B2772" s="700"/>
      <c r="C2772" s="674"/>
      <c r="D2772" s="715" t="s">
        <v>680</v>
      </c>
      <c r="E2772" s="684"/>
      <c r="F2772" s="685"/>
      <c r="G2772" s="561" t="str">
        <f>IFERROR(VLOOKUP(D2772,'Precios Equipos'!$C$1:$F$5052,3,0),"")</f>
        <v/>
      </c>
      <c r="H2772" s="561" t="str">
        <f t="shared" si="246"/>
        <v/>
      </c>
      <c r="I2772" s="1138"/>
      <c r="J2772" s="1125"/>
      <c r="M2772" s="671"/>
      <c r="Q2772" s="465"/>
      <c r="T2772" s="672"/>
    </row>
    <row r="2773" spans="1:20" s="666" customFormat="1" x14ac:dyDescent="0.25">
      <c r="A2773" s="670"/>
      <c r="B2773" s="700"/>
      <c r="C2773" s="674">
        <v>1</v>
      </c>
      <c r="D2773" s="683" t="str">
        <f>+'Precios Equipos'!C36</f>
        <v>Medidor Electronico Polifasico HXF300, HEXING</v>
      </c>
      <c r="E2773" s="684"/>
      <c r="F2773" s="678"/>
      <c r="G2773" s="561">
        <f>IFERROR(VLOOKUP(D2773,'Precios Equipos'!$C$1:$F$5052,3,0),"")</f>
        <v>1</v>
      </c>
      <c r="H2773" s="561">
        <f t="shared" si="246"/>
        <v>1</v>
      </c>
      <c r="I2773" s="1138"/>
      <c r="J2773" s="1125"/>
      <c r="M2773" s="671"/>
      <c r="Q2773" s="465">
        <f>+C2773*$C$2754</f>
        <v>1</v>
      </c>
      <c r="T2773" s="672"/>
    </row>
    <row r="2774" spans="1:20" s="666" customFormat="1" x14ac:dyDescent="0.25">
      <c r="A2774" s="670"/>
      <c r="B2774" s="700"/>
      <c r="C2774" s="686">
        <v>1</v>
      </c>
      <c r="D2774" s="683" t="str">
        <f>+'Precios Equipos'!C34</f>
        <v>Medidor Electronico HXE34KS-1, HEXING</v>
      </c>
      <c r="E2774" s="684"/>
      <c r="F2774" s="678"/>
      <c r="G2774" s="561">
        <f>IFERROR(VLOOKUP(D2774,'Precios Equipos'!$C$1:$F$5052,3,0),"")</f>
        <v>42</v>
      </c>
      <c r="H2774" s="561">
        <f t="shared" si="246"/>
        <v>42</v>
      </c>
      <c r="I2774" s="1138"/>
      <c r="J2774" s="1125"/>
      <c r="M2774" s="671"/>
      <c r="Q2774" s="465">
        <f>+C2774*$C$2754</f>
        <v>1</v>
      </c>
      <c r="T2774" s="672"/>
    </row>
    <row r="2775" spans="1:20" s="666" customFormat="1" x14ac:dyDescent="0.25">
      <c r="A2775" s="670"/>
      <c r="B2775" s="700"/>
      <c r="C2775" s="686"/>
      <c r="D2775" s="683"/>
      <c r="E2775" s="684"/>
      <c r="F2775" s="678"/>
      <c r="G2775" s="561" t="str">
        <f>IFERROR(VLOOKUP(D2775,'Precios Equipos'!$C$1:$F$5052,3,0),"")</f>
        <v/>
      </c>
      <c r="H2775" s="561" t="str">
        <f t="shared" si="246"/>
        <v/>
      </c>
      <c r="I2775" s="1138"/>
      <c r="J2775" s="1125"/>
      <c r="M2775" s="671"/>
      <c r="Q2775" s="465"/>
      <c r="T2775" s="672"/>
    </row>
    <row r="2776" spans="1:20" s="666" customFormat="1" x14ac:dyDescent="0.25">
      <c r="A2776" s="670"/>
      <c r="B2776" s="700"/>
      <c r="C2776" s="674"/>
      <c r="D2776" s="719" t="s">
        <v>87</v>
      </c>
      <c r="E2776" s="684"/>
      <c r="F2776" s="685"/>
      <c r="G2776" s="561" t="str">
        <f>IFERROR(VLOOKUP(D2776,'Precios Equipos'!$C$1:$F$5052,3,0),"")</f>
        <v/>
      </c>
      <c r="H2776" s="561" t="str">
        <f t="shared" si="246"/>
        <v/>
      </c>
      <c r="I2776" s="1138"/>
      <c r="J2776" s="1125"/>
      <c r="M2776" s="671"/>
      <c r="Q2776" s="465"/>
      <c r="T2776" s="672"/>
    </row>
    <row r="2777" spans="1:20" s="666" customFormat="1" x14ac:dyDescent="0.25">
      <c r="A2777" s="670"/>
      <c r="B2777" s="700"/>
      <c r="C2777" s="674">
        <v>3</v>
      </c>
      <c r="D2777" s="703" t="str">
        <f>+'Precios Equipos'!C72</f>
        <v>Transformador de corriente, 100 / 5 A, CL 0.5</v>
      </c>
      <c r="E2777" s="469"/>
      <c r="F2777" s="678"/>
      <c r="G2777" s="561">
        <f>IFERROR(VLOOKUP(D2777,'Precios Equipos'!$C$1:$F$5052,3,0),"")</f>
        <v>3</v>
      </c>
      <c r="H2777" s="561">
        <f t="shared" si="246"/>
        <v>9</v>
      </c>
      <c r="I2777" s="1138"/>
      <c r="J2777" s="1125"/>
      <c r="M2777" s="671"/>
      <c r="Q2777" s="465">
        <f>+C2777*$C$2754</f>
        <v>3</v>
      </c>
      <c r="T2777" s="672"/>
    </row>
    <row r="2778" spans="1:20" s="666" customFormat="1" x14ac:dyDescent="0.25">
      <c r="A2778" s="670"/>
      <c r="B2778" s="700"/>
      <c r="C2778" s="686">
        <v>4</v>
      </c>
      <c r="D2778" s="689" t="str">
        <f>+'Precios Equipos'!$C$66</f>
        <v>Base PortaFusible y Fusible 25A / 2A</v>
      </c>
      <c r="E2778" s="690"/>
      <c r="F2778" s="678"/>
      <c r="G2778" s="561">
        <f>IFERROR(VLOOKUP(D2778,'Precios Equipos'!$C$1:$F$5052,3,0),"")</f>
        <v>127</v>
      </c>
      <c r="H2778" s="561">
        <f t="shared" si="246"/>
        <v>508</v>
      </c>
      <c r="I2778" s="1138"/>
      <c r="J2778" s="1125"/>
      <c r="M2778" s="671"/>
      <c r="Q2778" s="465">
        <f>+C2778*$C$2754</f>
        <v>4</v>
      </c>
      <c r="T2778" s="672"/>
    </row>
    <row r="2779" spans="1:20" s="666" customFormat="1" x14ac:dyDescent="0.25">
      <c r="A2779" s="670"/>
      <c r="B2779" s="700"/>
      <c r="C2779" s="674">
        <v>1</v>
      </c>
      <c r="D2779" s="689" t="str">
        <f>+'Precios Equipos'!$C$76</f>
        <v>Interruptor unipolar y tomacorriente</v>
      </c>
      <c r="E2779" s="469"/>
      <c r="F2779" s="678"/>
      <c r="G2779" s="561">
        <f>IFERROR(VLOOKUP(D2779,'Precios Equipos'!$C$1:$F$5052,3,0),"")</f>
        <v>42</v>
      </c>
      <c r="H2779" s="561">
        <f t="shared" si="246"/>
        <v>42</v>
      </c>
      <c r="I2779" s="1138"/>
      <c r="J2779" s="1125"/>
      <c r="M2779" s="671"/>
      <c r="Q2779" s="465">
        <f>+C2779*$C$2754</f>
        <v>1</v>
      </c>
      <c r="T2779" s="672"/>
    </row>
    <row r="2780" spans="1:20" s="666" customFormat="1" x14ac:dyDescent="0.25">
      <c r="A2780" s="670"/>
      <c r="B2780" s="700"/>
      <c r="C2780" s="674">
        <v>1</v>
      </c>
      <c r="D2780" s="689" t="str">
        <f>+'Precios Equipos'!$C$71</f>
        <v>Lampara Incandescente 100 W, 220 V con Socket</v>
      </c>
      <c r="E2780" s="469"/>
      <c r="F2780" s="678"/>
      <c r="G2780" s="561">
        <f>IFERROR(VLOOKUP(D2780,'Precios Equipos'!$C$1:$F$5052,3,0),"")</f>
        <v>42</v>
      </c>
      <c r="H2780" s="561">
        <f t="shared" si="246"/>
        <v>42</v>
      </c>
      <c r="I2780" s="1139"/>
      <c r="J2780" s="1126"/>
      <c r="M2780" s="671"/>
      <c r="Q2780" s="465">
        <f>+C2780*$C$2754</f>
        <v>1</v>
      </c>
      <c r="T2780" s="672"/>
    </row>
    <row r="2781" spans="1:20" s="666" customFormat="1" x14ac:dyDescent="0.25">
      <c r="A2781" s="670"/>
      <c r="B2781" s="700"/>
      <c r="C2781" s="674">
        <v>1</v>
      </c>
      <c r="D2781" s="468" t="s">
        <v>681</v>
      </c>
      <c r="E2781" s="469"/>
      <c r="F2781" s="681"/>
      <c r="G2781" s="561" t="str">
        <f>IFERROR(VLOOKUP(D2781,'Precios Equipos'!$C$1:$F$5052,3,0),"")</f>
        <v/>
      </c>
      <c r="H2781" s="561" t="str">
        <f t="shared" si="246"/>
        <v/>
      </c>
      <c r="I2781" s="706"/>
      <c r="J2781" s="984"/>
      <c r="M2781" s="671"/>
      <c r="Q2781" s="465"/>
      <c r="T2781" s="672"/>
    </row>
    <row r="2782" spans="1:20" s="666" customFormat="1" x14ac:dyDescent="0.25">
      <c r="A2782" s="670"/>
      <c r="B2782" s="700"/>
      <c r="C2782" s="674">
        <v>1</v>
      </c>
      <c r="D2782" s="468" t="s">
        <v>20</v>
      </c>
      <c r="E2782" s="469"/>
      <c r="F2782" s="681"/>
      <c r="G2782" s="561" t="str">
        <f>IFERROR(VLOOKUP(D2782,'Precios Equipos'!$C$1:$F$5052,3,0),"")</f>
        <v/>
      </c>
      <c r="H2782" s="561" t="str">
        <f t="shared" si="246"/>
        <v/>
      </c>
      <c r="I2782" s="706"/>
      <c r="J2782" s="984"/>
      <c r="M2782" s="671"/>
      <c r="Q2782" s="465"/>
      <c r="T2782" s="672"/>
    </row>
    <row r="2783" spans="1:20" s="666" customFormat="1" x14ac:dyDescent="0.25">
      <c r="A2783" s="670"/>
      <c r="B2783" s="700"/>
      <c r="C2783" s="674">
        <v>1</v>
      </c>
      <c r="D2783" s="468" t="s">
        <v>682</v>
      </c>
      <c r="E2783" s="469"/>
      <c r="F2783" s="681"/>
      <c r="G2783" s="561" t="str">
        <f>IFERROR(VLOOKUP(D2783,'Precios Equipos'!$C$1:$F$5052,3,0),"")</f>
        <v/>
      </c>
      <c r="H2783" s="561" t="str">
        <f t="shared" si="246"/>
        <v/>
      </c>
      <c r="I2783" s="706"/>
      <c r="J2783" s="984"/>
      <c r="M2783" s="671"/>
      <c r="Q2783" s="465"/>
      <c r="T2783" s="672"/>
    </row>
    <row r="2784" spans="1:20" s="666" customFormat="1" x14ac:dyDescent="0.25">
      <c r="A2784" s="670"/>
      <c r="B2784" s="700"/>
      <c r="C2784" s="674">
        <v>1</v>
      </c>
      <c r="D2784" s="468" t="s">
        <v>683</v>
      </c>
      <c r="E2784" s="469"/>
      <c r="F2784" s="681"/>
      <c r="G2784" s="561" t="str">
        <f>IFERROR(VLOOKUP(D2784,'Precios Equipos'!$C$1:$F$5052,3,0),"")</f>
        <v/>
      </c>
      <c r="H2784" s="561" t="str">
        <f t="shared" si="246"/>
        <v/>
      </c>
      <c r="I2784" s="706"/>
      <c r="J2784" s="984"/>
      <c r="M2784" s="671"/>
      <c r="Q2784" s="465"/>
      <c r="T2784" s="672"/>
    </row>
    <row r="2785" spans="1:20" s="666" customFormat="1" x14ac:dyDescent="0.25">
      <c r="A2785" s="670"/>
      <c r="B2785" s="700"/>
      <c r="C2785" s="674">
        <v>1</v>
      </c>
      <c r="D2785" s="468" t="s">
        <v>684</v>
      </c>
      <c r="E2785" s="469"/>
      <c r="F2785" s="681"/>
      <c r="G2785" s="577"/>
      <c r="H2785" s="577"/>
      <c r="I2785" s="706"/>
      <c r="J2785" s="984"/>
      <c r="M2785" s="671"/>
      <c r="Q2785" s="465"/>
      <c r="T2785" s="672"/>
    </row>
    <row r="2786" spans="1:20" s="666" customFormat="1" x14ac:dyDescent="0.25">
      <c r="A2786" s="670"/>
      <c r="B2786" s="700"/>
      <c r="C2786" s="674">
        <v>1</v>
      </c>
      <c r="D2786" s="468" t="s">
        <v>685</v>
      </c>
      <c r="E2786" s="469"/>
      <c r="F2786" s="681"/>
      <c r="G2786" s="577"/>
      <c r="H2786" s="577"/>
      <c r="I2786" s="706"/>
      <c r="J2786" s="984"/>
      <c r="M2786" s="671"/>
      <c r="Q2786" s="465"/>
      <c r="T2786" s="672"/>
    </row>
    <row r="2787" spans="1:20" s="666" customFormat="1" x14ac:dyDescent="0.25">
      <c r="A2787" s="670"/>
      <c r="B2787" s="700"/>
      <c r="C2787" s="674">
        <v>1</v>
      </c>
      <c r="D2787" s="468" t="s">
        <v>686</v>
      </c>
      <c r="E2787" s="469"/>
      <c r="F2787" s="681"/>
      <c r="G2787" s="576" t="s">
        <v>97</v>
      </c>
      <c r="H2787" s="731">
        <f>SUM(H2756:H2786)</f>
        <v>856</v>
      </c>
      <c r="I2787" s="566"/>
      <c r="J2787" s="985">
        <f>+J2759+J2757</f>
        <v>1</v>
      </c>
      <c r="M2787" s="671"/>
      <c r="Q2787" s="465"/>
      <c r="T2787" s="672"/>
    </row>
    <row r="2788" spans="1:20" s="666" customFormat="1" x14ac:dyDescent="0.25">
      <c r="A2788" s="670"/>
      <c r="B2788" s="700"/>
      <c r="C2788" s="674">
        <v>2</v>
      </c>
      <c r="D2788" s="468" t="s">
        <v>337</v>
      </c>
      <c r="E2788" s="469"/>
      <c r="F2788" s="681"/>
      <c r="G2788" s="576" t="s">
        <v>105</v>
      </c>
      <c r="H2788" s="561">
        <f>+H2787*$M$157</f>
        <v>299.59999999999997</v>
      </c>
      <c r="I2788" s="566"/>
      <c r="J2788" s="986">
        <f>+H2788/H2787</f>
        <v>0.35</v>
      </c>
      <c r="M2788" s="671"/>
      <c r="Q2788" s="465"/>
      <c r="T2788" s="672"/>
    </row>
    <row r="2789" spans="1:20" s="666" customFormat="1" x14ac:dyDescent="0.25">
      <c r="A2789" s="670"/>
      <c r="B2789" s="702"/>
      <c r="C2789" s="693">
        <v>1</v>
      </c>
      <c r="D2789" s="523" t="s">
        <v>687</v>
      </c>
      <c r="E2789" s="694"/>
      <c r="F2789" s="695"/>
      <c r="G2789" s="576" t="s">
        <v>452</v>
      </c>
      <c r="H2789" s="561">
        <f>SUM(H2787:H2788)</f>
        <v>1155.5999999999999</v>
      </c>
      <c r="I2789" s="539"/>
      <c r="J2789" s="980"/>
      <c r="T2789" s="672"/>
    </row>
    <row r="2790" spans="1:20" hidden="1" x14ac:dyDescent="0.25"/>
    <row r="2791" spans="1:20" hidden="1" x14ac:dyDescent="0.25">
      <c r="B2791" s="514" t="s">
        <v>6</v>
      </c>
      <c r="C2791" s="515" t="s">
        <v>0</v>
      </c>
      <c r="D2791" s="606" t="s">
        <v>8</v>
      </c>
      <c r="E2791" s="516" t="s">
        <v>4</v>
      </c>
      <c r="F2791" s="516" t="s">
        <v>3</v>
      </c>
      <c r="G2791" s="477"/>
      <c r="H2791" s="477"/>
      <c r="I2791" s="477"/>
      <c r="J2791" s="987"/>
      <c r="K2791" s="539"/>
      <c r="O2791" s="468"/>
      <c r="Q2791" s="754"/>
    </row>
    <row r="2792" spans="1:20" ht="15.75" hidden="1" customHeight="1" x14ac:dyDescent="0.25">
      <c r="B2792" s="1077">
        <v>11.01</v>
      </c>
      <c r="C2792" s="1099">
        <v>1</v>
      </c>
      <c r="D2792" s="1079" t="s">
        <v>795</v>
      </c>
      <c r="E2792" s="518">
        <f>+H2815</f>
        <v>1507.5</v>
      </c>
      <c r="F2792" s="518">
        <f>+E2792*C2792</f>
        <v>1507.5</v>
      </c>
      <c r="G2792" s="553" t="s">
        <v>450</v>
      </c>
      <c r="H2792" s="553" t="s">
        <v>1</v>
      </c>
      <c r="I2792" s="477"/>
      <c r="J2792" s="987"/>
      <c r="K2792" s="539"/>
      <c r="O2792" s="468"/>
      <c r="Q2792" s="754"/>
    </row>
    <row r="2793" spans="1:20" hidden="1" x14ac:dyDescent="0.25">
      <c r="B2793" s="1078"/>
      <c r="C2793" s="1078"/>
      <c r="D2793" s="1080"/>
      <c r="E2793" s="520" t="s">
        <v>50</v>
      </c>
      <c r="F2793" s="520" t="s">
        <v>50</v>
      </c>
      <c r="G2793" s="553" t="s">
        <v>50</v>
      </c>
      <c r="H2793" s="553" t="s">
        <v>50</v>
      </c>
      <c r="I2793" s="477"/>
      <c r="J2793" s="987"/>
      <c r="K2793" s="539"/>
      <c r="O2793" s="468"/>
      <c r="Q2793" s="754"/>
    </row>
    <row r="2794" spans="1:20" ht="14.25" hidden="1" customHeight="1" thickBot="1" x14ac:dyDescent="0.3">
      <c r="B2794" s="493"/>
      <c r="C2794" s="526"/>
      <c r="D2794" s="463"/>
      <c r="E2794" s="755"/>
      <c r="F2794" s="756"/>
      <c r="G2794" s="561"/>
      <c r="H2794" s="561"/>
      <c r="I2794" s="477"/>
      <c r="J2794" s="987"/>
      <c r="K2794" s="539"/>
      <c r="O2794" s="468"/>
      <c r="Q2794" s="754"/>
    </row>
    <row r="2795" spans="1:20" ht="16.5" hidden="1" thickBot="1" x14ac:dyDescent="0.3">
      <c r="B2795" s="493"/>
      <c r="C2795" s="526">
        <v>1</v>
      </c>
      <c r="D2795" s="500" t="str">
        <f>+'Precios Equipos'!$C$178</f>
        <v>Gabinete Adosado 700x500x200mm. (alto x ancho x profundidad) dimensiones aproximadas</v>
      </c>
      <c r="F2795" s="495"/>
      <c r="G2795" s="561">
        <f>IFERROR(VLOOKUP(D2795,'Precios Equipos'!$C$1:$F$2080,3,0),"")</f>
        <v>16</v>
      </c>
      <c r="H2795" s="561">
        <f t="shared" ref="H2795:H2805" si="248">IFERROR(G2795*C2795,"")</f>
        <v>16</v>
      </c>
      <c r="I2795" s="561">
        <v>320</v>
      </c>
      <c r="J2795" s="976">
        <v>8.3555944130034726E-2</v>
      </c>
      <c r="K2795" s="539"/>
      <c r="L2795" s="540" t="s">
        <v>451</v>
      </c>
      <c r="M2795" s="541"/>
      <c r="O2795" s="468"/>
      <c r="Q2795" s="754">
        <v>1</v>
      </c>
    </row>
    <row r="2796" spans="1:20" ht="16.5" hidden="1" thickBot="1" x14ac:dyDescent="0.3">
      <c r="B2796" s="493"/>
      <c r="C2796" s="526"/>
      <c r="D2796" s="494"/>
      <c r="F2796" s="495"/>
      <c r="G2796" s="561" t="str">
        <f>IFERROR(VLOOKUP(D2796,'Precios Equipos'!$C$1:$F$2080,3,0),"")</f>
        <v/>
      </c>
      <c r="H2796" s="561" t="str">
        <f t="shared" si="248"/>
        <v/>
      </c>
      <c r="I2796" s="477"/>
      <c r="J2796" s="987"/>
      <c r="K2796" s="539"/>
      <c r="L2796" s="542" t="s">
        <v>88</v>
      </c>
      <c r="M2796" s="543" t="s">
        <v>85</v>
      </c>
      <c r="O2796" s="468"/>
      <c r="Q2796" s="754"/>
    </row>
    <row r="2797" spans="1:20" hidden="1" x14ac:dyDescent="0.25">
      <c r="B2797" s="493"/>
      <c r="C2797" s="526"/>
      <c r="D2797" s="620" t="s">
        <v>568</v>
      </c>
      <c r="F2797" s="495"/>
      <c r="G2797" s="561" t="str">
        <f>IFERROR(VLOOKUP(D2797,'Precios Equipos'!$C$1:$F$2080,3,0),"")</f>
        <v/>
      </c>
      <c r="H2797" s="561" t="str">
        <f t="shared" si="248"/>
        <v/>
      </c>
      <c r="I2797" s="477"/>
      <c r="J2797" s="987"/>
      <c r="K2797" s="539"/>
      <c r="L2797" s="544">
        <v>0</v>
      </c>
      <c r="M2797" s="545">
        <v>0</v>
      </c>
      <c r="O2797" s="468"/>
      <c r="P2797" s="501"/>
      <c r="Q2797" s="754"/>
    </row>
    <row r="2798" spans="1:20" ht="14.25" hidden="1" customHeight="1" x14ac:dyDescent="0.25">
      <c r="B2798" s="493"/>
      <c r="C2798" s="526">
        <v>2</v>
      </c>
      <c r="D2798" s="494" t="str">
        <f>+'Precios Equipos'!C80</f>
        <v>ITM 3x25A, Caja Moldeada (17.5-25)A, 36kA en 380VAC, XT1N, ABB</v>
      </c>
      <c r="F2798" s="497"/>
      <c r="G2798" s="561">
        <f>IFERROR(VLOOKUP(D2798,'Precios Equipos'!$C$1:$F$2080,3,0),"")</f>
        <v>0</v>
      </c>
      <c r="H2798" s="561">
        <f t="shared" si="248"/>
        <v>0</v>
      </c>
      <c r="I2798" s="1087">
        <v>2709.7694237288133</v>
      </c>
      <c r="J2798" s="1128">
        <v>0.70755419554487842</v>
      </c>
      <c r="K2798" s="539"/>
      <c r="L2798" s="544">
        <v>0</v>
      </c>
      <c r="M2798" s="545">
        <v>0</v>
      </c>
      <c r="O2798" s="468"/>
      <c r="P2798" s="501"/>
      <c r="Q2798" s="754">
        <v>2</v>
      </c>
    </row>
    <row r="2799" spans="1:20" ht="14.25" hidden="1" customHeight="1" x14ac:dyDescent="0.25">
      <c r="B2799" s="493"/>
      <c r="C2799" s="526">
        <v>2</v>
      </c>
      <c r="D2799" s="494" t="str">
        <f>+'Precios Equipos'!$C$62</f>
        <v>Protector de sobretension SPD AC 3P+N, 230/400V, 1.5kV, 40kA, OVR, 2CTB803973R1100, ABB</v>
      </c>
      <c r="F2799" s="497"/>
      <c r="G2799" s="561">
        <f>IFERROR(VLOOKUP(D2799,'Precios Equipos'!$C$1:$F$2080,3,0),"")</f>
        <v>0</v>
      </c>
      <c r="H2799" s="561">
        <f t="shared" si="248"/>
        <v>0</v>
      </c>
      <c r="I2799" s="1087"/>
      <c r="J2799" s="1128"/>
      <c r="K2799" s="539"/>
      <c r="L2799" s="544">
        <v>0</v>
      </c>
      <c r="M2799" s="545">
        <v>0</v>
      </c>
      <c r="O2799" s="468"/>
      <c r="P2799" s="501"/>
      <c r="Q2799" s="754">
        <v>2</v>
      </c>
    </row>
    <row r="2800" spans="1:20" ht="14.25" hidden="1" customHeight="1" x14ac:dyDescent="0.25">
      <c r="B2800" s="493"/>
      <c r="C2800" s="526">
        <v>1</v>
      </c>
      <c r="D2800" s="494" t="str">
        <f>+'Precios Equipos'!$C$37</f>
        <v>Medidor Multifuncion comunicación M1M 15 Modbus RTU ABB</v>
      </c>
      <c r="F2800" s="497"/>
      <c r="G2800" s="561">
        <f>IFERROR(VLOOKUP(D2800,'Precios Equipos'!$C$1:$F$2080,3,0),"")</f>
        <v>0</v>
      </c>
      <c r="H2800" s="561">
        <f t="shared" si="248"/>
        <v>0</v>
      </c>
      <c r="I2800" s="1087"/>
      <c r="J2800" s="1128"/>
      <c r="K2800" s="539"/>
      <c r="L2800" s="544">
        <v>0</v>
      </c>
      <c r="M2800" s="545">
        <v>0</v>
      </c>
      <c r="O2800" s="468"/>
      <c r="P2800" s="501"/>
      <c r="Q2800" s="754">
        <v>1</v>
      </c>
    </row>
    <row r="2801" spans="2:17" ht="14.25" hidden="1" customHeight="1" thickBot="1" x14ac:dyDescent="0.3">
      <c r="B2801" s="493"/>
      <c r="C2801" s="526">
        <v>3</v>
      </c>
      <c r="D2801" s="494" t="str">
        <f>+'Precios Equipos'!$C$72</f>
        <v>Transformador de corriente, 100 / 5 A, CL 0.5</v>
      </c>
      <c r="F2801" s="497"/>
      <c r="G2801" s="561">
        <f>IFERROR(VLOOKUP(D2801,'Precios Equipos'!$C$1:$F$2080,3,0),"")</f>
        <v>3</v>
      </c>
      <c r="H2801" s="561">
        <f t="shared" si="248"/>
        <v>9</v>
      </c>
      <c r="I2801" s="1087"/>
      <c r="J2801" s="1128"/>
      <c r="K2801" s="539"/>
      <c r="L2801" s="544">
        <v>0</v>
      </c>
      <c r="M2801" s="545">
        <v>0</v>
      </c>
      <c r="O2801" s="468"/>
      <c r="P2801" s="501"/>
      <c r="Q2801" s="754">
        <v>3</v>
      </c>
    </row>
    <row r="2802" spans="2:17" ht="14.25" hidden="1" customHeight="1" thickBot="1" x14ac:dyDescent="0.3">
      <c r="B2802" s="493"/>
      <c r="C2802" s="526">
        <v>3</v>
      </c>
      <c r="D2802" s="494" t="str">
        <f>+'Precios Equipos'!$C$66</f>
        <v>Base PortaFusible y Fusible 25A / 2A</v>
      </c>
      <c r="F2802" s="497"/>
      <c r="G2802" s="561">
        <f>IFERROR(VLOOKUP(D2802,'Precios Equipos'!$C$1:$F$2080,3,0),"")</f>
        <v>127</v>
      </c>
      <c r="H2802" s="561">
        <f t="shared" si="248"/>
        <v>381</v>
      </c>
      <c r="I2802" s="1087"/>
      <c r="J2802" s="1128"/>
      <c r="K2802" s="539"/>
      <c r="L2802" s="546" t="s">
        <v>89</v>
      </c>
      <c r="M2802" s="560">
        <v>800</v>
      </c>
      <c r="O2802" s="468"/>
      <c r="P2802" s="501"/>
      <c r="Q2802" s="754">
        <v>3</v>
      </c>
    </row>
    <row r="2803" spans="2:17" ht="14.25" hidden="1" customHeight="1" x14ac:dyDescent="0.25">
      <c r="B2803" s="493"/>
      <c r="C2803" s="526">
        <v>1</v>
      </c>
      <c r="D2803" s="494" t="str">
        <f>+'Precios Equipos'!$C$81</f>
        <v>Rejilla Con Filtro Para Tablero 106 X 106Mm Ral7035, JK6620, JASON FAN</v>
      </c>
      <c r="F2803" s="497"/>
      <c r="G2803" s="561">
        <f>IFERROR(VLOOKUP(D2803,'Precios Equipos'!$C$1:$F$2080,3,0),"")</f>
        <v>0</v>
      </c>
      <c r="H2803" s="561">
        <f t="shared" si="248"/>
        <v>0</v>
      </c>
      <c r="I2803" s="1087"/>
      <c r="J2803" s="1128"/>
      <c r="K2803" s="539"/>
      <c r="O2803" s="468"/>
      <c r="P2803" s="501"/>
      <c r="Q2803" s="754">
        <v>1</v>
      </c>
    </row>
    <row r="2804" spans="2:17" ht="14.25" hidden="1" customHeight="1" x14ac:dyDescent="0.25">
      <c r="B2804" s="493"/>
      <c r="C2804" s="526">
        <v>1</v>
      </c>
      <c r="D2804" s="494" t="str">
        <f>+'Precios Equipos'!$C$82</f>
        <v>Ventilador C/ Rejilla Y Filtro Para Tablero 26M3/H 106 X 106Mm Ral7035, FJK6620PB230 , JASON FAN</v>
      </c>
      <c r="F2804" s="497"/>
      <c r="G2804" s="561">
        <f>IFERROR(VLOOKUP(D2804,'Precios Equipos'!$C$1:$F$2080,3,0),"")</f>
        <v>0</v>
      </c>
      <c r="H2804" s="561">
        <f t="shared" si="248"/>
        <v>0</v>
      </c>
      <c r="I2804" s="1087"/>
      <c r="J2804" s="1128"/>
      <c r="K2804" s="539"/>
      <c r="O2804" s="468"/>
      <c r="P2804" s="501"/>
      <c r="Q2804" s="754">
        <v>1</v>
      </c>
    </row>
    <row r="2805" spans="2:17" ht="14.25" hidden="1" customHeight="1" x14ac:dyDescent="0.25">
      <c r="B2805" s="493"/>
      <c r="C2805" s="526"/>
      <c r="D2805" s="494"/>
      <c r="F2805" s="497"/>
      <c r="G2805" s="561" t="str">
        <f>IFERROR(VLOOKUP(D2805,'Precios Equipos'!$C$1:$F$2080,3,0),"")</f>
        <v/>
      </c>
      <c r="H2805" s="561" t="str">
        <f t="shared" si="248"/>
        <v/>
      </c>
      <c r="I2805" s="477"/>
      <c r="J2805" s="977"/>
      <c r="K2805" s="539"/>
      <c r="O2805" s="468"/>
      <c r="P2805" s="501"/>
      <c r="Q2805" s="754"/>
    </row>
    <row r="2806" spans="2:17" ht="14.25" hidden="1" customHeight="1" x14ac:dyDescent="0.25">
      <c r="B2806" s="493"/>
      <c r="C2806" s="526"/>
      <c r="D2806" s="620" t="s">
        <v>809</v>
      </c>
      <c r="F2806" s="497"/>
      <c r="G2806" s="561" t="s">
        <v>803</v>
      </c>
      <c r="H2806" s="561" t="s">
        <v>803</v>
      </c>
      <c r="I2806" s="477"/>
      <c r="J2806" s="977"/>
      <c r="K2806" s="539"/>
      <c r="O2806" s="468"/>
      <c r="P2806" s="501"/>
      <c r="Q2806" s="754"/>
    </row>
    <row r="2807" spans="2:17" ht="14.25" hidden="1" customHeight="1" x14ac:dyDescent="0.25">
      <c r="B2807" s="493"/>
      <c r="C2807" s="526"/>
      <c r="D2807" s="494"/>
      <c r="F2807" s="497"/>
      <c r="G2807" s="561" t="s">
        <v>803</v>
      </c>
      <c r="H2807" s="561" t="s">
        <v>803</v>
      </c>
      <c r="I2807" s="477"/>
      <c r="J2807" s="977"/>
      <c r="K2807" s="539"/>
      <c r="O2807" s="468"/>
      <c r="P2807" s="501"/>
      <c r="Q2807" s="754"/>
    </row>
    <row r="2808" spans="2:17" ht="14.25" hidden="1" customHeight="1" x14ac:dyDescent="0.25">
      <c r="B2808" s="493"/>
      <c r="C2808" s="526"/>
      <c r="D2808" s="494"/>
      <c r="F2808" s="495"/>
      <c r="G2808" s="561" t="s">
        <v>803</v>
      </c>
      <c r="H2808" s="561" t="s">
        <v>803</v>
      </c>
      <c r="I2808" s="477"/>
      <c r="J2808" s="987"/>
      <c r="K2808" s="539"/>
      <c r="O2808" s="468"/>
      <c r="Q2808" s="754"/>
    </row>
    <row r="2809" spans="2:17" hidden="1" x14ac:dyDescent="0.25">
      <c r="B2809" s="493"/>
      <c r="C2809" s="526"/>
      <c r="D2809" s="496" t="s">
        <v>87</v>
      </c>
      <c r="F2809" s="495"/>
      <c r="G2809" s="561"/>
      <c r="H2809" s="561">
        <f>+M2802</f>
        <v>800</v>
      </c>
      <c r="I2809" s="561">
        <v>800</v>
      </c>
      <c r="J2809" s="976">
        <v>0.2088898603250868</v>
      </c>
      <c r="K2809" s="539"/>
      <c r="O2809" s="468"/>
      <c r="Q2809" s="754"/>
    </row>
    <row r="2810" spans="2:17" hidden="1" x14ac:dyDescent="0.25">
      <c r="B2810" s="493"/>
      <c r="C2810" s="526">
        <v>1</v>
      </c>
      <c r="D2810" s="494" t="s">
        <v>49</v>
      </c>
      <c r="F2810" s="495"/>
      <c r="G2810" s="561"/>
      <c r="H2810" s="561">
        <v>0</v>
      </c>
      <c r="I2810" s="1087">
        <v>0</v>
      </c>
      <c r="J2810" s="1128">
        <v>0</v>
      </c>
      <c r="K2810" s="539"/>
      <c r="M2810" s="470"/>
      <c r="O2810" s="468"/>
      <c r="Q2810" s="754"/>
    </row>
    <row r="2811" spans="2:17" hidden="1" x14ac:dyDescent="0.25">
      <c r="B2811" s="493"/>
      <c r="C2811" s="526">
        <v>1</v>
      </c>
      <c r="D2811" s="494" t="s">
        <v>51</v>
      </c>
      <c r="F2811" s="495"/>
      <c r="G2811" s="561"/>
      <c r="H2811" s="561">
        <v>0</v>
      </c>
      <c r="I2811" s="1087"/>
      <c r="J2811" s="1128"/>
      <c r="K2811" s="539"/>
      <c r="M2811" s="470"/>
      <c r="O2811" s="468"/>
      <c r="Q2811" s="754"/>
    </row>
    <row r="2812" spans="2:17" hidden="1" x14ac:dyDescent="0.25">
      <c r="B2812" s="493"/>
      <c r="C2812" s="526">
        <v>1</v>
      </c>
      <c r="D2812" s="467" t="s">
        <v>20</v>
      </c>
      <c r="F2812" s="495"/>
      <c r="G2812" s="561"/>
      <c r="H2812" s="561"/>
      <c r="I2812" s="477"/>
      <c r="J2812" s="977"/>
      <c r="K2812" s="539"/>
      <c r="M2812" s="470"/>
      <c r="O2812" s="468"/>
      <c r="Q2812" s="754"/>
    </row>
    <row r="2813" spans="2:17" hidden="1" x14ac:dyDescent="0.25">
      <c r="B2813" s="493"/>
      <c r="C2813" s="526">
        <v>1</v>
      </c>
      <c r="D2813" s="467" t="s">
        <v>52</v>
      </c>
      <c r="F2813" s="495"/>
      <c r="G2813" s="553" t="s">
        <v>97</v>
      </c>
      <c r="H2813" s="561">
        <f>SUM(H2794:H2812)</f>
        <v>1206</v>
      </c>
      <c r="I2813" s="477"/>
      <c r="J2813" s="977"/>
      <c r="K2813" s="539"/>
      <c r="M2813" s="470"/>
      <c r="O2813" s="468"/>
      <c r="Q2813" s="754"/>
    </row>
    <row r="2814" spans="2:17" hidden="1" x14ac:dyDescent="0.25">
      <c r="B2814" s="493"/>
      <c r="C2814" s="526">
        <v>1</v>
      </c>
      <c r="D2814" s="467" t="s">
        <v>21</v>
      </c>
      <c r="F2814" s="495"/>
      <c r="G2814" s="553" t="s">
        <v>105</v>
      </c>
      <c r="H2814" s="561">
        <f>+H2813*$M$158</f>
        <v>301.5</v>
      </c>
      <c r="I2814" s="477"/>
      <c r="J2814" s="977"/>
      <c r="K2814" s="539"/>
      <c r="M2814" s="470"/>
      <c r="O2814" s="468"/>
      <c r="Q2814" s="754"/>
    </row>
    <row r="2815" spans="2:17" hidden="1" x14ac:dyDescent="0.25">
      <c r="B2815" s="521"/>
      <c r="C2815" s="527" t="s">
        <v>17</v>
      </c>
      <c r="D2815" s="522" t="s">
        <v>48</v>
      </c>
      <c r="E2815" s="523"/>
      <c r="F2815" s="524"/>
      <c r="G2815" s="553" t="s">
        <v>452</v>
      </c>
      <c r="H2815" s="561">
        <f>H2813+H2814</f>
        <v>1507.5</v>
      </c>
      <c r="I2815" s="477"/>
      <c r="J2815" s="988">
        <v>1</v>
      </c>
      <c r="K2815" s="539"/>
      <c r="M2815" s="470"/>
      <c r="O2815" s="468"/>
      <c r="Q2815" s="754"/>
    </row>
    <row r="2816" spans="2:17" hidden="1" x14ac:dyDescent="0.25"/>
    <row r="2817" spans="2:17" hidden="1" x14ac:dyDescent="0.25">
      <c r="B2817" s="514" t="s">
        <v>6</v>
      </c>
      <c r="C2817" s="515" t="s">
        <v>0</v>
      </c>
      <c r="D2817" s="606" t="s">
        <v>8</v>
      </c>
      <c r="E2817" s="516" t="s">
        <v>4</v>
      </c>
      <c r="F2817" s="516" t="s">
        <v>3</v>
      </c>
      <c r="G2817" s="477"/>
      <c r="H2817" s="477"/>
      <c r="I2817" s="477"/>
      <c r="J2817" s="987"/>
      <c r="K2817" s="539"/>
      <c r="M2817" s="470"/>
      <c r="O2817" s="468"/>
      <c r="Q2817" s="754"/>
    </row>
    <row r="2818" spans="2:17" ht="15.75" hidden="1" customHeight="1" x14ac:dyDescent="0.25">
      <c r="B2818" s="1077">
        <v>11.02</v>
      </c>
      <c r="C2818" s="1099">
        <v>2</v>
      </c>
      <c r="D2818" s="1136" t="s">
        <v>796</v>
      </c>
      <c r="E2818" s="518">
        <f>+H2840</f>
        <v>1507.5</v>
      </c>
      <c r="F2818" s="518">
        <f>+E2818*C2818</f>
        <v>3015</v>
      </c>
      <c r="G2818" s="553" t="s">
        <v>450</v>
      </c>
      <c r="H2818" s="553" t="s">
        <v>1</v>
      </c>
      <c r="I2818" s="477"/>
      <c r="J2818" s="987"/>
      <c r="K2818" s="539"/>
      <c r="O2818" s="468"/>
      <c r="Q2818" s="754"/>
    </row>
    <row r="2819" spans="2:17" hidden="1" x14ac:dyDescent="0.25">
      <c r="B2819" s="1078"/>
      <c r="C2819" s="1078"/>
      <c r="D2819" s="1078"/>
      <c r="E2819" s="520" t="s">
        <v>50</v>
      </c>
      <c r="F2819" s="520" t="s">
        <v>50</v>
      </c>
      <c r="G2819" s="553" t="s">
        <v>50</v>
      </c>
      <c r="H2819" s="553" t="s">
        <v>50</v>
      </c>
      <c r="I2819" s="477"/>
      <c r="J2819" s="987"/>
      <c r="K2819" s="539"/>
      <c r="O2819" s="468"/>
      <c r="Q2819" s="754"/>
    </row>
    <row r="2820" spans="2:17" hidden="1" x14ac:dyDescent="0.25">
      <c r="B2820" s="493"/>
      <c r="C2820" s="526"/>
      <c r="D2820" s="500"/>
      <c r="F2820" s="495"/>
      <c r="G2820" s="561" t="str">
        <f>IFERROR(VLOOKUP(D2820,'Precios Equipos'!$C$1:$F$2080,3,0),"")</f>
        <v/>
      </c>
      <c r="H2820" s="561" t="str">
        <f t="shared" ref="H2820:H2832" si="249">IFERROR(G2820*C2820,"")</f>
        <v/>
      </c>
      <c r="I2820" s="468"/>
      <c r="J2820" s="980"/>
      <c r="K2820" s="539"/>
      <c r="O2820" s="468"/>
      <c r="Q2820" s="754"/>
    </row>
    <row r="2821" spans="2:17" ht="16.5" hidden="1" thickBot="1" x14ac:dyDescent="0.3">
      <c r="B2821" s="493"/>
      <c r="C2821" s="526">
        <v>1</v>
      </c>
      <c r="D2821" s="500" t="str">
        <f>+'Precios Equipos'!$C$178</f>
        <v>Gabinete Adosado 700x500x200mm. (alto x ancho x profundidad) dimensiones aproximadas</v>
      </c>
      <c r="F2821" s="495"/>
      <c r="G2821" s="561">
        <f>IFERROR(VLOOKUP(D2821,'Precios Equipos'!$C$1:$F$2080,3,0),"")</f>
        <v>16</v>
      </c>
      <c r="H2821" s="561">
        <f t="shared" si="249"/>
        <v>16</v>
      </c>
      <c r="I2821" s="561">
        <v>320</v>
      </c>
      <c r="J2821" s="976">
        <v>8.3555944130034726E-2</v>
      </c>
      <c r="K2821" s="539"/>
      <c r="L2821" s="540" t="s">
        <v>451</v>
      </c>
      <c r="M2821" s="541"/>
      <c r="O2821" s="468"/>
      <c r="Q2821" s="754">
        <v>2</v>
      </c>
    </row>
    <row r="2822" spans="2:17" ht="16.5" hidden="1" thickBot="1" x14ac:dyDescent="0.3">
      <c r="B2822" s="493"/>
      <c r="C2822" s="526"/>
      <c r="D2822" s="494"/>
      <c r="F2822" s="495"/>
      <c r="G2822" s="561" t="str">
        <f>IFERROR(VLOOKUP(D2822,'Precios Equipos'!$C$1:$F$2080,3,0),"")</f>
        <v/>
      </c>
      <c r="H2822" s="561" t="str">
        <f t="shared" si="249"/>
        <v/>
      </c>
      <c r="I2822" s="477"/>
      <c r="J2822" s="987"/>
      <c r="K2822" s="539"/>
      <c r="L2822" s="542" t="s">
        <v>88</v>
      </c>
      <c r="M2822" s="543" t="s">
        <v>85</v>
      </c>
      <c r="O2822" s="468"/>
      <c r="P2822" s="501"/>
      <c r="Q2822" s="754"/>
    </row>
    <row r="2823" spans="2:17" ht="14.25" hidden="1" customHeight="1" x14ac:dyDescent="0.25">
      <c r="B2823" s="493"/>
      <c r="C2823" s="526"/>
      <c r="D2823" s="620" t="s">
        <v>568</v>
      </c>
      <c r="F2823" s="495"/>
      <c r="G2823" s="561" t="str">
        <f>IFERROR(VLOOKUP(D2823,'Precios Equipos'!$C$1:$F$2080,3,0),"")</f>
        <v/>
      </c>
      <c r="H2823" s="561" t="str">
        <f t="shared" si="249"/>
        <v/>
      </c>
      <c r="I2823" s="1087">
        <v>2709.7694237288133</v>
      </c>
      <c r="J2823" s="1128">
        <v>0.70755419554487842</v>
      </c>
      <c r="K2823" s="539"/>
      <c r="L2823" s="544">
        <v>0</v>
      </c>
      <c r="M2823" s="545">
        <v>0</v>
      </c>
      <c r="O2823" s="468"/>
      <c r="P2823" s="501"/>
      <c r="Q2823" s="754"/>
    </row>
    <row r="2824" spans="2:17" ht="14.25" hidden="1" customHeight="1" x14ac:dyDescent="0.25">
      <c r="B2824" s="493"/>
      <c r="C2824" s="526">
        <v>2</v>
      </c>
      <c r="D2824" s="494" t="str">
        <f>+'Precios Equipos'!$C$80</f>
        <v>ITM 3x25A, Caja Moldeada (17.5-25)A, 36kA en 380VAC, XT1N, ABB</v>
      </c>
      <c r="F2824" s="497"/>
      <c r="G2824" s="561">
        <f>IFERROR(VLOOKUP(D2824,'Precios Equipos'!$C$1:$F$2080,3,0),"")</f>
        <v>0</v>
      </c>
      <c r="H2824" s="561">
        <f t="shared" si="249"/>
        <v>0</v>
      </c>
      <c r="I2824" s="1087"/>
      <c r="J2824" s="1128"/>
      <c r="K2824" s="539"/>
      <c r="L2824" s="544">
        <v>0</v>
      </c>
      <c r="M2824" s="545">
        <v>0</v>
      </c>
      <c r="O2824" s="468"/>
      <c r="P2824" s="501"/>
      <c r="Q2824" s="754">
        <v>4</v>
      </c>
    </row>
    <row r="2825" spans="2:17" ht="14.25" hidden="1" customHeight="1" x14ac:dyDescent="0.25">
      <c r="B2825" s="493"/>
      <c r="C2825" s="526">
        <v>2</v>
      </c>
      <c r="D2825" s="494" t="str">
        <f>+'Precios Equipos'!$C$62</f>
        <v>Protector de sobretension SPD AC 3P+N, 230/400V, 1.5kV, 40kA, OVR, 2CTB803973R1100, ABB</v>
      </c>
      <c r="F2825" s="495"/>
      <c r="G2825" s="561">
        <f>IFERROR(VLOOKUP(D2825,'Precios Equipos'!$C$1:$F$2080,3,0),"")</f>
        <v>0</v>
      </c>
      <c r="H2825" s="561">
        <f t="shared" si="249"/>
        <v>0</v>
      </c>
      <c r="I2825" s="1087"/>
      <c r="J2825" s="1128"/>
      <c r="K2825" s="539"/>
      <c r="L2825" s="544">
        <v>0</v>
      </c>
      <c r="M2825" s="545">
        <v>0</v>
      </c>
      <c r="O2825" s="468"/>
      <c r="Q2825" s="754">
        <v>4</v>
      </c>
    </row>
    <row r="2826" spans="2:17" ht="14.25" hidden="1" customHeight="1" x14ac:dyDescent="0.25">
      <c r="B2826" s="493"/>
      <c r="C2826" s="526">
        <v>1</v>
      </c>
      <c r="D2826" s="494" t="str">
        <f>+'Precios Equipos'!$C$37</f>
        <v>Medidor Multifuncion comunicación M1M 15 Modbus RTU ABB</v>
      </c>
      <c r="F2826" s="497"/>
      <c r="G2826" s="561">
        <f>IFERROR(VLOOKUP(D2826,'Precios Equipos'!$C$1:$F$2080,3,0),"")</f>
        <v>0</v>
      </c>
      <c r="H2826" s="561">
        <f t="shared" si="249"/>
        <v>0</v>
      </c>
      <c r="I2826" s="1087"/>
      <c r="J2826" s="1128"/>
      <c r="K2826" s="539"/>
      <c r="L2826" s="544">
        <v>0</v>
      </c>
      <c r="M2826" s="545">
        <v>0</v>
      </c>
      <c r="O2826" s="468"/>
      <c r="Q2826" s="754">
        <v>2</v>
      </c>
    </row>
    <row r="2827" spans="2:17" ht="14.25" hidden="1" customHeight="1" thickBot="1" x14ac:dyDescent="0.3">
      <c r="B2827" s="493"/>
      <c r="C2827" s="526">
        <v>3</v>
      </c>
      <c r="D2827" s="494" t="str">
        <f>+'Precios Equipos'!$C$72</f>
        <v>Transformador de corriente, 100 / 5 A, CL 0.5</v>
      </c>
      <c r="F2827" s="497"/>
      <c r="G2827" s="561">
        <f>IFERROR(VLOOKUP(D2827,'Precios Equipos'!$C$1:$F$2080,3,0),"")</f>
        <v>3</v>
      </c>
      <c r="H2827" s="561">
        <f t="shared" si="249"/>
        <v>9</v>
      </c>
      <c r="I2827" s="1087"/>
      <c r="J2827" s="1128"/>
      <c r="K2827" s="539"/>
      <c r="L2827" s="544">
        <v>0</v>
      </c>
      <c r="M2827" s="545">
        <v>0</v>
      </c>
      <c r="O2827" s="468"/>
      <c r="Q2827" s="754">
        <v>6</v>
      </c>
    </row>
    <row r="2828" spans="2:17" ht="14.25" hidden="1" customHeight="1" thickBot="1" x14ac:dyDescent="0.3">
      <c r="B2828" s="493"/>
      <c r="C2828" s="526">
        <v>3</v>
      </c>
      <c r="D2828" s="494" t="str">
        <f>+'Precios Equipos'!$C$66</f>
        <v>Base PortaFusible y Fusible 25A / 2A</v>
      </c>
      <c r="F2828" s="497"/>
      <c r="G2828" s="561">
        <f>IFERROR(VLOOKUP(D2828,'Precios Equipos'!$C$1:$F$2080,3,0),"")</f>
        <v>127</v>
      </c>
      <c r="H2828" s="561">
        <f t="shared" si="249"/>
        <v>381</v>
      </c>
      <c r="I2828" s="1087"/>
      <c r="J2828" s="1128"/>
      <c r="K2828" s="539"/>
      <c r="L2828" s="546" t="s">
        <v>89</v>
      </c>
      <c r="M2828" s="560">
        <v>800</v>
      </c>
      <c r="O2828" s="468"/>
      <c r="Q2828" s="754">
        <v>6</v>
      </c>
    </row>
    <row r="2829" spans="2:17" ht="14.25" hidden="1" customHeight="1" x14ac:dyDescent="0.25">
      <c r="B2829" s="493"/>
      <c r="C2829" s="526">
        <v>1</v>
      </c>
      <c r="D2829" s="494" t="str">
        <f>+'Precios Equipos'!$C$81</f>
        <v>Rejilla Con Filtro Para Tablero 106 X 106Mm Ral7035, JK6620, JASON FAN</v>
      </c>
      <c r="F2829" s="497"/>
      <c r="G2829" s="561">
        <f>IFERROR(VLOOKUP(D2829,'Precios Equipos'!$C$1:$F$2080,3,0),"")</f>
        <v>0</v>
      </c>
      <c r="H2829" s="561">
        <f t="shared" si="249"/>
        <v>0</v>
      </c>
      <c r="I2829" s="1087"/>
      <c r="J2829" s="1128"/>
      <c r="K2829" s="539"/>
      <c r="O2829" s="468"/>
      <c r="Q2829" s="754">
        <v>2</v>
      </c>
    </row>
    <row r="2830" spans="2:17" ht="14.25" hidden="1" customHeight="1" x14ac:dyDescent="0.25">
      <c r="B2830" s="493"/>
      <c r="C2830" s="526">
        <v>1</v>
      </c>
      <c r="D2830" s="494" t="str">
        <f>+'Precios Equipos'!$C$82</f>
        <v>Ventilador C/ Rejilla Y Filtro Para Tablero 26M3/H 106 X 106Mm Ral7035, FJK6620PB230 , JASON FAN</v>
      </c>
      <c r="F2830" s="497"/>
      <c r="G2830" s="561">
        <f>IFERROR(VLOOKUP(D2830,'Precios Equipos'!$C$1:$F$2080,3,0),"")</f>
        <v>0</v>
      </c>
      <c r="H2830" s="561">
        <f t="shared" si="249"/>
        <v>0</v>
      </c>
      <c r="I2830" s="1087"/>
      <c r="J2830" s="1128"/>
      <c r="K2830" s="539"/>
      <c r="O2830" s="468"/>
      <c r="Q2830" s="754">
        <v>2</v>
      </c>
    </row>
    <row r="2831" spans="2:17" ht="14.25" hidden="1" customHeight="1" x14ac:dyDescent="0.25">
      <c r="B2831" s="493"/>
      <c r="C2831" s="526"/>
      <c r="D2831" s="494"/>
      <c r="F2831" s="495"/>
      <c r="G2831" s="561" t="str">
        <f>IFERROR(VLOOKUP(D2831,'Precios Equipos'!$C$1:$F$2080,3,0),"")</f>
        <v/>
      </c>
      <c r="H2831" s="561" t="str">
        <f t="shared" si="249"/>
        <v/>
      </c>
      <c r="I2831" s="1087"/>
      <c r="J2831" s="1128"/>
      <c r="K2831" s="539"/>
      <c r="O2831" s="468"/>
      <c r="Q2831" s="754"/>
    </row>
    <row r="2832" spans="2:17" ht="14.25" hidden="1" customHeight="1" x14ac:dyDescent="0.25">
      <c r="B2832" s="493"/>
      <c r="C2832" s="526"/>
      <c r="D2832" s="620" t="s">
        <v>809</v>
      </c>
      <c r="F2832" s="495"/>
      <c r="G2832" s="561" t="str">
        <f>IFERROR(VLOOKUP(D2832,'Precios Equipos'!$C$1:$F$2080,3,0),"")</f>
        <v/>
      </c>
      <c r="H2832" s="561" t="str">
        <f t="shared" si="249"/>
        <v/>
      </c>
      <c r="I2832" s="477"/>
      <c r="J2832" s="987"/>
      <c r="K2832" s="539"/>
      <c r="O2832" s="468"/>
      <c r="Q2832" s="754"/>
    </row>
    <row r="2833" spans="2:17" ht="14.25" hidden="1" customHeight="1" x14ac:dyDescent="0.25">
      <c r="B2833" s="493"/>
      <c r="C2833" s="526"/>
      <c r="D2833" s="494"/>
      <c r="F2833" s="495"/>
      <c r="G2833" s="561" t="s">
        <v>803</v>
      </c>
      <c r="H2833" s="561" t="s">
        <v>803</v>
      </c>
      <c r="I2833" s="477"/>
      <c r="J2833" s="987"/>
      <c r="K2833" s="539"/>
      <c r="O2833" s="468"/>
      <c r="Q2833" s="754"/>
    </row>
    <row r="2834" spans="2:17" hidden="1" x14ac:dyDescent="0.25">
      <c r="B2834" s="493"/>
      <c r="C2834" s="526"/>
      <c r="D2834" s="496" t="s">
        <v>87</v>
      </c>
      <c r="F2834" s="495"/>
      <c r="G2834" s="561"/>
      <c r="H2834" s="561">
        <v>800</v>
      </c>
      <c r="I2834" s="561">
        <v>800</v>
      </c>
      <c r="J2834" s="976">
        <v>0.2088898603250868</v>
      </c>
      <c r="K2834" s="539"/>
      <c r="O2834" s="468"/>
      <c r="Q2834" s="754"/>
    </row>
    <row r="2835" spans="2:17" hidden="1" x14ac:dyDescent="0.25">
      <c r="B2835" s="493"/>
      <c r="C2835" s="526">
        <v>1</v>
      </c>
      <c r="D2835" s="494" t="s">
        <v>49</v>
      </c>
      <c r="F2835" s="495"/>
      <c r="G2835" s="561"/>
      <c r="H2835" s="561">
        <v>0</v>
      </c>
      <c r="I2835" s="1087">
        <v>0</v>
      </c>
      <c r="J2835" s="1128">
        <v>0</v>
      </c>
      <c r="K2835" s="539"/>
      <c r="O2835" s="468"/>
      <c r="Q2835" s="754"/>
    </row>
    <row r="2836" spans="2:17" hidden="1" x14ac:dyDescent="0.25">
      <c r="B2836" s="493"/>
      <c r="C2836" s="526">
        <v>1</v>
      </c>
      <c r="D2836" s="494" t="s">
        <v>51</v>
      </c>
      <c r="F2836" s="495"/>
      <c r="G2836" s="561"/>
      <c r="H2836" s="561">
        <v>0</v>
      </c>
      <c r="I2836" s="1087"/>
      <c r="J2836" s="1128"/>
      <c r="K2836" s="539"/>
      <c r="O2836" s="468"/>
      <c r="Q2836" s="754"/>
    </row>
    <row r="2837" spans="2:17" hidden="1" x14ac:dyDescent="0.25">
      <c r="B2837" s="493"/>
      <c r="C2837" s="526">
        <v>1</v>
      </c>
      <c r="D2837" s="467" t="s">
        <v>20</v>
      </c>
      <c r="F2837" s="495"/>
      <c r="G2837" s="561"/>
      <c r="H2837" s="561"/>
      <c r="I2837" s="477"/>
      <c r="J2837" s="977"/>
      <c r="K2837" s="539"/>
      <c r="O2837" s="468"/>
      <c r="Q2837" s="754"/>
    </row>
    <row r="2838" spans="2:17" hidden="1" x14ac:dyDescent="0.25">
      <c r="B2838" s="493"/>
      <c r="C2838" s="526">
        <v>1</v>
      </c>
      <c r="D2838" s="467" t="s">
        <v>52</v>
      </c>
      <c r="F2838" s="495"/>
      <c r="G2838" s="553" t="s">
        <v>97</v>
      </c>
      <c r="H2838" s="561">
        <f>SUM(H2820:H2837)</f>
        <v>1206</v>
      </c>
      <c r="I2838" s="477"/>
      <c r="J2838" s="977"/>
      <c r="K2838" s="539"/>
      <c r="O2838" s="468"/>
      <c r="Q2838" s="754"/>
    </row>
    <row r="2839" spans="2:17" hidden="1" x14ac:dyDescent="0.25">
      <c r="B2839" s="493"/>
      <c r="C2839" s="526">
        <v>1</v>
      </c>
      <c r="D2839" s="467" t="s">
        <v>21</v>
      </c>
      <c r="F2839" s="495"/>
      <c r="G2839" s="553" t="s">
        <v>105</v>
      </c>
      <c r="H2839" s="561">
        <f>+H2838*$M$158</f>
        <v>301.5</v>
      </c>
      <c r="I2839" s="477"/>
      <c r="J2839" s="977"/>
      <c r="K2839" s="539"/>
      <c r="M2839" s="470"/>
      <c r="O2839" s="468"/>
      <c r="Q2839" s="754"/>
    </row>
    <row r="2840" spans="2:17" hidden="1" x14ac:dyDescent="0.25">
      <c r="B2840" s="521"/>
      <c r="C2840" s="527" t="s">
        <v>17</v>
      </c>
      <c r="D2840" s="522" t="s">
        <v>48</v>
      </c>
      <c r="E2840" s="523"/>
      <c r="F2840" s="524"/>
      <c r="G2840" s="553" t="s">
        <v>452</v>
      </c>
      <c r="H2840" s="561">
        <f>H2838+H2839</f>
        <v>1507.5</v>
      </c>
      <c r="I2840" s="477"/>
      <c r="J2840" s="988">
        <v>1</v>
      </c>
      <c r="K2840" s="539"/>
      <c r="M2840" s="470"/>
      <c r="O2840" s="468"/>
      <c r="Q2840" s="754"/>
    </row>
    <row r="2841" spans="2:17" hidden="1" x14ac:dyDescent="0.25">
      <c r="J2841" s="987"/>
      <c r="Q2841" s="754"/>
    </row>
    <row r="2842" spans="2:17" hidden="1" x14ac:dyDescent="0.25">
      <c r="B2842" s="514" t="s">
        <v>6</v>
      </c>
      <c r="C2842" s="515" t="s">
        <v>0</v>
      </c>
      <c r="D2842" s="606" t="s">
        <v>8</v>
      </c>
      <c r="E2842" s="516" t="s">
        <v>4</v>
      </c>
      <c r="F2842" s="516" t="s">
        <v>3</v>
      </c>
      <c r="G2842" s="477"/>
      <c r="H2842" s="477"/>
      <c r="I2842" s="477"/>
      <c r="J2842" s="987"/>
      <c r="K2842" s="539"/>
      <c r="O2842" s="468"/>
      <c r="Q2842" s="754"/>
    </row>
    <row r="2843" spans="2:17" ht="15.75" hidden="1" customHeight="1" x14ac:dyDescent="0.25">
      <c r="B2843" s="1077">
        <v>11.03</v>
      </c>
      <c r="C2843" s="1099">
        <v>1</v>
      </c>
      <c r="D2843" s="1136" t="s">
        <v>797</v>
      </c>
      <c r="E2843" s="518">
        <f>+H2866</f>
        <v>1507.5</v>
      </c>
      <c r="F2843" s="518">
        <f>+E2843*C2843</f>
        <v>1507.5</v>
      </c>
      <c r="G2843" s="553" t="s">
        <v>450</v>
      </c>
      <c r="H2843" s="553" t="s">
        <v>1</v>
      </c>
      <c r="I2843" s="477"/>
      <c r="J2843" s="987"/>
      <c r="K2843" s="539"/>
      <c r="O2843" s="468"/>
      <c r="Q2843" s="754"/>
    </row>
    <row r="2844" spans="2:17" hidden="1" x14ac:dyDescent="0.25">
      <c r="B2844" s="1078"/>
      <c r="C2844" s="1078"/>
      <c r="D2844" s="1078"/>
      <c r="E2844" s="520" t="s">
        <v>50</v>
      </c>
      <c r="F2844" s="520" t="s">
        <v>50</v>
      </c>
      <c r="G2844" s="553" t="s">
        <v>50</v>
      </c>
      <c r="H2844" s="553" t="s">
        <v>50</v>
      </c>
      <c r="I2844" s="477"/>
      <c r="J2844" s="987"/>
      <c r="K2844" s="539"/>
      <c r="O2844" s="468"/>
      <c r="Q2844" s="754"/>
    </row>
    <row r="2845" spans="2:17" ht="14.25" hidden="1" customHeight="1" thickBot="1" x14ac:dyDescent="0.3">
      <c r="B2845" s="493"/>
      <c r="C2845" s="526"/>
      <c r="D2845" s="463"/>
      <c r="E2845" s="755"/>
      <c r="F2845" s="756"/>
      <c r="G2845" s="561" t="str">
        <f>IFERROR(VLOOKUP(D2845,'Precios Equipos'!$C$1:$F$2080,3,0),"")</f>
        <v/>
      </c>
      <c r="H2845" s="561" t="str">
        <f t="shared" ref="H2845:H2859" si="250">IFERROR(G2845*C2845,"")</f>
        <v/>
      </c>
      <c r="I2845" s="477"/>
      <c r="J2845" s="987"/>
      <c r="K2845" s="539"/>
      <c r="O2845" s="468"/>
      <c r="Q2845" s="754"/>
    </row>
    <row r="2846" spans="2:17" ht="16.5" hidden="1" thickBot="1" x14ac:dyDescent="0.3">
      <c r="B2846" s="493"/>
      <c r="C2846" s="526">
        <v>1</v>
      </c>
      <c r="D2846" s="500" t="str">
        <f>+'Precios Equipos'!$C$178</f>
        <v>Gabinete Adosado 700x500x200mm. (alto x ancho x profundidad) dimensiones aproximadas</v>
      </c>
      <c r="F2846" s="495"/>
      <c r="G2846" s="561">
        <f>IFERROR(VLOOKUP(D2846,'Precios Equipos'!$C$1:$F$2080,3,0),"")</f>
        <v>16</v>
      </c>
      <c r="H2846" s="561">
        <f t="shared" si="250"/>
        <v>16</v>
      </c>
      <c r="I2846" s="561">
        <v>320</v>
      </c>
      <c r="J2846" s="976">
        <v>8.3555944130034726E-2</v>
      </c>
      <c r="K2846" s="539"/>
      <c r="L2846" s="540" t="s">
        <v>451</v>
      </c>
      <c r="M2846" s="541"/>
      <c r="O2846" s="468"/>
      <c r="Q2846" s="754">
        <v>1</v>
      </c>
    </row>
    <row r="2847" spans="2:17" ht="16.5" hidden="1" thickBot="1" x14ac:dyDescent="0.3">
      <c r="B2847" s="493"/>
      <c r="C2847" s="526"/>
      <c r="D2847" s="494"/>
      <c r="F2847" s="495"/>
      <c r="G2847" s="561" t="str">
        <f>IFERROR(VLOOKUP(D2847,'Precios Equipos'!$C$1:$F$2080,3,0),"")</f>
        <v/>
      </c>
      <c r="H2847" s="561" t="str">
        <f t="shared" si="250"/>
        <v/>
      </c>
      <c r="I2847" s="477"/>
      <c r="J2847" s="987"/>
      <c r="K2847" s="539"/>
      <c r="L2847" s="542" t="s">
        <v>88</v>
      </c>
      <c r="M2847" s="543" t="s">
        <v>85</v>
      </c>
      <c r="O2847" s="468"/>
      <c r="Q2847" s="754"/>
    </row>
    <row r="2848" spans="2:17" hidden="1" x14ac:dyDescent="0.25">
      <c r="B2848" s="493"/>
      <c r="C2848" s="526"/>
      <c r="D2848" s="620" t="s">
        <v>568</v>
      </c>
      <c r="F2848" s="495"/>
      <c r="G2848" s="561" t="str">
        <f>IFERROR(VLOOKUP(D2848,'Precios Equipos'!$C$1:$F$2080,3,0),"")</f>
        <v/>
      </c>
      <c r="H2848" s="561" t="str">
        <f t="shared" si="250"/>
        <v/>
      </c>
      <c r="I2848" s="477"/>
      <c r="J2848" s="987"/>
      <c r="K2848" s="539"/>
      <c r="L2848" s="544">
        <v>0</v>
      </c>
      <c r="M2848" s="545">
        <v>0</v>
      </c>
      <c r="O2848" s="468"/>
      <c r="P2848" s="501"/>
      <c r="Q2848" s="754"/>
    </row>
    <row r="2849" spans="2:17" ht="14.25" hidden="1" customHeight="1" x14ac:dyDescent="0.25">
      <c r="B2849" s="493"/>
      <c r="C2849" s="526">
        <v>2</v>
      </c>
      <c r="D2849" s="494" t="str">
        <f>+'Precios Equipos'!$C$80</f>
        <v>ITM 3x25A, Caja Moldeada (17.5-25)A, 36kA en 380VAC, XT1N, ABB</v>
      </c>
      <c r="F2849" s="497"/>
      <c r="G2849" s="561">
        <f>IFERROR(VLOOKUP(D2849,'Precios Equipos'!$C$1:$F$2080,3,0),"")</f>
        <v>0</v>
      </c>
      <c r="H2849" s="561">
        <f t="shared" si="250"/>
        <v>0</v>
      </c>
      <c r="I2849" s="1087">
        <v>2709.7694237288133</v>
      </c>
      <c r="J2849" s="1128">
        <v>0.70755419554487842</v>
      </c>
      <c r="K2849" s="539"/>
      <c r="L2849" s="544">
        <v>0</v>
      </c>
      <c r="M2849" s="545">
        <v>0</v>
      </c>
      <c r="O2849" s="468"/>
      <c r="P2849" s="501"/>
      <c r="Q2849" s="754">
        <v>2</v>
      </c>
    </row>
    <row r="2850" spans="2:17" ht="14.25" hidden="1" customHeight="1" x14ac:dyDescent="0.25">
      <c r="B2850" s="493"/>
      <c r="C2850" s="526">
        <v>2</v>
      </c>
      <c r="D2850" s="494" t="str">
        <f>+'Precios Equipos'!$C$62</f>
        <v>Protector de sobretension SPD AC 3P+N, 230/400V, 1.5kV, 40kA, OVR, 2CTB803973R1100, ABB</v>
      </c>
      <c r="F2850" s="495"/>
      <c r="G2850" s="561">
        <f>IFERROR(VLOOKUP(D2850,'Precios Equipos'!$C$1:$F$2080,3,0),"")</f>
        <v>0</v>
      </c>
      <c r="H2850" s="561">
        <f t="shared" si="250"/>
        <v>0</v>
      </c>
      <c r="I2850" s="1087"/>
      <c r="J2850" s="1128"/>
      <c r="K2850" s="539"/>
      <c r="L2850" s="544">
        <v>0</v>
      </c>
      <c r="M2850" s="545">
        <v>0</v>
      </c>
      <c r="O2850" s="468"/>
      <c r="Q2850" s="754">
        <v>2</v>
      </c>
    </row>
    <row r="2851" spans="2:17" ht="14.25" hidden="1" customHeight="1" x14ac:dyDescent="0.25">
      <c r="B2851" s="493"/>
      <c r="C2851" s="526">
        <v>1</v>
      </c>
      <c r="D2851" s="494" t="str">
        <f>+'Precios Equipos'!$C$37</f>
        <v>Medidor Multifuncion comunicación M1M 15 Modbus RTU ABB</v>
      </c>
      <c r="F2851" s="497"/>
      <c r="G2851" s="561">
        <f>IFERROR(VLOOKUP(D2851,'Precios Equipos'!$C$1:$F$2080,3,0),"")</f>
        <v>0</v>
      </c>
      <c r="H2851" s="561">
        <f t="shared" si="250"/>
        <v>0</v>
      </c>
      <c r="I2851" s="1087"/>
      <c r="J2851" s="1128"/>
      <c r="K2851" s="539"/>
      <c r="L2851" s="544">
        <v>0</v>
      </c>
      <c r="M2851" s="545">
        <v>0</v>
      </c>
      <c r="O2851" s="468"/>
      <c r="Q2851" s="754">
        <v>1</v>
      </c>
    </row>
    <row r="2852" spans="2:17" ht="14.25" hidden="1" customHeight="1" thickBot="1" x14ac:dyDescent="0.3">
      <c r="B2852" s="493"/>
      <c r="C2852" s="526">
        <v>3</v>
      </c>
      <c r="D2852" s="494" t="str">
        <f>+'Precios Equipos'!$C$72</f>
        <v>Transformador de corriente, 100 / 5 A, CL 0.5</v>
      </c>
      <c r="F2852" s="497"/>
      <c r="G2852" s="561">
        <f>IFERROR(VLOOKUP(D2852,'Precios Equipos'!$C$1:$F$2080,3,0),"")</f>
        <v>3</v>
      </c>
      <c r="H2852" s="561">
        <f t="shared" si="250"/>
        <v>9</v>
      </c>
      <c r="I2852" s="1087"/>
      <c r="J2852" s="1128"/>
      <c r="K2852" s="539"/>
      <c r="L2852" s="544">
        <v>0</v>
      </c>
      <c r="M2852" s="545">
        <v>0</v>
      </c>
      <c r="O2852" s="468"/>
      <c r="Q2852" s="754">
        <v>3</v>
      </c>
    </row>
    <row r="2853" spans="2:17" ht="14.25" hidden="1" customHeight="1" thickBot="1" x14ac:dyDescent="0.3">
      <c r="B2853" s="493"/>
      <c r="C2853" s="526">
        <v>3</v>
      </c>
      <c r="D2853" s="494" t="str">
        <f>+'Precios Equipos'!$C$66</f>
        <v>Base PortaFusible y Fusible 25A / 2A</v>
      </c>
      <c r="F2853" s="497"/>
      <c r="G2853" s="561">
        <f>IFERROR(VLOOKUP(D2853,'Precios Equipos'!$C$1:$F$2080,3,0),"")</f>
        <v>127</v>
      </c>
      <c r="H2853" s="561">
        <f t="shared" si="250"/>
        <v>381</v>
      </c>
      <c r="I2853" s="1087"/>
      <c r="J2853" s="1128"/>
      <c r="K2853" s="539"/>
      <c r="L2853" s="546" t="s">
        <v>89</v>
      </c>
      <c r="M2853" s="560">
        <v>800</v>
      </c>
      <c r="O2853" s="468"/>
      <c r="Q2853" s="754">
        <v>3</v>
      </c>
    </row>
    <row r="2854" spans="2:17" ht="14.25" hidden="1" customHeight="1" x14ac:dyDescent="0.25">
      <c r="B2854" s="493"/>
      <c r="C2854" s="526">
        <v>1</v>
      </c>
      <c r="D2854" s="494" t="str">
        <f>+'Precios Equipos'!$C$81</f>
        <v>Rejilla Con Filtro Para Tablero 106 X 106Mm Ral7035, JK6620, JASON FAN</v>
      </c>
      <c r="F2854" s="497"/>
      <c r="G2854" s="561">
        <f>IFERROR(VLOOKUP(D2854,'Precios Equipos'!$C$1:$F$2080,3,0),"")</f>
        <v>0</v>
      </c>
      <c r="H2854" s="561">
        <f t="shared" si="250"/>
        <v>0</v>
      </c>
      <c r="I2854" s="1087"/>
      <c r="J2854" s="1128"/>
      <c r="K2854" s="539"/>
      <c r="M2854" s="470"/>
      <c r="O2854" s="468"/>
      <c r="Q2854" s="754">
        <v>1</v>
      </c>
    </row>
    <row r="2855" spans="2:17" ht="14.25" hidden="1" customHeight="1" x14ac:dyDescent="0.25">
      <c r="B2855" s="493"/>
      <c r="C2855" s="526">
        <v>1</v>
      </c>
      <c r="D2855" s="494" t="str">
        <f>+'Precios Equipos'!$C$82</f>
        <v>Ventilador C/ Rejilla Y Filtro Para Tablero 26M3/H 106 X 106Mm Ral7035, FJK6620PB230 , JASON FAN</v>
      </c>
      <c r="F2855" s="497"/>
      <c r="G2855" s="561">
        <f>IFERROR(VLOOKUP(D2855,'Precios Equipos'!$C$1:$F$2080,3,0),"")</f>
        <v>0</v>
      </c>
      <c r="H2855" s="561">
        <f t="shared" si="250"/>
        <v>0</v>
      </c>
      <c r="I2855" s="1087"/>
      <c r="J2855" s="1128"/>
      <c r="K2855" s="539"/>
      <c r="M2855" s="470"/>
      <c r="O2855" s="468"/>
      <c r="Q2855" s="754">
        <v>1</v>
      </c>
    </row>
    <row r="2856" spans="2:17" ht="14.25" hidden="1" customHeight="1" x14ac:dyDescent="0.25">
      <c r="B2856" s="493"/>
      <c r="C2856" s="526"/>
      <c r="D2856" s="494"/>
      <c r="F2856" s="495"/>
      <c r="G2856" s="561" t="str">
        <f>IFERROR(VLOOKUP(D2856,'Precios Equipos'!$C$1:$F$2080,3,0),"")</f>
        <v/>
      </c>
      <c r="H2856" s="561" t="str">
        <f t="shared" si="250"/>
        <v/>
      </c>
      <c r="I2856" s="477"/>
      <c r="J2856" s="987"/>
      <c r="K2856" s="539"/>
      <c r="M2856" s="470"/>
      <c r="O2856" s="468"/>
      <c r="Q2856" s="754"/>
    </row>
    <row r="2857" spans="2:17" ht="14.25" hidden="1" customHeight="1" x14ac:dyDescent="0.25">
      <c r="B2857" s="493"/>
      <c r="C2857" s="526"/>
      <c r="D2857" s="620" t="s">
        <v>809</v>
      </c>
      <c r="F2857" s="495"/>
      <c r="G2857" s="561" t="str">
        <f>IFERROR(VLOOKUP(D2857,'Precios Equipos'!$C$1:$F$2080,3,0),"")</f>
        <v/>
      </c>
      <c r="H2857" s="561" t="str">
        <f t="shared" si="250"/>
        <v/>
      </c>
      <c r="I2857" s="477"/>
      <c r="J2857" s="987"/>
      <c r="K2857" s="539"/>
      <c r="M2857" s="470"/>
      <c r="O2857" s="468"/>
      <c r="Q2857" s="754"/>
    </row>
    <row r="2858" spans="2:17" ht="14.25" hidden="1" customHeight="1" x14ac:dyDescent="0.25">
      <c r="B2858" s="493"/>
      <c r="C2858" s="526"/>
      <c r="D2858" s="494"/>
      <c r="F2858" s="495"/>
      <c r="G2858" s="561" t="str">
        <f>IFERROR(VLOOKUP(D2858,'Precios Equipos'!$C$1:$F$2080,3,0),"")</f>
        <v/>
      </c>
      <c r="H2858" s="561" t="str">
        <f t="shared" si="250"/>
        <v/>
      </c>
      <c r="I2858" s="477"/>
      <c r="J2858" s="987"/>
      <c r="K2858" s="539"/>
      <c r="M2858" s="470"/>
      <c r="O2858" s="468"/>
      <c r="Q2858" s="754"/>
    </row>
    <row r="2859" spans="2:17" ht="14.25" hidden="1" customHeight="1" x14ac:dyDescent="0.25">
      <c r="B2859" s="493"/>
      <c r="C2859" s="526"/>
      <c r="D2859" s="494"/>
      <c r="F2859" s="495"/>
      <c r="G2859" s="561" t="str">
        <f>IFERROR(VLOOKUP(D2859,'Precios Equipos'!$C$1:$F$2080,3,0),"")</f>
        <v/>
      </c>
      <c r="H2859" s="561" t="str">
        <f t="shared" si="250"/>
        <v/>
      </c>
      <c r="I2859" s="477"/>
      <c r="J2859" s="987"/>
      <c r="K2859" s="539"/>
      <c r="M2859" s="470"/>
      <c r="O2859" s="468"/>
      <c r="Q2859" s="754"/>
    </row>
    <row r="2860" spans="2:17" hidden="1" x14ac:dyDescent="0.25">
      <c r="B2860" s="493"/>
      <c r="C2860" s="526"/>
      <c r="D2860" s="496" t="s">
        <v>87</v>
      </c>
      <c r="F2860" s="495"/>
      <c r="G2860" s="561"/>
      <c r="H2860" s="561">
        <f>+M2853</f>
        <v>800</v>
      </c>
      <c r="I2860" s="561">
        <v>800</v>
      </c>
      <c r="J2860" s="976">
        <v>0.2088898603250868</v>
      </c>
      <c r="K2860" s="539"/>
      <c r="M2860" s="470"/>
      <c r="O2860" s="468"/>
      <c r="Q2860" s="754"/>
    </row>
    <row r="2861" spans="2:17" hidden="1" x14ac:dyDescent="0.25">
      <c r="B2861" s="493"/>
      <c r="C2861" s="526">
        <v>1</v>
      </c>
      <c r="D2861" s="494" t="s">
        <v>49</v>
      </c>
      <c r="F2861" s="495"/>
      <c r="G2861" s="561"/>
      <c r="H2861" s="561">
        <v>0</v>
      </c>
      <c r="I2861" s="1087">
        <v>0</v>
      </c>
      <c r="J2861" s="1128">
        <v>0</v>
      </c>
      <c r="K2861" s="539"/>
      <c r="M2861" s="470"/>
      <c r="O2861" s="468"/>
      <c r="Q2861" s="754"/>
    </row>
    <row r="2862" spans="2:17" hidden="1" x14ac:dyDescent="0.25">
      <c r="B2862" s="493"/>
      <c r="C2862" s="526">
        <v>1</v>
      </c>
      <c r="D2862" s="494" t="s">
        <v>51</v>
      </c>
      <c r="F2862" s="495"/>
      <c r="G2862" s="561"/>
      <c r="H2862" s="561">
        <v>0</v>
      </c>
      <c r="I2862" s="1087"/>
      <c r="J2862" s="1128"/>
      <c r="K2862" s="539"/>
      <c r="M2862" s="470"/>
      <c r="O2862" s="468"/>
      <c r="Q2862" s="754"/>
    </row>
    <row r="2863" spans="2:17" hidden="1" x14ac:dyDescent="0.25">
      <c r="B2863" s="493"/>
      <c r="C2863" s="526">
        <v>1</v>
      </c>
      <c r="D2863" s="467" t="s">
        <v>20</v>
      </c>
      <c r="F2863" s="495"/>
      <c r="G2863" s="561"/>
      <c r="H2863" s="561"/>
      <c r="I2863" s="477"/>
      <c r="J2863" s="977"/>
      <c r="K2863" s="539"/>
      <c r="M2863" s="470"/>
      <c r="O2863" s="468"/>
      <c r="Q2863" s="754"/>
    </row>
    <row r="2864" spans="2:17" hidden="1" x14ac:dyDescent="0.25">
      <c r="B2864" s="493"/>
      <c r="C2864" s="526">
        <v>1</v>
      </c>
      <c r="D2864" s="467" t="s">
        <v>52</v>
      </c>
      <c r="F2864" s="495"/>
      <c r="G2864" s="553" t="s">
        <v>97</v>
      </c>
      <c r="H2864" s="561">
        <f>SUM(H2846:H2863)</f>
        <v>1206</v>
      </c>
      <c r="I2864" s="477"/>
      <c r="J2864" s="977"/>
      <c r="K2864" s="539"/>
      <c r="M2864" s="470"/>
      <c r="O2864" s="468"/>
      <c r="Q2864" s="754"/>
    </row>
    <row r="2865" spans="2:17" hidden="1" x14ac:dyDescent="0.25">
      <c r="B2865" s="493"/>
      <c r="C2865" s="526">
        <v>1</v>
      </c>
      <c r="D2865" s="467" t="s">
        <v>21</v>
      </c>
      <c r="F2865" s="495"/>
      <c r="G2865" s="553" t="s">
        <v>105</v>
      </c>
      <c r="H2865" s="561">
        <f>+H2864*$M$158</f>
        <v>301.5</v>
      </c>
      <c r="I2865" s="477"/>
      <c r="J2865" s="977"/>
      <c r="K2865" s="539"/>
      <c r="M2865" s="470"/>
      <c r="O2865" s="468"/>
      <c r="Q2865" s="754"/>
    </row>
    <row r="2866" spans="2:17" hidden="1" x14ac:dyDescent="0.25">
      <c r="B2866" s="521"/>
      <c r="C2866" s="527" t="s">
        <v>17</v>
      </c>
      <c r="D2866" s="522" t="s">
        <v>48</v>
      </c>
      <c r="E2866" s="523"/>
      <c r="F2866" s="524"/>
      <c r="G2866" s="553" t="s">
        <v>452</v>
      </c>
      <c r="H2866" s="561">
        <f>H2864+H2865</f>
        <v>1507.5</v>
      </c>
      <c r="I2866" s="477"/>
      <c r="J2866" s="988">
        <v>1</v>
      </c>
      <c r="K2866" s="539"/>
      <c r="M2866" s="470"/>
      <c r="O2866" s="468"/>
      <c r="Q2866" s="754"/>
    </row>
    <row r="2867" spans="2:17" hidden="1" x14ac:dyDescent="0.25">
      <c r="J2867" s="987"/>
      <c r="Q2867" s="754"/>
    </row>
    <row r="2868" spans="2:17" hidden="1" x14ac:dyDescent="0.25">
      <c r="B2868" s="514" t="s">
        <v>6</v>
      </c>
      <c r="C2868" s="515" t="s">
        <v>0</v>
      </c>
      <c r="D2868" s="606" t="s">
        <v>8</v>
      </c>
      <c r="E2868" s="516" t="s">
        <v>4</v>
      </c>
      <c r="F2868" s="516" t="s">
        <v>3</v>
      </c>
      <c r="G2868" s="477"/>
      <c r="H2868" s="477"/>
      <c r="I2868" s="477"/>
      <c r="J2868" s="987"/>
      <c r="K2868" s="539"/>
      <c r="O2868" s="468"/>
      <c r="Q2868" s="754"/>
    </row>
    <row r="2869" spans="2:17" ht="15.75" hidden="1" customHeight="1" x14ac:dyDescent="0.25">
      <c r="B2869" s="1077">
        <v>11.04</v>
      </c>
      <c r="C2869" s="1099">
        <v>4</v>
      </c>
      <c r="D2869" s="1136" t="s">
        <v>798</v>
      </c>
      <c r="E2869" s="518">
        <f>+H2892</f>
        <v>1507.5</v>
      </c>
      <c r="F2869" s="518">
        <f>+E2869*C2869</f>
        <v>6030</v>
      </c>
      <c r="G2869" s="553" t="s">
        <v>450</v>
      </c>
      <c r="H2869" s="553" t="s">
        <v>1</v>
      </c>
      <c r="I2869" s="477"/>
      <c r="J2869" s="987"/>
      <c r="K2869" s="539"/>
      <c r="O2869" s="468"/>
      <c r="Q2869" s="754"/>
    </row>
    <row r="2870" spans="2:17" hidden="1" x14ac:dyDescent="0.25">
      <c r="B2870" s="1078"/>
      <c r="C2870" s="1078"/>
      <c r="D2870" s="1078"/>
      <c r="E2870" s="520" t="s">
        <v>50</v>
      </c>
      <c r="F2870" s="520" t="s">
        <v>50</v>
      </c>
      <c r="G2870" s="553" t="s">
        <v>50</v>
      </c>
      <c r="H2870" s="553" t="s">
        <v>50</v>
      </c>
      <c r="I2870" s="477"/>
      <c r="J2870" s="987"/>
      <c r="K2870" s="539"/>
      <c r="O2870" s="468"/>
      <c r="Q2870" s="754"/>
    </row>
    <row r="2871" spans="2:17" ht="14.25" hidden="1" customHeight="1" x14ac:dyDescent="0.25">
      <c r="B2871" s="493"/>
      <c r="C2871" s="526"/>
      <c r="D2871" s="463"/>
      <c r="E2871" s="755"/>
      <c r="F2871" s="756"/>
      <c r="G2871" s="561" t="str">
        <f>IFERROR(VLOOKUP(D2871,'Precios Equipos'!$C$1:$F$2080,3,0),"")</f>
        <v/>
      </c>
      <c r="H2871" s="561" t="str">
        <f t="shared" ref="H2871:H2885" si="251">IFERROR(G2871*C2871,"")</f>
        <v/>
      </c>
      <c r="I2871" s="477"/>
      <c r="J2871" s="987"/>
      <c r="K2871" s="539"/>
      <c r="O2871" s="468"/>
      <c r="Q2871" s="754"/>
    </row>
    <row r="2872" spans="2:17" hidden="1" x14ac:dyDescent="0.25">
      <c r="B2872" s="493"/>
      <c r="C2872" s="526">
        <v>1</v>
      </c>
      <c r="D2872" s="500" t="str">
        <f>+'Precios Equipos'!$C$178</f>
        <v>Gabinete Adosado 700x500x200mm. (alto x ancho x profundidad) dimensiones aproximadas</v>
      </c>
      <c r="F2872" s="495"/>
      <c r="G2872" s="561">
        <f>IFERROR(VLOOKUP(D2872,'Precios Equipos'!$C$1:$F$2080,3,0),"")</f>
        <v>16</v>
      </c>
      <c r="H2872" s="561">
        <f t="shared" si="251"/>
        <v>16</v>
      </c>
      <c r="I2872" s="561">
        <v>320</v>
      </c>
      <c r="J2872" s="976">
        <v>8.3555944130034726E-2</v>
      </c>
      <c r="K2872" s="539"/>
      <c r="O2872" s="468"/>
      <c r="Q2872" s="754">
        <v>4</v>
      </c>
    </row>
    <row r="2873" spans="2:17" ht="16.5" hidden="1" thickBot="1" x14ac:dyDescent="0.3">
      <c r="B2873" s="493"/>
      <c r="C2873" s="526"/>
      <c r="D2873" s="494"/>
      <c r="F2873" s="495"/>
      <c r="G2873" s="561" t="str">
        <f>IFERROR(VLOOKUP(D2873,'Precios Equipos'!$C$1:$F$2080,3,0),"")</f>
        <v/>
      </c>
      <c r="H2873" s="561" t="str">
        <f t="shared" si="251"/>
        <v/>
      </c>
      <c r="I2873" s="477"/>
      <c r="J2873" s="987"/>
      <c r="K2873" s="539"/>
      <c r="L2873" s="540" t="s">
        <v>451</v>
      </c>
      <c r="M2873" s="541"/>
      <c r="O2873" s="468"/>
      <c r="Q2873" s="754"/>
    </row>
    <row r="2874" spans="2:17" ht="16.5" hidden="1" thickBot="1" x14ac:dyDescent="0.3">
      <c r="B2874" s="493"/>
      <c r="C2874" s="526"/>
      <c r="D2874" s="620" t="s">
        <v>568</v>
      </c>
      <c r="F2874" s="495"/>
      <c r="G2874" s="561" t="str">
        <f>IFERROR(VLOOKUP(D2874,'Precios Equipos'!$C$1:$F$2080,3,0),"")</f>
        <v/>
      </c>
      <c r="H2874" s="561" t="str">
        <f t="shared" si="251"/>
        <v/>
      </c>
      <c r="I2874" s="477"/>
      <c r="J2874" s="987"/>
      <c r="K2874" s="539"/>
      <c r="L2874" s="542" t="s">
        <v>88</v>
      </c>
      <c r="M2874" s="543" t="s">
        <v>85</v>
      </c>
      <c r="O2874" s="468"/>
      <c r="P2874" s="501"/>
      <c r="Q2874" s="754"/>
    </row>
    <row r="2875" spans="2:17" ht="14.25" hidden="1" customHeight="1" x14ac:dyDescent="0.25">
      <c r="B2875" s="493"/>
      <c r="C2875" s="526">
        <v>2</v>
      </c>
      <c r="D2875" s="494" t="str">
        <f>+'Precios Equipos'!$C$80</f>
        <v>ITM 3x25A, Caja Moldeada (17.5-25)A, 36kA en 380VAC, XT1N, ABB</v>
      </c>
      <c r="F2875" s="497"/>
      <c r="G2875" s="561">
        <f>IFERROR(VLOOKUP(D2875,'Precios Equipos'!$C$1:$F$2080,3,0),"")</f>
        <v>0</v>
      </c>
      <c r="H2875" s="561">
        <f t="shared" si="251"/>
        <v>0</v>
      </c>
      <c r="I2875" s="1087">
        <v>2709.7694237288133</v>
      </c>
      <c r="J2875" s="1128">
        <v>0.70755419554487842</v>
      </c>
      <c r="K2875" s="539"/>
      <c r="L2875" s="544">
        <v>0</v>
      </c>
      <c r="M2875" s="545">
        <v>0</v>
      </c>
      <c r="O2875" s="468"/>
      <c r="P2875" s="501"/>
      <c r="Q2875" s="754">
        <v>8</v>
      </c>
    </row>
    <row r="2876" spans="2:17" ht="14.25" hidden="1" customHeight="1" x14ac:dyDescent="0.25">
      <c r="B2876" s="493"/>
      <c r="C2876" s="526">
        <v>2</v>
      </c>
      <c r="D2876" s="494" t="str">
        <f>+'Precios Equipos'!$C$62</f>
        <v>Protector de sobretension SPD AC 3P+N, 230/400V, 1.5kV, 40kA, OVR, 2CTB803973R1100, ABB</v>
      </c>
      <c r="F2876" s="495"/>
      <c r="G2876" s="561">
        <f>IFERROR(VLOOKUP(D2876,'Precios Equipos'!$C$1:$F$2080,3,0),"")</f>
        <v>0</v>
      </c>
      <c r="H2876" s="561">
        <f t="shared" si="251"/>
        <v>0</v>
      </c>
      <c r="I2876" s="1087"/>
      <c r="J2876" s="1128"/>
      <c r="K2876" s="539"/>
      <c r="L2876" s="544">
        <v>0</v>
      </c>
      <c r="M2876" s="545">
        <v>0</v>
      </c>
      <c r="O2876" s="468"/>
      <c r="Q2876" s="754">
        <v>8</v>
      </c>
    </row>
    <row r="2877" spans="2:17" ht="14.25" hidden="1" customHeight="1" x14ac:dyDescent="0.25">
      <c r="B2877" s="493"/>
      <c r="C2877" s="526">
        <v>1</v>
      </c>
      <c r="D2877" s="494" t="str">
        <f>+'Precios Equipos'!$C$37</f>
        <v>Medidor Multifuncion comunicación M1M 15 Modbus RTU ABB</v>
      </c>
      <c r="F2877" s="497"/>
      <c r="G2877" s="561">
        <f>IFERROR(VLOOKUP(D2877,'Precios Equipos'!$C$1:$F$2080,3,0),"")</f>
        <v>0</v>
      </c>
      <c r="H2877" s="561">
        <f t="shared" si="251"/>
        <v>0</v>
      </c>
      <c r="I2877" s="1087"/>
      <c r="J2877" s="1128"/>
      <c r="K2877" s="539"/>
      <c r="L2877" s="544">
        <v>0</v>
      </c>
      <c r="M2877" s="545">
        <v>0</v>
      </c>
      <c r="O2877" s="468"/>
      <c r="Q2877" s="754">
        <v>4</v>
      </c>
    </row>
    <row r="2878" spans="2:17" ht="14.25" hidden="1" customHeight="1" x14ac:dyDescent="0.25">
      <c r="B2878" s="493"/>
      <c r="C2878" s="526">
        <v>3</v>
      </c>
      <c r="D2878" s="494" t="str">
        <f>+'Precios Equipos'!$C$72</f>
        <v>Transformador de corriente, 100 / 5 A, CL 0.5</v>
      </c>
      <c r="F2878" s="497"/>
      <c r="G2878" s="561">
        <f>IFERROR(VLOOKUP(D2878,'Precios Equipos'!$C$1:$F$2080,3,0),"")</f>
        <v>3</v>
      </c>
      <c r="H2878" s="561">
        <f t="shared" si="251"/>
        <v>9</v>
      </c>
      <c r="I2878" s="1087"/>
      <c r="J2878" s="1128"/>
      <c r="K2878" s="539"/>
      <c r="L2878" s="544">
        <v>0</v>
      </c>
      <c r="M2878" s="545">
        <v>0</v>
      </c>
      <c r="O2878" s="468"/>
      <c r="Q2878" s="754">
        <v>12</v>
      </c>
    </row>
    <row r="2879" spans="2:17" ht="14.25" hidden="1" customHeight="1" thickBot="1" x14ac:dyDescent="0.3">
      <c r="B2879" s="493"/>
      <c r="C2879" s="526">
        <v>3</v>
      </c>
      <c r="D2879" s="494" t="str">
        <f>+'Precios Equipos'!$C$66</f>
        <v>Base PortaFusible y Fusible 25A / 2A</v>
      </c>
      <c r="F2879" s="497"/>
      <c r="G2879" s="561">
        <f>IFERROR(VLOOKUP(D2879,'Precios Equipos'!$C$1:$F$2080,3,0),"")</f>
        <v>127</v>
      </c>
      <c r="H2879" s="561">
        <f t="shared" si="251"/>
        <v>381</v>
      </c>
      <c r="I2879" s="1087"/>
      <c r="J2879" s="1128"/>
      <c r="K2879" s="539"/>
      <c r="L2879" s="544">
        <v>0</v>
      </c>
      <c r="M2879" s="545">
        <v>0</v>
      </c>
      <c r="O2879" s="468"/>
      <c r="Q2879" s="754">
        <v>12</v>
      </c>
    </row>
    <row r="2880" spans="2:17" ht="14.25" hidden="1" customHeight="1" thickBot="1" x14ac:dyDescent="0.3">
      <c r="B2880" s="493"/>
      <c r="C2880" s="526">
        <v>1</v>
      </c>
      <c r="D2880" s="494" t="str">
        <f>+'Precios Equipos'!$C$81</f>
        <v>Rejilla Con Filtro Para Tablero 106 X 106Mm Ral7035, JK6620, JASON FAN</v>
      </c>
      <c r="F2880" s="497"/>
      <c r="G2880" s="561">
        <f>IFERROR(VLOOKUP(D2880,'Precios Equipos'!$C$1:$F$2080,3,0),"")</f>
        <v>0</v>
      </c>
      <c r="H2880" s="561">
        <f t="shared" si="251"/>
        <v>0</v>
      </c>
      <c r="I2880" s="1087"/>
      <c r="J2880" s="1128"/>
      <c r="K2880" s="539"/>
      <c r="L2880" s="546" t="s">
        <v>89</v>
      </c>
      <c r="M2880" s="560">
        <v>800</v>
      </c>
      <c r="O2880" s="468"/>
      <c r="Q2880" s="754">
        <v>4</v>
      </c>
    </row>
    <row r="2881" spans="2:17" ht="14.25" hidden="1" customHeight="1" x14ac:dyDescent="0.25">
      <c r="B2881" s="493"/>
      <c r="C2881" s="526">
        <v>1</v>
      </c>
      <c r="D2881" s="494" t="str">
        <f>+'Precios Equipos'!$C$82</f>
        <v>Ventilador C/ Rejilla Y Filtro Para Tablero 26M3/H 106 X 106Mm Ral7035, FJK6620PB230 , JASON FAN</v>
      </c>
      <c r="F2881" s="497"/>
      <c r="G2881" s="561">
        <f>IFERROR(VLOOKUP(D2881,'Precios Equipos'!$C$1:$F$2080,3,0),"")</f>
        <v>0</v>
      </c>
      <c r="H2881" s="561">
        <f t="shared" si="251"/>
        <v>0</v>
      </c>
      <c r="I2881" s="1087"/>
      <c r="J2881" s="1128"/>
      <c r="K2881" s="539"/>
      <c r="M2881" s="470"/>
      <c r="O2881" s="468"/>
      <c r="Q2881" s="754">
        <v>4</v>
      </c>
    </row>
    <row r="2882" spans="2:17" ht="14.25" hidden="1" customHeight="1" x14ac:dyDescent="0.25">
      <c r="B2882" s="493"/>
      <c r="C2882" s="526"/>
      <c r="D2882" s="494"/>
      <c r="F2882" s="495"/>
      <c r="G2882" s="561" t="str">
        <f>IFERROR(VLOOKUP(D2882,'Precios Equipos'!$C$1:$F$2080,3,0),"")</f>
        <v/>
      </c>
      <c r="H2882" s="561" t="str">
        <f t="shared" si="251"/>
        <v/>
      </c>
      <c r="I2882" s="477"/>
      <c r="J2882" s="987"/>
      <c r="K2882" s="539"/>
      <c r="M2882" s="470"/>
      <c r="O2882" s="468"/>
      <c r="Q2882" s="754"/>
    </row>
    <row r="2883" spans="2:17" ht="14.25" hidden="1" customHeight="1" x14ac:dyDescent="0.25">
      <c r="B2883" s="493"/>
      <c r="C2883" s="526"/>
      <c r="D2883" s="620" t="s">
        <v>809</v>
      </c>
      <c r="F2883" s="495"/>
      <c r="G2883" s="561" t="str">
        <f>IFERROR(VLOOKUP(D2883,'Precios Equipos'!$C$1:$F$2080,3,0),"")</f>
        <v/>
      </c>
      <c r="H2883" s="561" t="str">
        <f t="shared" si="251"/>
        <v/>
      </c>
      <c r="I2883" s="477"/>
      <c r="J2883" s="987"/>
      <c r="K2883" s="539"/>
      <c r="M2883" s="470"/>
      <c r="O2883" s="468"/>
      <c r="Q2883" s="754"/>
    </row>
    <row r="2884" spans="2:17" ht="14.25" hidden="1" customHeight="1" x14ac:dyDescent="0.25">
      <c r="B2884" s="493"/>
      <c r="C2884" s="526"/>
      <c r="D2884" s="494"/>
      <c r="F2884" s="495"/>
      <c r="G2884" s="561" t="str">
        <f>IFERROR(VLOOKUP(D2884,'Precios Equipos'!$C$1:$F$2080,3,0),"")</f>
        <v/>
      </c>
      <c r="H2884" s="561" t="str">
        <f t="shared" si="251"/>
        <v/>
      </c>
      <c r="I2884" s="477"/>
      <c r="J2884" s="987"/>
      <c r="K2884" s="539"/>
      <c r="M2884" s="470"/>
      <c r="O2884" s="468"/>
      <c r="Q2884" s="754"/>
    </row>
    <row r="2885" spans="2:17" ht="14.25" hidden="1" customHeight="1" x14ac:dyDescent="0.25">
      <c r="B2885" s="493"/>
      <c r="C2885" s="526"/>
      <c r="D2885" s="494"/>
      <c r="F2885" s="495"/>
      <c r="G2885" s="561" t="str">
        <f>IFERROR(VLOOKUP(D2885,'Precios Equipos'!$C$1:$F$2080,3,0),"")</f>
        <v/>
      </c>
      <c r="H2885" s="561" t="str">
        <f t="shared" si="251"/>
        <v/>
      </c>
      <c r="I2885" s="477"/>
      <c r="J2885" s="987"/>
      <c r="K2885" s="539"/>
      <c r="M2885" s="470"/>
      <c r="O2885" s="468"/>
      <c r="Q2885" s="754"/>
    </row>
    <row r="2886" spans="2:17" hidden="1" x14ac:dyDescent="0.25">
      <c r="B2886" s="493"/>
      <c r="C2886" s="526"/>
      <c r="D2886" s="496" t="s">
        <v>87</v>
      </c>
      <c r="F2886" s="495"/>
      <c r="G2886" s="561"/>
      <c r="H2886" s="561">
        <f>+M2880</f>
        <v>800</v>
      </c>
      <c r="I2886" s="561">
        <v>800</v>
      </c>
      <c r="J2886" s="976">
        <v>0.2088898603250868</v>
      </c>
      <c r="K2886" s="539"/>
      <c r="M2886" s="470"/>
      <c r="O2886" s="468"/>
      <c r="Q2886" s="754"/>
    </row>
    <row r="2887" spans="2:17" hidden="1" x14ac:dyDescent="0.25">
      <c r="B2887" s="493"/>
      <c r="C2887" s="526">
        <v>1</v>
      </c>
      <c r="D2887" s="494" t="s">
        <v>49</v>
      </c>
      <c r="F2887" s="495"/>
      <c r="G2887" s="561"/>
      <c r="H2887" s="561">
        <v>0</v>
      </c>
      <c r="I2887" s="1087">
        <v>0</v>
      </c>
      <c r="J2887" s="1128">
        <v>0</v>
      </c>
      <c r="K2887" s="539"/>
      <c r="M2887" s="470"/>
      <c r="O2887" s="468"/>
      <c r="Q2887" s="754"/>
    </row>
    <row r="2888" spans="2:17" hidden="1" x14ac:dyDescent="0.25">
      <c r="B2888" s="493"/>
      <c r="C2888" s="526">
        <v>1</v>
      </c>
      <c r="D2888" s="494" t="s">
        <v>51</v>
      </c>
      <c r="F2888" s="495"/>
      <c r="G2888" s="561"/>
      <c r="H2888" s="561">
        <v>0</v>
      </c>
      <c r="I2888" s="1087"/>
      <c r="J2888" s="1128"/>
      <c r="K2888" s="539"/>
      <c r="M2888" s="470"/>
      <c r="O2888" s="468"/>
      <c r="Q2888" s="754"/>
    </row>
    <row r="2889" spans="2:17" hidden="1" x14ac:dyDescent="0.25">
      <c r="B2889" s="493"/>
      <c r="C2889" s="526">
        <v>1</v>
      </c>
      <c r="D2889" s="467" t="s">
        <v>20</v>
      </c>
      <c r="F2889" s="495"/>
      <c r="G2889" s="561"/>
      <c r="H2889" s="561"/>
      <c r="I2889" s="477"/>
      <c r="J2889" s="977"/>
      <c r="K2889" s="539"/>
      <c r="M2889" s="470"/>
      <c r="O2889" s="468"/>
      <c r="Q2889" s="754"/>
    </row>
    <row r="2890" spans="2:17" hidden="1" x14ac:dyDescent="0.25">
      <c r="B2890" s="493"/>
      <c r="C2890" s="526">
        <v>1</v>
      </c>
      <c r="D2890" s="467" t="s">
        <v>52</v>
      </c>
      <c r="F2890" s="495"/>
      <c r="G2890" s="553" t="s">
        <v>97</v>
      </c>
      <c r="H2890" s="561">
        <f>SUM(H2872:H2889)</f>
        <v>1206</v>
      </c>
      <c r="I2890" s="477"/>
      <c r="J2890" s="977"/>
      <c r="K2890" s="539"/>
      <c r="M2890" s="470"/>
      <c r="O2890" s="468"/>
      <c r="Q2890" s="754"/>
    </row>
    <row r="2891" spans="2:17" hidden="1" x14ac:dyDescent="0.25">
      <c r="B2891" s="493"/>
      <c r="C2891" s="526">
        <v>1</v>
      </c>
      <c r="D2891" s="467" t="s">
        <v>21</v>
      </c>
      <c r="F2891" s="495"/>
      <c r="G2891" s="553" t="s">
        <v>105</v>
      </c>
      <c r="H2891" s="561">
        <f>+H2890*$M$158</f>
        <v>301.5</v>
      </c>
      <c r="I2891" s="477"/>
      <c r="J2891" s="977"/>
      <c r="K2891" s="539"/>
      <c r="M2891" s="470"/>
      <c r="O2891" s="468"/>
      <c r="Q2891" s="754"/>
    </row>
    <row r="2892" spans="2:17" hidden="1" x14ac:dyDescent="0.25">
      <c r="B2892" s="521"/>
      <c r="C2892" s="527" t="s">
        <v>17</v>
      </c>
      <c r="D2892" s="522" t="s">
        <v>48</v>
      </c>
      <c r="E2892" s="523"/>
      <c r="F2892" s="524"/>
      <c r="G2892" s="553" t="s">
        <v>452</v>
      </c>
      <c r="H2892" s="561">
        <f>H2890+H2891</f>
        <v>1507.5</v>
      </c>
      <c r="I2892" s="477"/>
      <c r="J2892" s="988">
        <v>1</v>
      </c>
      <c r="K2892" s="539"/>
      <c r="M2892" s="470"/>
      <c r="O2892" s="468"/>
      <c r="Q2892" s="754"/>
    </row>
    <row r="2893" spans="2:17" hidden="1" x14ac:dyDescent="0.25">
      <c r="J2893" s="987"/>
      <c r="Q2893" s="754"/>
    </row>
    <row r="2894" spans="2:17" hidden="1" x14ac:dyDescent="0.25">
      <c r="B2894" s="514" t="s">
        <v>6</v>
      </c>
      <c r="C2894" s="515" t="s">
        <v>0</v>
      </c>
      <c r="D2894" s="606" t="s">
        <v>8</v>
      </c>
      <c r="E2894" s="516" t="s">
        <v>4</v>
      </c>
      <c r="F2894" s="516" t="s">
        <v>3</v>
      </c>
      <c r="G2894" s="477"/>
      <c r="H2894" s="477"/>
      <c r="I2894" s="477"/>
      <c r="J2894" s="987"/>
      <c r="K2894" s="539"/>
      <c r="O2894" s="468"/>
      <c r="Q2894" s="754"/>
    </row>
    <row r="2895" spans="2:17" ht="15.75" hidden="1" customHeight="1" x14ac:dyDescent="0.25">
      <c r="B2895" s="1077">
        <v>11.049999999999999</v>
      </c>
      <c r="C2895" s="1099">
        <v>5</v>
      </c>
      <c r="D2895" s="1136" t="s">
        <v>799</v>
      </c>
      <c r="E2895" s="518">
        <f>+H2918</f>
        <v>1507.5</v>
      </c>
      <c r="F2895" s="518">
        <f>+E2895*C2895</f>
        <v>7537.5</v>
      </c>
      <c r="G2895" s="553" t="s">
        <v>450</v>
      </c>
      <c r="H2895" s="553" t="s">
        <v>1</v>
      </c>
      <c r="I2895" s="477"/>
      <c r="J2895" s="987"/>
      <c r="K2895" s="539"/>
      <c r="O2895" s="468"/>
      <c r="Q2895" s="754"/>
    </row>
    <row r="2896" spans="2:17" hidden="1" x14ac:dyDescent="0.25">
      <c r="B2896" s="1078"/>
      <c r="C2896" s="1078"/>
      <c r="D2896" s="1078"/>
      <c r="E2896" s="520" t="s">
        <v>50</v>
      </c>
      <c r="F2896" s="520" t="s">
        <v>50</v>
      </c>
      <c r="G2896" s="553" t="s">
        <v>50</v>
      </c>
      <c r="H2896" s="553" t="s">
        <v>50</v>
      </c>
      <c r="I2896" s="477"/>
      <c r="J2896" s="987"/>
      <c r="K2896" s="539"/>
      <c r="O2896" s="468"/>
      <c r="Q2896" s="754"/>
    </row>
    <row r="2897" spans="2:17" ht="14.25" hidden="1" customHeight="1" thickBot="1" x14ac:dyDescent="0.3">
      <c r="B2897" s="493"/>
      <c r="C2897" s="526"/>
      <c r="D2897" s="463"/>
      <c r="E2897" s="755"/>
      <c r="F2897" s="756"/>
      <c r="G2897" s="561" t="str">
        <f>IFERROR(VLOOKUP(D2897,'Precios Equipos'!$C$1:$F$2080,3,0),"")</f>
        <v/>
      </c>
      <c r="H2897" s="561" t="str">
        <f t="shared" ref="H2897:H2911" si="252">IFERROR(G2897*C2897,"")</f>
        <v/>
      </c>
      <c r="I2897" s="477"/>
      <c r="J2897" s="987"/>
      <c r="K2897" s="539"/>
      <c r="O2897" s="468"/>
      <c r="Q2897" s="754"/>
    </row>
    <row r="2898" spans="2:17" ht="16.5" hidden="1" thickBot="1" x14ac:dyDescent="0.3">
      <c r="B2898" s="493"/>
      <c r="C2898" s="526">
        <v>1</v>
      </c>
      <c r="D2898" s="500" t="str">
        <f>+'Precios Equipos'!$C$178</f>
        <v>Gabinete Adosado 700x500x200mm. (alto x ancho x profundidad) dimensiones aproximadas</v>
      </c>
      <c r="F2898" s="495"/>
      <c r="G2898" s="561">
        <f>IFERROR(VLOOKUP(D2898,'Precios Equipos'!$C$1:$F$2080,3,0),"")</f>
        <v>16</v>
      </c>
      <c r="H2898" s="561">
        <f t="shared" si="252"/>
        <v>16</v>
      </c>
      <c r="I2898" s="561">
        <v>320</v>
      </c>
      <c r="J2898" s="976">
        <v>8.3555944130034726E-2</v>
      </c>
      <c r="K2898" s="539"/>
      <c r="L2898" s="540" t="s">
        <v>451</v>
      </c>
      <c r="M2898" s="541"/>
      <c r="O2898" s="468"/>
      <c r="Q2898" s="754">
        <v>5</v>
      </c>
    </row>
    <row r="2899" spans="2:17" ht="16.5" hidden="1" thickBot="1" x14ac:dyDescent="0.3">
      <c r="B2899" s="493"/>
      <c r="C2899" s="526"/>
      <c r="D2899" s="494"/>
      <c r="F2899" s="495"/>
      <c r="G2899" s="561" t="str">
        <f>IFERROR(VLOOKUP(D2899,'Precios Equipos'!$C$1:$F$2080,3,0),"")</f>
        <v/>
      </c>
      <c r="H2899" s="561" t="str">
        <f t="shared" si="252"/>
        <v/>
      </c>
      <c r="I2899" s="477"/>
      <c r="J2899" s="987"/>
      <c r="K2899" s="539"/>
      <c r="L2899" s="542" t="s">
        <v>88</v>
      </c>
      <c r="M2899" s="543" t="s">
        <v>85</v>
      </c>
      <c r="O2899" s="468"/>
      <c r="Q2899" s="754"/>
    </row>
    <row r="2900" spans="2:17" hidden="1" x14ac:dyDescent="0.25">
      <c r="B2900" s="493"/>
      <c r="C2900" s="526"/>
      <c r="D2900" s="620" t="s">
        <v>568</v>
      </c>
      <c r="F2900" s="495"/>
      <c r="G2900" s="561" t="str">
        <f>IFERROR(VLOOKUP(D2900,'Precios Equipos'!$C$1:$F$2080,3,0),"")</f>
        <v/>
      </c>
      <c r="H2900" s="561" t="str">
        <f t="shared" si="252"/>
        <v/>
      </c>
      <c r="I2900" s="477"/>
      <c r="J2900" s="987"/>
      <c r="K2900" s="539"/>
      <c r="L2900" s="544">
        <v>0</v>
      </c>
      <c r="M2900" s="545">
        <v>0</v>
      </c>
      <c r="O2900" s="468"/>
      <c r="P2900" s="501"/>
      <c r="Q2900" s="754"/>
    </row>
    <row r="2901" spans="2:17" ht="14.25" hidden="1" customHeight="1" x14ac:dyDescent="0.25">
      <c r="B2901" s="493"/>
      <c r="C2901" s="526">
        <v>2</v>
      </c>
      <c r="D2901" s="494" t="str">
        <f>+'Precios Equipos'!$C$80</f>
        <v>ITM 3x25A, Caja Moldeada (17.5-25)A, 36kA en 380VAC, XT1N, ABB</v>
      </c>
      <c r="F2901" s="497"/>
      <c r="G2901" s="561">
        <f>IFERROR(VLOOKUP(D2901,'Precios Equipos'!$C$1:$F$2080,3,0),"")</f>
        <v>0</v>
      </c>
      <c r="H2901" s="561">
        <f t="shared" si="252"/>
        <v>0</v>
      </c>
      <c r="I2901" s="1087">
        <v>2709.7694237288133</v>
      </c>
      <c r="J2901" s="1128">
        <v>0.70755419554487842</v>
      </c>
      <c r="K2901" s="539"/>
      <c r="L2901" s="544">
        <v>0</v>
      </c>
      <c r="M2901" s="545">
        <v>0</v>
      </c>
      <c r="O2901" s="468"/>
      <c r="P2901" s="501"/>
      <c r="Q2901" s="754">
        <v>10</v>
      </c>
    </row>
    <row r="2902" spans="2:17" ht="14.25" hidden="1" customHeight="1" x14ac:dyDescent="0.25">
      <c r="B2902" s="493"/>
      <c r="C2902" s="526">
        <v>2</v>
      </c>
      <c r="D2902" s="494" t="str">
        <f>+'Precios Equipos'!$C$62</f>
        <v>Protector de sobretension SPD AC 3P+N, 230/400V, 1.5kV, 40kA, OVR, 2CTB803973R1100, ABB</v>
      </c>
      <c r="F2902" s="495"/>
      <c r="G2902" s="561">
        <f>IFERROR(VLOOKUP(D2902,'Precios Equipos'!$C$1:$F$2080,3,0),"")</f>
        <v>0</v>
      </c>
      <c r="H2902" s="561">
        <f t="shared" si="252"/>
        <v>0</v>
      </c>
      <c r="I2902" s="1087"/>
      <c r="J2902" s="1128"/>
      <c r="K2902" s="539"/>
      <c r="L2902" s="544">
        <v>0</v>
      </c>
      <c r="M2902" s="545">
        <v>0</v>
      </c>
      <c r="O2902" s="468"/>
      <c r="Q2902" s="754">
        <v>10</v>
      </c>
    </row>
    <row r="2903" spans="2:17" ht="14.25" hidden="1" customHeight="1" x14ac:dyDescent="0.25">
      <c r="B2903" s="493"/>
      <c r="C2903" s="526">
        <v>1</v>
      </c>
      <c r="D2903" s="494" t="str">
        <f>+'Precios Equipos'!$C$37</f>
        <v>Medidor Multifuncion comunicación M1M 15 Modbus RTU ABB</v>
      </c>
      <c r="F2903" s="497"/>
      <c r="G2903" s="561">
        <f>IFERROR(VLOOKUP(D2903,'Precios Equipos'!$C$1:$F$2080,3,0),"")</f>
        <v>0</v>
      </c>
      <c r="H2903" s="561">
        <f t="shared" si="252"/>
        <v>0</v>
      </c>
      <c r="I2903" s="1087"/>
      <c r="J2903" s="1128"/>
      <c r="K2903" s="539"/>
      <c r="L2903" s="544">
        <v>0</v>
      </c>
      <c r="M2903" s="545">
        <v>0</v>
      </c>
      <c r="O2903" s="468"/>
      <c r="Q2903" s="754">
        <v>5</v>
      </c>
    </row>
    <row r="2904" spans="2:17" ht="14.25" hidden="1" customHeight="1" thickBot="1" x14ac:dyDescent="0.3">
      <c r="B2904" s="493"/>
      <c r="C2904" s="526">
        <v>3</v>
      </c>
      <c r="D2904" s="494" t="str">
        <f>+'Precios Equipos'!$C$72</f>
        <v>Transformador de corriente, 100 / 5 A, CL 0.5</v>
      </c>
      <c r="F2904" s="497"/>
      <c r="G2904" s="561">
        <f>IFERROR(VLOOKUP(D2904,'Precios Equipos'!$C$1:$F$2080,3,0),"")</f>
        <v>3</v>
      </c>
      <c r="H2904" s="561">
        <f t="shared" si="252"/>
        <v>9</v>
      </c>
      <c r="I2904" s="1087"/>
      <c r="J2904" s="1128"/>
      <c r="K2904" s="539"/>
      <c r="L2904" s="544">
        <v>0</v>
      </c>
      <c r="M2904" s="545">
        <v>0</v>
      </c>
      <c r="O2904" s="468"/>
      <c r="Q2904" s="754">
        <v>15</v>
      </c>
    </row>
    <row r="2905" spans="2:17" ht="14.25" hidden="1" customHeight="1" thickBot="1" x14ac:dyDescent="0.3">
      <c r="B2905" s="493"/>
      <c r="C2905" s="526">
        <v>3</v>
      </c>
      <c r="D2905" s="494" t="str">
        <f>+'Precios Equipos'!$C$66</f>
        <v>Base PortaFusible y Fusible 25A / 2A</v>
      </c>
      <c r="F2905" s="497"/>
      <c r="G2905" s="561">
        <f>IFERROR(VLOOKUP(D2905,'Precios Equipos'!$C$1:$F$2080,3,0),"")</f>
        <v>127</v>
      </c>
      <c r="H2905" s="561">
        <f t="shared" si="252"/>
        <v>381</v>
      </c>
      <c r="I2905" s="1087"/>
      <c r="J2905" s="1128"/>
      <c r="K2905" s="539"/>
      <c r="L2905" s="546" t="s">
        <v>89</v>
      </c>
      <c r="M2905" s="560">
        <v>800</v>
      </c>
      <c r="O2905" s="468"/>
      <c r="Q2905" s="754">
        <v>15</v>
      </c>
    </row>
    <row r="2906" spans="2:17" ht="14.25" hidden="1" customHeight="1" x14ac:dyDescent="0.25">
      <c r="B2906" s="493"/>
      <c r="C2906" s="526">
        <v>1</v>
      </c>
      <c r="D2906" s="494" t="str">
        <f>+'Precios Equipos'!$C$81</f>
        <v>Rejilla Con Filtro Para Tablero 106 X 106Mm Ral7035, JK6620, JASON FAN</v>
      </c>
      <c r="F2906" s="497"/>
      <c r="G2906" s="561">
        <f>IFERROR(VLOOKUP(D2906,'Precios Equipos'!$C$1:$F$2080,3,0),"")</f>
        <v>0</v>
      </c>
      <c r="H2906" s="561">
        <f t="shared" si="252"/>
        <v>0</v>
      </c>
      <c r="I2906" s="1087"/>
      <c r="J2906" s="1128"/>
      <c r="K2906" s="539"/>
      <c r="O2906" s="468"/>
      <c r="Q2906" s="754">
        <v>5</v>
      </c>
    </row>
    <row r="2907" spans="2:17" ht="14.25" hidden="1" customHeight="1" x14ac:dyDescent="0.25">
      <c r="B2907" s="493"/>
      <c r="C2907" s="526">
        <v>1</v>
      </c>
      <c r="D2907" s="494" t="str">
        <f>+'Precios Equipos'!$C$82</f>
        <v>Ventilador C/ Rejilla Y Filtro Para Tablero 26M3/H 106 X 106Mm Ral7035, FJK6620PB230 , JASON FAN</v>
      </c>
      <c r="F2907" s="497"/>
      <c r="G2907" s="561">
        <f>IFERROR(VLOOKUP(D2907,'Precios Equipos'!$C$1:$F$2080,3,0),"")</f>
        <v>0</v>
      </c>
      <c r="H2907" s="561">
        <f t="shared" si="252"/>
        <v>0</v>
      </c>
      <c r="I2907" s="1087"/>
      <c r="J2907" s="1128"/>
      <c r="K2907" s="539"/>
      <c r="O2907" s="468"/>
      <c r="Q2907" s="754">
        <v>5</v>
      </c>
    </row>
    <row r="2908" spans="2:17" ht="14.25" hidden="1" customHeight="1" x14ac:dyDescent="0.25">
      <c r="B2908" s="493"/>
      <c r="C2908" s="526"/>
      <c r="D2908" s="494"/>
      <c r="F2908" s="495"/>
      <c r="G2908" s="561" t="str">
        <f>IFERROR(VLOOKUP(D2908,'Precios Equipos'!$C$1:$F$2080,3,0),"")</f>
        <v/>
      </c>
      <c r="H2908" s="561" t="str">
        <f t="shared" si="252"/>
        <v/>
      </c>
      <c r="I2908" s="477"/>
      <c r="J2908" s="987"/>
      <c r="K2908" s="539"/>
      <c r="O2908" s="468"/>
      <c r="Q2908" s="754"/>
    </row>
    <row r="2909" spans="2:17" ht="14.25" hidden="1" customHeight="1" x14ac:dyDescent="0.25">
      <c r="B2909" s="493"/>
      <c r="C2909" s="526"/>
      <c r="D2909" s="620" t="s">
        <v>809</v>
      </c>
      <c r="F2909" s="495"/>
      <c r="G2909" s="561" t="str">
        <f>IFERROR(VLOOKUP(D2909,'Precios Equipos'!$C$1:$F$2080,3,0),"")</f>
        <v/>
      </c>
      <c r="H2909" s="561" t="str">
        <f t="shared" si="252"/>
        <v/>
      </c>
      <c r="I2909" s="477"/>
      <c r="J2909" s="987"/>
      <c r="K2909" s="539"/>
      <c r="O2909" s="468"/>
      <c r="Q2909" s="754"/>
    </row>
    <row r="2910" spans="2:17" ht="14.25" hidden="1" customHeight="1" x14ac:dyDescent="0.25">
      <c r="B2910" s="493"/>
      <c r="C2910" s="526"/>
      <c r="D2910" s="494"/>
      <c r="F2910" s="495"/>
      <c r="G2910" s="561" t="str">
        <f>IFERROR(VLOOKUP(D2910,'Precios Equipos'!$C$1:$F$2080,3,0),"")</f>
        <v/>
      </c>
      <c r="H2910" s="561" t="str">
        <f t="shared" si="252"/>
        <v/>
      </c>
      <c r="I2910" s="477"/>
      <c r="J2910" s="987"/>
      <c r="K2910" s="539"/>
      <c r="O2910" s="468"/>
      <c r="Q2910" s="754"/>
    </row>
    <row r="2911" spans="2:17" ht="14.25" hidden="1" customHeight="1" x14ac:dyDescent="0.25">
      <c r="B2911" s="493"/>
      <c r="C2911" s="526"/>
      <c r="D2911" s="494"/>
      <c r="F2911" s="495"/>
      <c r="G2911" s="561" t="str">
        <f>IFERROR(VLOOKUP(D2911,'Precios Equipos'!$C$1:$F$2080,3,0),"")</f>
        <v/>
      </c>
      <c r="H2911" s="561" t="str">
        <f t="shared" si="252"/>
        <v/>
      </c>
      <c r="I2911" s="477"/>
      <c r="J2911" s="987"/>
      <c r="K2911" s="539"/>
      <c r="O2911" s="468"/>
      <c r="Q2911" s="754"/>
    </row>
    <row r="2912" spans="2:17" hidden="1" x14ac:dyDescent="0.25">
      <c r="B2912" s="493"/>
      <c r="C2912" s="526"/>
      <c r="D2912" s="496" t="s">
        <v>87</v>
      </c>
      <c r="F2912" s="495"/>
      <c r="G2912" s="561"/>
      <c r="H2912" s="561">
        <f>+M2905</f>
        <v>800</v>
      </c>
      <c r="I2912" s="561">
        <v>800</v>
      </c>
      <c r="J2912" s="976">
        <v>0.2088898603250868</v>
      </c>
      <c r="K2912" s="539"/>
      <c r="O2912" s="468"/>
      <c r="Q2912" s="754"/>
    </row>
    <row r="2913" spans="2:17" hidden="1" x14ac:dyDescent="0.25">
      <c r="B2913" s="493"/>
      <c r="C2913" s="526">
        <v>1</v>
      </c>
      <c r="D2913" s="494" t="s">
        <v>49</v>
      </c>
      <c r="F2913" s="495"/>
      <c r="G2913" s="561"/>
      <c r="H2913" s="561">
        <v>0</v>
      </c>
      <c r="I2913" s="1087">
        <v>0</v>
      </c>
      <c r="J2913" s="1128">
        <v>0</v>
      </c>
      <c r="K2913" s="539"/>
      <c r="O2913" s="468"/>
      <c r="Q2913" s="754"/>
    </row>
    <row r="2914" spans="2:17" hidden="1" x14ac:dyDescent="0.25">
      <c r="B2914" s="493"/>
      <c r="C2914" s="526">
        <v>1</v>
      </c>
      <c r="D2914" s="494" t="s">
        <v>51</v>
      </c>
      <c r="F2914" s="495"/>
      <c r="G2914" s="561"/>
      <c r="H2914" s="561">
        <v>0</v>
      </c>
      <c r="I2914" s="1087"/>
      <c r="J2914" s="1128"/>
      <c r="K2914" s="539"/>
      <c r="M2914" s="470"/>
      <c r="O2914" s="468"/>
      <c r="Q2914" s="754"/>
    </row>
    <row r="2915" spans="2:17" hidden="1" x14ac:dyDescent="0.25">
      <c r="B2915" s="493"/>
      <c r="C2915" s="526">
        <v>1</v>
      </c>
      <c r="D2915" s="467" t="s">
        <v>20</v>
      </c>
      <c r="F2915" s="495"/>
      <c r="G2915" s="561"/>
      <c r="H2915" s="561"/>
      <c r="I2915" s="477"/>
      <c r="J2915" s="977"/>
      <c r="K2915" s="539"/>
      <c r="M2915" s="470"/>
      <c r="O2915" s="468"/>
      <c r="Q2915" s="754"/>
    </row>
    <row r="2916" spans="2:17" hidden="1" x14ac:dyDescent="0.25">
      <c r="B2916" s="493"/>
      <c r="C2916" s="526">
        <v>1</v>
      </c>
      <c r="D2916" s="467" t="s">
        <v>52</v>
      </c>
      <c r="F2916" s="495"/>
      <c r="G2916" s="553" t="s">
        <v>97</v>
      </c>
      <c r="H2916" s="561">
        <f>SUM(H2898:H2915)</f>
        <v>1206</v>
      </c>
      <c r="I2916" s="477"/>
      <c r="J2916" s="977"/>
      <c r="K2916" s="539"/>
      <c r="M2916" s="470"/>
      <c r="O2916" s="468"/>
      <c r="Q2916" s="754"/>
    </row>
    <row r="2917" spans="2:17" hidden="1" x14ac:dyDescent="0.25">
      <c r="B2917" s="493"/>
      <c r="C2917" s="526">
        <v>1</v>
      </c>
      <c r="D2917" s="467" t="s">
        <v>21</v>
      </c>
      <c r="F2917" s="495"/>
      <c r="G2917" s="553" t="s">
        <v>105</v>
      </c>
      <c r="H2917" s="561">
        <f>+H2916*$M$158</f>
        <v>301.5</v>
      </c>
      <c r="I2917" s="477"/>
      <c r="J2917" s="977"/>
      <c r="K2917" s="539"/>
      <c r="M2917" s="470"/>
      <c r="O2917" s="468"/>
      <c r="Q2917" s="754"/>
    </row>
    <row r="2918" spans="2:17" hidden="1" x14ac:dyDescent="0.25">
      <c r="B2918" s="521"/>
      <c r="C2918" s="527" t="s">
        <v>17</v>
      </c>
      <c r="D2918" s="522" t="s">
        <v>48</v>
      </c>
      <c r="E2918" s="523"/>
      <c r="F2918" s="524"/>
      <c r="G2918" s="553" t="s">
        <v>452</v>
      </c>
      <c r="H2918" s="561">
        <f>H2916+H2917</f>
        <v>1507.5</v>
      </c>
      <c r="I2918" s="477"/>
      <c r="J2918" s="988">
        <v>1</v>
      </c>
      <c r="K2918" s="539"/>
      <c r="M2918" s="470"/>
      <c r="O2918" s="468"/>
      <c r="Q2918" s="754"/>
    </row>
    <row r="2919" spans="2:17" hidden="1" x14ac:dyDescent="0.25">
      <c r="J2919" s="987"/>
      <c r="Q2919" s="754"/>
    </row>
    <row r="2920" spans="2:17" hidden="1" x14ac:dyDescent="0.25">
      <c r="B2920" s="514" t="s">
        <v>6</v>
      </c>
      <c r="C2920" s="515" t="s">
        <v>0</v>
      </c>
      <c r="D2920" s="606" t="s">
        <v>8</v>
      </c>
      <c r="E2920" s="516" t="s">
        <v>4</v>
      </c>
      <c r="F2920" s="516" t="s">
        <v>3</v>
      </c>
      <c r="G2920" s="477"/>
      <c r="H2920" s="477"/>
      <c r="I2920" s="477"/>
      <c r="J2920" s="987"/>
      <c r="K2920" s="539"/>
      <c r="O2920" s="468"/>
      <c r="Q2920" s="754"/>
    </row>
    <row r="2921" spans="2:17" ht="15.75" hidden="1" customHeight="1" x14ac:dyDescent="0.25">
      <c r="B2921" s="1077">
        <v>11.059999999999999</v>
      </c>
      <c r="C2921" s="1099">
        <v>2</v>
      </c>
      <c r="D2921" s="1136" t="s">
        <v>800</v>
      </c>
      <c r="E2921" s="518">
        <f>+H2944</f>
        <v>1507.5</v>
      </c>
      <c r="F2921" s="518">
        <f>+E2921*C2921</f>
        <v>3015</v>
      </c>
      <c r="G2921" s="553" t="s">
        <v>450</v>
      </c>
      <c r="H2921" s="553" t="s">
        <v>1</v>
      </c>
      <c r="I2921" s="477"/>
      <c r="J2921" s="987"/>
      <c r="K2921" s="539"/>
      <c r="O2921" s="468"/>
      <c r="Q2921" s="754"/>
    </row>
    <row r="2922" spans="2:17" hidden="1" x14ac:dyDescent="0.25">
      <c r="B2922" s="1078"/>
      <c r="C2922" s="1078"/>
      <c r="D2922" s="1078"/>
      <c r="E2922" s="520" t="s">
        <v>50</v>
      </c>
      <c r="F2922" s="520" t="s">
        <v>50</v>
      </c>
      <c r="G2922" s="553" t="s">
        <v>50</v>
      </c>
      <c r="H2922" s="553" t="s">
        <v>50</v>
      </c>
      <c r="I2922" s="477"/>
      <c r="J2922" s="987"/>
      <c r="K2922" s="539"/>
      <c r="O2922" s="468"/>
      <c r="Q2922" s="754"/>
    </row>
    <row r="2923" spans="2:17" ht="14.25" hidden="1" customHeight="1" x14ac:dyDescent="0.25">
      <c r="B2923" s="493"/>
      <c r="C2923" s="526"/>
      <c r="D2923" s="463"/>
      <c r="E2923" s="755"/>
      <c r="F2923" s="756"/>
      <c r="G2923" s="561" t="str">
        <f>IFERROR(VLOOKUP(D2923,'Precios Equipos'!$C$1:$F$2080,3,0),"")</f>
        <v/>
      </c>
      <c r="H2923" s="561" t="str">
        <f t="shared" ref="H2923:H2937" si="253">IFERROR(G2923*C2923,"")</f>
        <v/>
      </c>
      <c r="I2923" s="477"/>
      <c r="J2923" s="987"/>
      <c r="K2923" s="539"/>
      <c r="O2923" s="468"/>
      <c r="Q2923" s="754"/>
    </row>
    <row r="2924" spans="2:17" hidden="1" x14ac:dyDescent="0.25">
      <c r="B2924" s="493"/>
      <c r="C2924" s="526">
        <v>1</v>
      </c>
      <c r="D2924" s="500" t="str">
        <f>+'Precios Equipos'!$C$178</f>
        <v>Gabinete Adosado 700x500x200mm. (alto x ancho x profundidad) dimensiones aproximadas</v>
      </c>
      <c r="F2924" s="495"/>
      <c r="G2924" s="561">
        <f>IFERROR(VLOOKUP(D2924,'Precios Equipos'!$C$1:$F$2080,3,0),"")</f>
        <v>16</v>
      </c>
      <c r="H2924" s="561">
        <f t="shared" si="253"/>
        <v>16</v>
      </c>
      <c r="I2924" s="561">
        <v>320</v>
      </c>
      <c r="J2924" s="976">
        <v>8.3555944130034726E-2</v>
      </c>
      <c r="K2924" s="539"/>
      <c r="O2924" s="468"/>
      <c r="Q2924" s="754">
        <v>2</v>
      </c>
    </row>
    <row r="2925" spans="2:17" ht="16.5" hidden="1" thickBot="1" x14ac:dyDescent="0.3">
      <c r="B2925" s="493"/>
      <c r="C2925" s="526"/>
      <c r="D2925" s="494"/>
      <c r="F2925" s="495"/>
      <c r="G2925" s="561" t="str">
        <f>IFERROR(VLOOKUP(D2925,'Precios Equipos'!$C$1:$F$2080,3,0),"")</f>
        <v/>
      </c>
      <c r="H2925" s="561" t="str">
        <f t="shared" si="253"/>
        <v/>
      </c>
      <c r="I2925" s="477"/>
      <c r="J2925" s="987"/>
      <c r="K2925" s="539"/>
      <c r="L2925" s="540" t="s">
        <v>451</v>
      </c>
      <c r="M2925" s="541"/>
      <c r="O2925" s="468"/>
      <c r="Q2925" s="754"/>
    </row>
    <row r="2926" spans="2:17" ht="16.5" hidden="1" thickBot="1" x14ac:dyDescent="0.3">
      <c r="B2926" s="493"/>
      <c r="C2926" s="526"/>
      <c r="D2926" s="620" t="s">
        <v>568</v>
      </c>
      <c r="F2926" s="495"/>
      <c r="G2926" s="561" t="str">
        <f>IFERROR(VLOOKUP(D2926,'Precios Equipos'!$C$1:$F$2080,3,0),"")</f>
        <v/>
      </c>
      <c r="H2926" s="561" t="str">
        <f t="shared" si="253"/>
        <v/>
      </c>
      <c r="I2926" s="477"/>
      <c r="J2926" s="987"/>
      <c r="K2926" s="539"/>
      <c r="L2926" s="542" t="s">
        <v>88</v>
      </c>
      <c r="M2926" s="543" t="s">
        <v>85</v>
      </c>
      <c r="O2926" s="468"/>
      <c r="P2926" s="501"/>
      <c r="Q2926" s="754"/>
    </row>
    <row r="2927" spans="2:17" ht="14.25" hidden="1" customHeight="1" x14ac:dyDescent="0.25">
      <c r="B2927" s="493"/>
      <c r="C2927" s="526">
        <v>2</v>
      </c>
      <c r="D2927" s="494" t="str">
        <f>+'Precios Equipos'!$C$80</f>
        <v>ITM 3x25A, Caja Moldeada (17.5-25)A, 36kA en 380VAC, XT1N, ABB</v>
      </c>
      <c r="F2927" s="497"/>
      <c r="G2927" s="561">
        <f>IFERROR(VLOOKUP(D2927,'Precios Equipos'!$C$1:$F$2080,3,0),"")</f>
        <v>0</v>
      </c>
      <c r="H2927" s="561">
        <f t="shared" si="253"/>
        <v>0</v>
      </c>
      <c r="I2927" s="1087">
        <v>2709.7694237288133</v>
      </c>
      <c r="J2927" s="1128">
        <v>0.70755419554487842</v>
      </c>
      <c r="K2927" s="539"/>
      <c r="L2927" s="544">
        <v>0</v>
      </c>
      <c r="M2927" s="545">
        <v>0</v>
      </c>
      <c r="O2927" s="468"/>
      <c r="P2927" s="501"/>
      <c r="Q2927" s="754">
        <v>4</v>
      </c>
    </row>
    <row r="2928" spans="2:17" ht="14.25" hidden="1" customHeight="1" x14ac:dyDescent="0.25">
      <c r="B2928" s="493"/>
      <c r="C2928" s="526">
        <v>2</v>
      </c>
      <c r="D2928" s="494" t="str">
        <f>+'Precios Equipos'!$C$62</f>
        <v>Protector de sobretension SPD AC 3P+N, 230/400V, 1.5kV, 40kA, OVR, 2CTB803973R1100, ABB</v>
      </c>
      <c r="F2928" s="495"/>
      <c r="G2928" s="561">
        <f>IFERROR(VLOOKUP(D2928,'Precios Equipos'!$C$1:$F$2080,3,0),"")</f>
        <v>0</v>
      </c>
      <c r="H2928" s="561">
        <f t="shared" si="253"/>
        <v>0</v>
      </c>
      <c r="I2928" s="1087"/>
      <c r="J2928" s="1128"/>
      <c r="K2928" s="539"/>
      <c r="L2928" s="544">
        <v>0</v>
      </c>
      <c r="M2928" s="545">
        <v>0</v>
      </c>
      <c r="O2928" s="468"/>
      <c r="Q2928" s="754">
        <v>4</v>
      </c>
    </row>
    <row r="2929" spans="2:17" ht="14.25" hidden="1" customHeight="1" x14ac:dyDescent="0.25">
      <c r="B2929" s="493"/>
      <c r="C2929" s="526">
        <v>1</v>
      </c>
      <c r="D2929" s="494" t="str">
        <f>+'Precios Equipos'!$C$37</f>
        <v>Medidor Multifuncion comunicación M1M 15 Modbus RTU ABB</v>
      </c>
      <c r="F2929" s="497"/>
      <c r="G2929" s="561">
        <f>IFERROR(VLOOKUP(D2929,'Precios Equipos'!$C$1:$F$2080,3,0),"")</f>
        <v>0</v>
      </c>
      <c r="H2929" s="561">
        <f t="shared" si="253"/>
        <v>0</v>
      </c>
      <c r="I2929" s="1087"/>
      <c r="J2929" s="1128"/>
      <c r="K2929" s="539"/>
      <c r="L2929" s="544">
        <v>0</v>
      </c>
      <c r="M2929" s="545">
        <v>0</v>
      </c>
      <c r="O2929" s="468"/>
      <c r="Q2929" s="754">
        <v>2</v>
      </c>
    </row>
    <row r="2930" spans="2:17" ht="14.25" hidden="1" customHeight="1" x14ac:dyDescent="0.25">
      <c r="B2930" s="493"/>
      <c r="C2930" s="526">
        <v>3</v>
      </c>
      <c r="D2930" s="494" t="str">
        <f>+'Precios Equipos'!$C$72</f>
        <v>Transformador de corriente, 100 / 5 A, CL 0.5</v>
      </c>
      <c r="F2930" s="497"/>
      <c r="G2930" s="561">
        <f>IFERROR(VLOOKUP(D2930,'Precios Equipos'!$C$1:$F$2080,3,0),"")</f>
        <v>3</v>
      </c>
      <c r="H2930" s="561">
        <f t="shared" si="253"/>
        <v>9</v>
      </c>
      <c r="I2930" s="1087"/>
      <c r="J2930" s="1128"/>
      <c r="K2930" s="539"/>
      <c r="L2930" s="544">
        <v>0</v>
      </c>
      <c r="M2930" s="545">
        <v>0</v>
      </c>
      <c r="O2930" s="468"/>
      <c r="Q2930" s="754">
        <v>6</v>
      </c>
    </row>
    <row r="2931" spans="2:17" ht="14.25" hidden="1" customHeight="1" thickBot="1" x14ac:dyDescent="0.3">
      <c r="B2931" s="493"/>
      <c r="C2931" s="526">
        <v>3</v>
      </c>
      <c r="D2931" s="494" t="str">
        <f>+'Precios Equipos'!$C$66</f>
        <v>Base PortaFusible y Fusible 25A / 2A</v>
      </c>
      <c r="F2931" s="497"/>
      <c r="G2931" s="561">
        <f>IFERROR(VLOOKUP(D2931,'Precios Equipos'!$C$1:$F$2080,3,0),"")</f>
        <v>127</v>
      </c>
      <c r="H2931" s="561">
        <f t="shared" si="253"/>
        <v>381</v>
      </c>
      <c r="I2931" s="1087"/>
      <c r="J2931" s="1128"/>
      <c r="K2931" s="539"/>
      <c r="L2931" s="544">
        <v>0</v>
      </c>
      <c r="M2931" s="545">
        <v>0</v>
      </c>
      <c r="O2931" s="468"/>
      <c r="Q2931" s="754">
        <v>6</v>
      </c>
    </row>
    <row r="2932" spans="2:17" ht="14.25" hidden="1" customHeight="1" thickBot="1" x14ac:dyDescent="0.3">
      <c r="B2932" s="493"/>
      <c r="C2932" s="526">
        <v>1</v>
      </c>
      <c r="D2932" s="494" t="str">
        <f>+'Precios Equipos'!$C$81</f>
        <v>Rejilla Con Filtro Para Tablero 106 X 106Mm Ral7035, JK6620, JASON FAN</v>
      </c>
      <c r="F2932" s="497"/>
      <c r="G2932" s="561">
        <f>IFERROR(VLOOKUP(D2932,'Precios Equipos'!$C$1:$F$2080,3,0),"")</f>
        <v>0</v>
      </c>
      <c r="H2932" s="561">
        <f t="shared" si="253"/>
        <v>0</v>
      </c>
      <c r="I2932" s="1087"/>
      <c r="J2932" s="1128"/>
      <c r="K2932" s="539"/>
      <c r="L2932" s="546" t="s">
        <v>89</v>
      </c>
      <c r="M2932" s="560">
        <v>800</v>
      </c>
      <c r="O2932" s="468"/>
      <c r="Q2932" s="754">
        <v>2</v>
      </c>
    </row>
    <row r="2933" spans="2:17" ht="14.25" hidden="1" customHeight="1" x14ac:dyDescent="0.25">
      <c r="B2933" s="493"/>
      <c r="C2933" s="526">
        <v>1</v>
      </c>
      <c r="D2933" s="494" t="str">
        <f>+'Precios Equipos'!$C$82</f>
        <v>Ventilador C/ Rejilla Y Filtro Para Tablero 26M3/H 106 X 106Mm Ral7035, FJK6620PB230 , JASON FAN</v>
      </c>
      <c r="F2933" s="497"/>
      <c r="G2933" s="561">
        <f>IFERROR(VLOOKUP(D2933,'Precios Equipos'!$C$1:$F$2080,3,0),"")</f>
        <v>0</v>
      </c>
      <c r="H2933" s="561">
        <f t="shared" si="253"/>
        <v>0</v>
      </c>
      <c r="I2933" s="1087"/>
      <c r="J2933" s="1128"/>
      <c r="K2933" s="539"/>
      <c r="O2933" s="468"/>
      <c r="Q2933" s="754">
        <v>2</v>
      </c>
    </row>
    <row r="2934" spans="2:17" ht="14.25" hidden="1" customHeight="1" x14ac:dyDescent="0.25">
      <c r="B2934" s="493"/>
      <c r="C2934" s="526"/>
      <c r="D2934" s="494"/>
      <c r="F2934" s="495"/>
      <c r="G2934" s="561" t="str">
        <f>IFERROR(VLOOKUP(D2934,'Precios Equipos'!$C$1:$F$2080,3,0),"")</f>
        <v/>
      </c>
      <c r="H2934" s="561" t="str">
        <f t="shared" si="253"/>
        <v/>
      </c>
      <c r="I2934" s="477"/>
      <c r="J2934" s="987"/>
      <c r="K2934" s="539"/>
      <c r="O2934" s="468"/>
      <c r="Q2934" s="754"/>
    </row>
    <row r="2935" spans="2:17" ht="14.25" hidden="1" customHeight="1" x14ac:dyDescent="0.25">
      <c r="B2935" s="493"/>
      <c r="C2935" s="526"/>
      <c r="D2935" s="620" t="s">
        <v>809</v>
      </c>
      <c r="F2935" s="495"/>
      <c r="G2935" s="561" t="str">
        <f>IFERROR(VLOOKUP(D2935,'Precios Equipos'!$C$1:$F$2080,3,0),"")</f>
        <v/>
      </c>
      <c r="H2935" s="561" t="str">
        <f t="shared" si="253"/>
        <v/>
      </c>
      <c r="I2935" s="477"/>
      <c r="J2935" s="987"/>
      <c r="K2935" s="539"/>
      <c r="M2935" s="470"/>
      <c r="O2935" s="468"/>
      <c r="Q2935" s="754"/>
    </row>
    <row r="2936" spans="2:17" ht="14.25" hidden="1" customHeight="1" x14ac:dyDescent="0.25">
      <c r="B2936" s="493"/>
      <c r="C2936" s="526"/>
      <c r="D2936" s="494"/>
      <c r="F2936" s="495"/>
      <c r="G2936" s="561" t="str">
        <f>IFERROR(VLOOKUP(D2936,'Precios Equipos'!$C$1:$F$2080,3,0),"")</f>
        <v/>
      </c>
      <c r="H2936" s="561" t="str">
        <f t="shared" si="253"/>
        <v/>
      </c>
      <c r="I2936" s="477"/>
      <c r="J2936" s="987"/>
      <c r="K2936" s="539"/>
      <c r="M2936" s="470"/>
      <c r="O2936" s="468"/>
      <c r="Q2936" s="754"/>
    </row>
    <row r="2937" spans="2:17" ht="14.25" hidden="1" customHeight="1" x14ac:dyDescent="0.25">
      <c r="B2937" s="493"/>
      <c r="C2937" s="526"/>
      <c r="D2937" s="494"/>
      <c r="F2937" s="495"/>
      <c r="G2937" s="561" t="str">
        <f>IFERROR(VLOOKUP(D2937,'Precios Equipos'!$C$1:$F$2080,3,0),"")</f>
        <v/>
      </c>
      <c r="H2937" s="561" t="str">
        <f t="shared" si="253"/>
        <v/>
      </c>
      <c r="I2937" s="477"/>
      <c r="J2937" s="987"/>
      <c r="K2937" s="539"/>
      <c r="M2937" s="470"/>
      <c r="O2937" s="468"/>
      <c r="Q2937" s="754"/>
    </row>
    <row r="2938" spans="2:17" hidden="1" x14ac:dyDescent="0.25">
      <c r="B2938" s="493"/>
      <c r="C2938" s="526"/>
      <c r="D2938" s="496" t="s">
        <v>87</v>
      </c>
      <c r="F2938" s="495"/>
      <c r="G2938" s="561"/>
      <c r="H2938" s="561">
        <f>+M2932</f>
        <v>800</v>
      </c>
      <c r="I2938" s="561">
        <v>800</v>
      </c>
      <c r="J2938" s="976">
        <v>0.2088898603250868</v>
      </c>
      <c r="K2938" s="539"/>
      <c r="M2938" s="470"/>
      <c r="O2938" s="468"/>
      <c r="Q2938" s="754"/>
    </row>
    <row r="2939" spans="2:17" hidden="1" x14ac:dyDescent="0.25">
      <c r="B2939" s="493"/>
      <c r="C2939" s="526">
        <v>1</v>
      </c>
      <c r="D2939" s="494" t="s">
        <v>49</v>
      </c>
      <c r="F2939" s="495"/>
      <c r="G2939" s="561"/>
      <c r="H2939" s="561">
        <v>0</v>
      </c>
      <c r="I2939" s="1087">
        <v>0</v>
      </c>
      <c r="J2939" s="1128">
        <v>0</v>
      </c>
      <c r="K2939" s="539"/>
      <c r="M2939" s="470"/>
      <c r="O2939" s="468"/>
      <c r="Q2939" s="754"/>
    </row>
    <row r="2940" spans="2:17" hidden="1" x14ac:dyDescent="0.25">
      <c r="B2940" s="493"/>
      <c r="C2940" s="526">
        <v>1</v>
      </c>
      <c r="D2940" s="494" t="s">
        <v>51</v>
      </c>
      <c r="F2940" s="495"/>
      <c r="G2940" s="561"/>
      <c r="H2940" s="561">
        <v>0</v>
      </c>
      <c r="I2940" s="1087"/>
      <c r="J2940" s="1128"/>
      <c r="K2940" s="539"/>
      <c r="M2940" s="470"/>
      <c r="O2940" s="468"/>
      <c r="Q2940" s="754"/>
    </row>
    <row r="2941" spans="2:17" hidden="1" x14ac:dyDescent="0.25">
      <c r="B2941" s="493"/>
      <c r="C2941" s="526">
        <v>1</v>
      </c>
      <c r="D2941" s="467" t="s">
        <v>20</v>
      </c>
      <c r="F2941" s="495"/>
      <c r="G2941" s="561"/>
      <c r="H2941" s="561"/>
      <c r="I2941" s="477"/>
      <c r="J2941" s="977"/>
      <c r="K2941" s="539"/>
      <c r="M2941" s="470"/>
      <c r="O2941" s="468"/>
      <c r="Q2941" s="754"/>
    </row>
    <row r="2942" spans="2:17" hidden="1" x14ac:dyDescent="0.25">
      <c r="B2942" s="493"/>
      <c r="C2942" s="526">
        <v>1</v>
      </c>
      <c r="D2942" s="467" t="s">
        <v>52</v>
      </c>
      <c r="F2942" s="495"/>
      <c r="G2942" s="553" t="s">
        <v>97</v>
      </c>
      <c r="H2942" s="561">
        <f>SUM(H2924:H2941)</f>
        <v>1206</v>
      </c>
      <c r="I2942" s="477"/>
      <c r="J2942" s="977"/>
      <c r="K2942" s="539"/>
      <c r="O2942" s="468"/>
      <c r="Q2942" s="754"/>
    </row>
    <row r="2943" spans="2:17" hidden="1" x14ac:dyDescent="0.25">
      <c r="B2943" s="493"/>
      <c r="C2943" s="526">
        <v>1</v>
      </c>
      <c r="D2943" s="467" t="s">
        <v>21</v>
      </c>
      <c r="F2943" s="495"/>
      <c r="G2943" s="553" t="s">
        <v>105</v>
      </c>
      <c r="H2943" s="561">
        <f>+H2942*$M$158</f>
        <v>301.5</v>
      </c>
      <c r="I2943" s="477"/>
      <c r="J2943" s="977"/>
      <c r="K2943" s="539"/>
      <c r="O2943" s="468"/>
      <c r="Q2943" s="754"/>
    </row>
    <row r="2944" spans="2:17" hidden="1" x14ac:dyDescent="0.25">
      <c r="B2944" s="521"/>
      <c r="C2944" s="527" t="s">
        <v>17</v>
      </c>
      <c r="D2944" s="522" t="s">
        <v>48</v>
      </c>
      <c r="E2944" s="523"/>
      <c r="F2944" s="524"/>
      <c r="G2944" s="553" t="s">
        <v>452</v>
      </c>
      <c r="H2944" s="561">
        <f>H2942+H2943</f>
        <v>1507.5</v>
      </c>
      <c r="I2944" s="477"/>
      <c r="J2944" s="988">
        <v>1</v>
      </c>
      <c r="K2944" s="539"/>
      <c r="O2944" s="468"/>
      <c r="Q2944" s="754"/>
    </row>
    <row r="2945" spans="2:17" hidden="1" x14ac:dyDescent="0.25">
      <c r="J2945" s="987"/>
      <c r="Q2945" s="754"/>
    </row>
    <row r="2946" spans="2:17" hidden="1" x14ac:dyDescent="0.25">
      <c r="B2946" s="514" t="s">
        <v>6</v>
      </c>
      <c r="C2946" s="515" t="s">
        <v>0</v>
      </c>
      <c r="D2946" s="606" t="s">
        <v>8</v>
      </c>
      <c r="E2946" s="516" t="s">
        <v>4</v>
      </c>
      <c r="F2946" s="516" t="s">
        <v>3</v>
      </c>
      <c r="G2946" s="477"/>
      <c r="H2946" s="477"/>
      <c r="I2946" s="477"/>
      <c r="J2946" s="987"/>
      <c r="K2946" s="539"/>
      <c r="O2946" s="468"/>
      <c r="Q2946" s="754"/>
    </row>
    <row r="2947" spans="2:17" ht="15.75" hidden="1" customHeight="1" x14ac:dyDescent="0.25">
      <c r="B2947" s="1077">
        <v>11.069999999999999</v>
      </c>
      <c r="C2947" s="1099">
        <v>1</v>
      </c>
      <c r="D2947" s="1136" t="s">
        <v>801</v>
      </c>
      <c r="E2947" s="518">
        <f>+H2970</f>
        <v>1507.5</v>
      </c>
      <c r="F2947" s="518">
        <f>+E2947*C2947</f>
        <v>1507.5</v>
      </c>
      <c r="G2947" s="553" t="s">
        <v>450</v>
      </c>
      <c r="H2947" s="553" t="s">
        <v>1</v>
      </c>
      <c r="I2947" s="477"/>
      <c r="J2947" s="987"/>
      <c r="K2947" s="539"/>
      <c r="O2947" s="468"/>
      <c r="Q2947" s="754"/>
    </row>
    <row r="2948" spans="2:17" hidden="1" x14ac:dyDescent="0.25">
      <c r="B2948" s="1078"/>
      <c r="C2948" s="1078"/>
      <c r="D2948" s="1078"/>
      <c r="E2948" s="520" t="s">
        <v>50</v>
      </c>
      <c r="F2948" s="520" t="s">
        <v>50</v>
      </c>
      <c r="G2948" s="553" t="s">
        <v>50</v>
      </c>
      <c r="H2948" s="553" t="s">
        <v>50</v>
      </c>
      <c r="I2948" s="477"/>
      <c r="J2948" s="987"/>
      <c r="K2948" s="539"/>
      <c r="O2948" s="468"/>
      <c r="Q2948" s="754"/>
    </row>
    <row r="2949" spans="2:17" ht="14.25" hidden="1" customHeight="1" thickBot="1" x14ac:dyDescent="0.3">
      <c r="B2949" s="493"/>
      <c r="C2949" s="526"/>
      <c r="D2949" s="463"/>
      <c r="E2949" s="755"/>
      <c r="F2949" s="756"/>
      <c r="G2949" s="561" t="str">
        <f>IFERROR(VLOOKUP(D2949,'Precios Equipos'!$C$1:$F$2080,3,0),"")</f>
        <v/>
      </c>
      <c r="H2949" s="561" t="str">
        <f t="shared" ref="H2949:H2963" si="254">IFERROR(G2949*C2949,"")</f>
        <v/>
      </c>
      <c r="I2949" s="477"/>
      <c r="J2949" s="987"/>
      <c r="K2949" s="539"/>
      <c r="O2949" s="468"/>
      <c r="Q2949" s="754"/>
    </row>
    <row r="2950" spans="2:17" ht="16.5" hidden="1" thickBot="1" x14ac:dyDescent="0.3">
      <c r="B2950" s="493"/>
      <c r="C2950" s="526">
        <v>1</v>
      </c>
      <c r="D2950" s="500" t="str">
        <f>+'Precios Equipos'!$C$178</f>
        <v>Gabinete Adosado 700x500x200mm. (alto x ancho x profundidad) dimensiones aproximadas</v>
      </c>
      <c r="F2950" s="495"/>
      <c r="G2950" s="561">
        <f>IFERROR(VLOOKUP(D2950,'Precios Equipos'!$C$1:$F$2080,3,0),"")</f>
        <v>16</v>
      </c>
      <c r="H2950" s="561">
        <f t="shared" si="254"/>
        <v>16</v>
      </c>
      <c r="I2950" s="561">
        <v>320</v>
      </c>
      <c r="J2950" s="976">
        <v>8.3555944130034726E-2</v>
      </c>
      <c r="K2950" s="539"/>
      <c r="L2950" s="540" t="s">
        <v>451</v>
      </c>
      <c r="M2950" s="541"/>
      <c r="O2950" s="468"/>
      <c r="Q2950" s="754">
        <v>1</v>
      </c>
    </row>
    <row r="2951" spans="2:17" ht="16.5" hidden="1" thickBot="1" x14ac:dyDescent="0.3">
      <c r="B2951" s="493"/>
      <c r="C2951" s="526"/>
      <c r="D2951" s="494"/>
      <c r="F2951" s="495"/>
      <c r="G2951" s="561" t="str">
        <f>IFERROR(VLOOKUP(D2951,'Precios Equipos'!$C$1:$F$2080,3,0),"")</f>
        <v/>
      </c>
      <c r="H2951" s="561" t="str">
        <f t="shared" si="254"/>
        <v/>
      </c>
      <c r="I2951" s="477"/>
      <c r="J2951" s="987"/>
      <c r="K2951" s="539"/>
      <c r="L2951" s="542" t="s">
        <v>88</v>
      </c>
      <c r="M2951" s="543" t="s">
        <v>85</v>
      </c>
      <c r="O2951" s="468"/>
      <c r="Q2951" s="754"/>
    </row>
    <row r="2952" spans="2:17" hidden="1" x14ac:dyDescent="0.25">
      <c r="B2952" s="493"/>
      <c r="C2952" s="526"/>
      <c r="D2952" s="620" t="s">
        <v>568</v>
      </c>
      <c r="F2952" s="495"/>
      <c r="G2952" s="561" t="str">
        <f>IFERROR(VLOOKUP(D2952,'Precios Equipos'!$C$1:$F$2080,3,0),"")</f>
        <v/>
      </c>
      <c r="H2952" s="561" t="str">
        <f t="shared" si="254"/>
        <v/>
      </c>
      <c r="I2952" s="477"/>
      <c r="J2952" s="987"/>
      <c r="K2952" s="539"/>
      <c r="L2952" s="544">
        <v>0</v>
      </c>
      <c r="M2952" s="545">
        <v>0</v>
      </c>
      <c r="O2952" s="468"/>
      <c r="P2952" s="501"/>
      <c r="Q2952" s="754"/>
    </row>
    <row r="2953" spans="2:17" ht="14.25" hidden="1" customHeight="1" x14ac:dyDescent="0.25">
      <c r="B2953" s="493"/>
      <c r="C2953" s="526">
        <v>2</v>
      </c>
      <c r="D2953" s="494" t="str">
        <f>+'Precios Equipos'!$C$80</f>
        <v>ITM 3x25A, Caja Moldeada (17.5-25)A, 36kA en 380VAC, XT1N, ABB</v>
      </c>
      <c r="F2953" s="497"/>
      <c r="G2953" s="561">
        <f>IFERROR(VLOOKUP(D2953,'Precios Equipos'!$C$1:$F$2080,3,0),"")</f>
        <v>0</v>
      </c>
      <c r="H2953" s="561">
        <f t="shared" si="254"/>
        <v>0</v>
      </c>
      <c r="I2953" s="1087">
        <v>2709.7694237288133</v>
      </c>
      <c r="J2953" s="1128">
        <v>0.70755419554487842</v>
      </c>
      <c r="K2953" s="539"/>
      <c r="L2953" s="544">
        <v>0</v>
      </c>
      <c r="M2953" s="545">
        <v>0</v>
      </c>
      <c r="O2953" s="468"/>
      <c r="P2953" s="501"/>
      <c r="Q2953" s="754">
        <v>2</v>
      </c>
    </row>
    <row r="2954" spans="2:17" ht="14.25" hidden="1" customHeight="1" x14ac:dyDescent="0.25">
      <c r="B2954" s="493"/>
      <c r="C2954" s="526">
        <v>2</v>
      </c>
      <c r="D2954" s="494" t="str">
        <f>+'Precios Equipos'!$C$62</f>
        <v>Protector de sobretension SPD AC 3P+N, 230/400V, 1.5kV, 40kA, OVR, 2CTB803973R1100, ABB</v>
      </c>
      <c r="F2954" s="495"/>
      <c r="G2954" s="561">
        <f>IFERROR(VLOOKUP(D2954,'Precios Equipos'!$C$1:$F$2080,3,0),"")</f>
        <v>0</v>
      </c>
      <c r="H2954" s="561">
        <f t="shared" si="254"/>
        <v>0</v>
      </c>
      <c r="I2954" s="1087"/>
      <c r="J2954" s="1128"/>
      <c r="K2954" s="539"/>
      <c r="L2954" s="544">
        <v>0</v>
      </c>
      <c r="M2954" s="545">
        <v>0</v>
      </c>
      <c r="O2954" s="468"/>
      <c r="P2954" s="501"/>
      <c r="Q2954" s="754">
        <v>2</v>
      </c>
    </row>
    <row r="2955" spans="2:17" ht="14.25" hidden="1" customHeight="1" x14ac:dyDescent="0.25">
      <c r="B2955" s="493"/>
      <c r="C2955" s="526">
        <v>1</v>
      </c>
      <c r="D2955" s="494" t="str">
        <f>+'Precios Equipos'!$C$37</f>
        <v>Medidor Multifuncion comunicación M1M 15 Modbus RTU ABB</v>
      </c>
      <c r="F2955" s="497"/>
      <c r="G2955" s="561">
        <f>IFERROR(VLOOKUP(D2955,'Precios Equipos'!$C$1:$F$2080,3,0),"")</f>
        <v>0</v>
      </c>
      <c r="H2955" s="561">
        <f t="shared" si="254"/>
        <v>0</v>
      </c>
      <c r="I2955" s="1087"/>
      <c r="J2955" s="1128"/>
      <c r="K2955" s="539"/>
      <c r="L2955" s="544">
        <v>0</v>
      </c>
      <c r="M2955" s="545">
        <v>0</v>
      </c>
      <c r="O2955" s="468"/>
      <c r="P2955" s="501"/>
      <c r="Q2955" s="754">
        <v>1</v>
      </c>
    </row>
    <row r="2956" spans="2:17" ht="14.25" hidden="1" customHeight="1" thickBot="1" x14ac:dyDescent="0.3">
      <c r="B2956" s="493"/>
      <c r="C2956" s="526">
        <v>3</v>
      </c>
      <c r="D2956" s="494" t="str">
        <f>+'Precios Equipos'!$C$72</f>
        <v>Transformador de corriente, 100 / 5 A, CL 0.5</v>
      </c>
      <c r="F2956" s="497"/>
      <c r="G2956" s="561">
        <f>IFERROR(VLOOKUP(D2956,'Precios Equipos'!$C$1:$F$2080,3,0),"")</f>
        <v>3</v>
      </c>
      <c r="H2956" s="561">
        <f t="shared" si="254"/>
        <v>9</v>
      </c>
      <c r="I2956" s="1087"/>
      <c r="J2956" s="1128"/>
      <c r="K2956" s="539"/>
      <c r="L2956" s="544">
        <v>0</v>
      </c>
      <c r="M2956" s="545">
        <v>0</v>
      </c>
      <c r="O2956" s="468"/>
      <c r="P2956" s="501"/>
      <c r="Q2956" s="754">
        <v>3</v>
      </c>
    </row>
    <row r="2957" spans="2:17" ht="14.25" hidden="1" customHeight="1" thickBot="1" x14ac:dyDescent="0.3">
      <c r="B2957" s="493"/>
      <c r="C2957" s="526">
        <v>3</v>
      </c>
      <c r="D2957" s="494" t="str">
        <f>+'Precios Equipos'!$C$66</f>
        <v>Base PortaFusible y Fusible 25A / 2A</v>
      </c>
      <c r="F2957" s="497"/>
      <c r="G2957" s="561">
        <f>IFERROR(VLOOKUP(D2957,'Precios Equipos'!$C$1:$F$2080,3,0),"")</f>
        <v>127</v>
      </c>
      <c r="H2957" s="561">
        <f t="shared" si="254"/>
        <v>381</v>
      </c>
      <c r="I2957" s="1087"/>
      <c r="J2957" s="1128"/>
      <c r="K2957" s="539"/>
      <c r="L2957" s="546" t="s">
        <v>89</v>
      </c>
      <c r="M2957" s="560">
        <v>800</v>
      </c>
      <c r="O2957" s="468"/>
      <c r="P2957" s="501"/>
      <c r="Q2957" s="754">
        <v>3</v>
      </c>
    </row>
    <row r="2958" spans="2:17" ht="14.25" hidden="1" customHeight="1" x14ac:dyDescent="0.25">
      <c r="B2958" s="493"/>
      <c r="C2958" s="526">
        <v>1</v>
      </c>
      <c r="D2958" s="494" t="str">
        <f>+'Precios Equipos'!$C$81</f>
        <v>Rejilla Con Filtro Para Tablero 106 X 106Mm Ral7035, JK6620, JASON FAN</v>
      </c>
      <c r="F2958" s="497"/>
      <c r="G2958" s="561">
        <f>IFERROR(VLOOKUP(D2958,'Precios Equipos'!$C$1:$F$2080,3,0),"")</f>
        <v>0</v>
      </c>
      <c r="H2958" s="561">
        <f t="shared" si="254"/>
        <v>0</v>
      </c>
      <c r="I2958" s="1087"/>
      <c r="J2958" s="1128"/>
      <c r="K2958" s="539"/>
      <c r="O2958" s="468"/>
      <c r="P2958" s="501"/>
      <c r="Q2958" s="754">
        <v>1</v>
      </c>
    </row>
    <row r="2959" spans="2:17" ht="14.25" hidden="1" customHeight="1" x14ac:dyDescent="0.25">
      <c r="B2959" s="493"/>
      <c r="C2959" s="526">
        <v>1</v>
      </c>
      <c r="D2959" s="494" t="str">
        <f>+'Precios Equipos'!$C$82</f>
        <v>Ventilador C/ Rejilla Y Filtro Para Tablero 26M3/H 106 X 106Mm Ral7035, FJK6620PB230 , JASON FAN</v>
      </c>
      <c r="F2959" s="497"/>
      <c r="G2959" s="561">
        <f>IFERROR(VLOOKUP(D2959,'Precios Equipos'!$C$1:$F$2080,3,0),"")</f>
        <v>0</v>
      </c>
      <c r="H2959" s="561">
        <f t="shared" si="254"/>
        <v>0</v>
      </c>
      <c r="I2959" s="1087"/>
      <c r="J2959" s="1128"/>
      <c r="K2959" s="539"/>
      <c r="O2959" s="468"/>
      <c r="P2959" s="501"/>
      <c r="Q2959" s="754">
        <v>1</v>
      </c>
    </row>
    <row r="2960" spans="2:17" ht="14.25" hidden="1" customHeight="1" x14ac:dyDescent="0.25">
      <c r="B2960" s="493"/>
      <c r="C2960" s="526"/>
      <c r="D2960" s="494"/>
      <c r="F2960" s="495"/>
      <c r="G2960" s="561" t="str">
        <f>IFERROR(VLOOKUP(D2960,'Precios Equipos'!$C$1:$F$2080,3,0),"")</f>
        <v/>
      </c>
      <c r="H2960" s="561" t="str">
        <f t="shared" si="254"/>
        <v/>
      </c>
      <c r="I2960" s="477"/>
      <c r="J2960" s="977"/>
      <c r="K2960" s="539"/>
      <c r="O2960" s="468"/>
      <c r="P2960" s="501"/>
      <c r="Q2960" s="754"/>
    </row>
    <row r="2961" spans="2:17" ht="14.25" hidden="1" customHeight="1" x14ac:dyDescent="0.25">
      <c r="B2961" s="493"/>
      <c r="C2961" s="526"/>
      <c r="D2961" s="620" t="s">
        <v>809</v>
      </c>
      <c r="F2961" s="495"/>
      <c r="G2961" s="561" t="str">
        <f>IFERROR(VLOOKUP(D2961,'Precios Equipos'!$C$1:$F$2080,3,0),"")</f>
        <v/>
      </c>
      <c r="H2961" s="561" t="str">
        <f t="shared" si="254"/>
        <v/>
      </c>
      <c r="I2961" s="477"/>
      <c r="J2961" s="977"/>
      <c r="K2961" s="539"/>
      <c r="O2961" s="468"/>
      <c r="P2961" s="501"/>
      <c r="Q2961" s="754"/>
    </row>
    <row r="2962" spans="2:17" ht="14.25" hidden="1" customHeight="1" x14ac:dyDescent="0.25">
      <c r="B2962" s="493"/>
      <c r="C2962" s="526"/>
      <c r="D2962" s="494"/>
      <c r="F2962" s="497"/>
      <c r="G2962" s="561" t="str">
        <f>IFERROR(VLOOKUP(D2962,'Precios Equipos'!$C$1:$F$2080,3,0),"")</f>
        <v/>
      </c>
      <c r="H2962" s="561" t="str">
        <f t="shared" si="254"/>
        <v/>
      </c>
      <c r="I2962" s="477"/>
      <c r="J2962" s="977"/>
      <c r="K2962" s="539"/>
      <c r="O2962" s="468"/>
      <c r="P2962" s="501"/>
      <c r="Q2962" s="754"/>
    </row>
    <row r="2963" spans="2:17" ht="14.25" hidden="1" customHeight="1" x14ac:dyDescent="0.25">
      <c r="B2963" s="493"/>
      <c r="C2963" s="526"/>
      <c r="D2963" s="494"/>
      <c r="F2963" s="495"/>
      <c r="G2963" s="561" t="str">
        <f>IFERROR(VLOOKUP(D2963,'Precios Equipos'!$C$1:$F$2080,3,0),"")</f>
        <v/>
      </c>
      <c r="H2963" s="561" t="str">
        <f t="shared" si="254"/>
        <v/>
      </c>
      <c r="I2963" s="477"/>
      <c r="J2963" s="987"/>
      <c r="K2963" s="539"/>
      <c r="O2963" s="468"/>
      <c r="Q2963" s="754"/>
    </row>
    <row r="2964" spans="2:17" hidden="1" x14ac:dyDescent="0.25">
      <c r="B2964" s="493"/>
      <c r="C2964" s="526"/>
      <c r="D2964" s="496" t="s">
        <v>87</v>
      </c>
      <c r="F2964" s="495"/>
      <c r="G2964" s="561"/>
      <c r="H2964" s="561">
        <f>+M2957</f>
        <v>800</v>
      </c>
      <c r="I2964" s="561">
        <v>800</v>
      </c>
      <c r="J2964" s="976">
        <v>0.2088898603250868</v>
      </c>
      <c r="K2964" s="539"/>
      <c r="O2964" s="468"/>
      <c r="Q2964" s="754"/>
    </row>
    <row r="2965" spans="2:17" hidden="1" x14ac:dyDescent="0.25">
      <c r="B2965" s="493"/>
      <c r="C2965" s="526">
        <v>1</v>
      </c>
      <c r="D2965" s="494" t="s">
        <v>49</v>
      </c>
      <c r="F2965" s="495"/>
      <c r="G2965" s="561"/>
      <c r="H2965" s="561">
        <v>0</v>
      </c>
      <c r="I2965" s="1087">
        <v>0</v>
      </c>
      <c r="J2965" s="1128">
        <v>0</v>
      </c>
      <c r="K2965" s="539"/>
      <c r="O2965" s="468"/>
      <c r="Q2965" s="754"/>
    </row>
    <row r="2966" spans="2:17" hidden="1" x14ac:dyDescent="0.25">
      <c r="B2966" s="493"/>
      <c r="C2966" s="526">
        <v>1</v>
      </c>
      <c r="D2966" s="494" t="s">
        <v>51</v>
      </c>
      <c r="F2966" s="495"/>
      <c r="G2966" s="561"/>
      <c r="H2966" s="561">
        <v>0</v>
      </c>
      <c r="I2966" s="1087"/>
      <c r="J2966" s="1128"/>
      <c r="K2966" s="539"/>
      <c r="O2966" s="468"/>
      <c r="Q2966" s="754"/>
    </row>
    <row r="2967" spans="2:17" hidden="1" x14ac:dyDescent="0.25">
      <c r="B2967" s="493"/>
      <c r="C2967" s="526">
        <v>1</v>
      </c>
      <c r="D2967" s="467" t="s">
        <v>20</v>
      </c>
      <c r="F2967" s="495"/>
      <c r="G2967" s="561"/>
      <c r="H2967" s="561"/>
      <c r="I2967" s="477"/>
      <c r="J2967" s="977"/>
      <c r="K2967" s="539"/>
      <c r="O2967" s="468"/>
      <c r="Q2967" s="754"/>
    </row>
    <row r="2968" spans="2:17" hidden="1" x14ac:dyDescent="0.25">
      <c r="B2968" s="493"/>
      <c r="C2968" s="526">
        <v>1</v>
      </c>
      <c r="D2968" s="467" t="s">
        <v>52</v>
      </c>
      <c r="F2968" s="495"/>
      <c r="G2968" s="553" t="s">
        <v>97</v>
      </c>
      <c r="H2968" s="561">
        <f>SUM(H2950:H2967)</f>
        <v>1206</v>
      </c>
      <c r="I2968" s="477"/>
      <c r="J2968" s="977"/>
      <c r="K2968" s="539"/>
      <c r="O2968" s="468"/>
      <c r="Q2968" s="754"/>
    </row>
    <row r="2969" spans="2:17" hidden="1" x14ac:dyDescent="0.25">
      <c r="B2969" s="493"/>
      <c r="C2969" s="526">
        <v>1</v>
      </c>
      <c r="D2969" s="467" t="s">
        <v>21</v>
      </c>
      <c r="F2969" s="495"/>
      <c r="G2969" s="553" t="s">
        <v>105</v>
      </c>
      <c r="H2969" s="561">
        <f>+H2968*$M$158</f>
        <v>301.5</v>
      </c>
      <c r="I2969" s="477"/>
      <c r="J2969" s="977"/>
      <c r="K2969" s="539"/>
      <c r="M2969" s="470"/>
      <c r="O2969" s="468"/>
      <c r="Q2969" s="754"/>
    </row>
    <row r="2970" spans="2:17" hidden="1" x14ac:dyDescent="0.25">
      <c r="B2970" s="521"/>
      <c r="C2970" s="527" t="s">
        <v>17</v>
      </c>
      <c r="D2970" s="522" t="s">
        <v>48</v>
      </c>
      <c r="E2970" s="523"/>
      <c r="F2970" s="524"/>
      <c r="G2970" s="553" t="s">
        <v>452</v>
      </c>
      <c r="H2970" s="561">
        <f>H2968+H2969</f>
        <v>1507.5</v>
      </c>
      <c r="I2970" s="477"/>
      <c r="J2970" s="988">
        <v>1</v>
      </c>
      <c r="K2970" s="539"/>
      <c r="M2970" s="470"/>
      <c r="O2970" s="468"/>
      <c r="Q2970" s="754"/>
    </row>
  </sheetData>
  <autoFilter ref="D1:D2789" xr:uid="{00000000-0001-0000-0000-000000000000}"/>
  <mergeCells count="787">
    <mergeCell ref="I1681:I1684"/>
    <mergeCell ref="J1681:J1684"/>
    <mergeCell ref="I1701:I1703"/>
    <mergeCell ref="J1701:J1703"/>
    <mergeCell ref="I1720:I1723"/>
    <mergeCell ref="J1720:J1723"/>
    <mergeCell ref="I1466:I1469"/>
    <mergeCell ref="J1466:J1469"/>
    <mergeCell ref="I1486:I1489"/>
    <mergeCell ref="J1486:J1489"/>
    <mergeCell ref="I1506:I1508"/>
    <mergeCell ref="J1506:J1508"/>
    <mergeCell ref="I1525:I1528"/>
    <mergeCell ref="J1525:J1528"/>
    <mergeCell ref="I1545:I1547"/>
    <mergeCell ref="J1545:J1547"/>
    <mergeCell ref="I1642:I1645"/>
    <mergeCell ref="J1642:J1645"/>
    <mergeCell ref="I1662:I1664"/>
    <mergeCell ref="J1662:J1664"/>
    <mergeCell ref="I1493:I1494"/>
    <mergeCell ref="J1590:J1591"/>
    <mergeCell ref="I1512:I1513"/>
    <mergeCell ref="I1473:I1474"/>
    <mergeCell ref="I1326:I1329"/>
    <mergeCell ref="J1326:J1329"/>
    <mergeCell ref="I1346:I1349"/>
    <mergeCell ref="J1346:J1349"/>
    <mergeCell ref="I1366:I1369"/>
    <mergeCell ref="J1366:J1369"/>
    <mergeCell ref="I1386:I1389"/>
    <mergeCell ref="J1386:J1389"/>
    <mergeCell ref="I1406:I1409"/>
    <mergeCell ref="J1406:J1409"/>
    <mergeCell ref="J1333:J1334"/>
    <mergeCell ref="J1353:J1354"/>
    <mergeCell ref="J1373:J1374"/>
    <mergeCell ref="J1393:J1394"/>
    <mergeCell ref="I1245:I1249"/>
    <mergeCell ref="J1245:J1249"/>
    <mergeCell ref="I1266:I1269"/>
    <mergeCell ref="J1266:J1269"/>
    <mergeCell ref="I1286:I1289"/>
    <mergeCell ref="J1286:J1289"/>
    <mergeCell ref="I1306:I1309"/>
    <mergeCell ref="J1306:J1309"/>
    <mergeCell ref="I1293:I1294"/>
    <mergeCell ref="J1293:J1294"/>
    <mergeCell ref="J1273:J1274"/>
    <mergeCell ref="I1164:I1167"/>
    <mergeCell ref="J1164:J1167"/>
    <mergeCell ref="I1184:I1187"/>
    <mergeCell ref="J1184:J1187"/>
    <mergeCell ref="I1204:I1207"/>
    <mergeCell ref="J1204:J1207"/>
    <mergeCell ref="J1191:J1192"/>
    <mergeCell ref="I1224:I1228"/>
    <mergeCell ref="J1224:J1228"/>
    <mergeCell ref="J1077:J1080"/>
    <mergeCell ref="I1097:I1107"/>
    <mergeCell ref="J1097:J1107"/>
    <mergeCell ref="I1003:I1013"/>
    <mergeCell ref="J1083:J1084"/>
    <mergeCell ref="J1063:J1064"/>
    <mergeCell ref="I1124:I1127"/>
    <mergeCell ref="J1124:J1127"/>
    <mergeCell ref="I1144:I1147"/>
    <mergeCell ref="J1144:J1147"/>
    <mergeCell ref="J889:J892"/>
    <mergeCell ref="I909:I919"/>
    <mergeCell ref="J909:J919"/>
    <mergeCell ref="I936:I939"/>
    <mergeCell ref="J936:J939"/>
    <mergeCell ref="I956:I966"/>
    <mergeCell ref="J956:J966"/>
    <mergeCell ref="I983:I986"/>
    <mergeCell ref="J983:J986"/>
    <mergeCell ref="I942:I943"/>
    <mergeCell ref="I922:I923"/>
    <mergeCell ref="J942:J943"/>
    <mergeCell ref="J969:J970"/>
    <mergeCell ref="J761:J771"/>
    <mergeCell ref="I788:I798"/>
    <mergeCell ref="J788:J798"/>
    <mergeCell ref="I815:I825"/>
    <mergeCell ref="J815:J825"/>
    <mergeCell ref="I842:I845"/>
    <mergeCell ref="J842:J845"/>
    <mergeCell ref="I862:I872"/>
    <mergeCell ref="J862:J872"/>
    <mergeCell ref="J774:J775"/>
    <mergeCell ref="J801:J802"/>
    <mergeCell ref="J828:J829"/>
    <mergeCell ref="J593:J603"/>
    <mergeCell ref="I651:I659"/>
    <mergeCell ref="J651:J659"/>
    <mergeCell ref="I676:I687"/>
    <mergeCell ref="J676:J687"/>
    <mergeCell ref="I705:I716"/>
    <mergeCell ref="J705:J716"/>
    <mergeCell ref="I733:I744"/>
    <mergeCell ref="J733:J744"/>
    <mergeCell ref="J692:J693"/>
    <mergeCell ref="J635:J636"/>
    <mergeCell ref="J459:J466"/>
    <mergeCell ref="I483:I490"/>
    <mergeCell ref="J483:J490"/>
    <mergeCell ref="I508:I518"/>
    <mergeCell ref="J508:J518"/>
    <mergeCell ref="I536:I546"/>
    <mergeCell ref="J536:J546"/>
    <mergeCell ref="I565:I575"/>
    <mergeCell ref="J565:J575"/>
    <mergeCell ref="J351:J361"/>
    <mergeCell ref="I322:I332"/>
    <mergeCell ref="J322:J332"/>
    <mergeCell ref="I378:I388"/>
    <mergeCell ref="J378:J388"/>
    <mergeCell ref="I405:I415"/>
    <mergeCell ref="J405:J415"/>
    <mergeCell ref="I432:I442"/>
    <mergeCell ref="J432:J442"/>
    <mergeCell ref="I2953:I2959"/>
    <mergeCell ref="J2953:J2959"/>
    <mergeCell ref="I2965:I2966"/>
    <mergeCell ref="J2965:J2966"/>
    <mergeCell ref="B2792:B2793"/>
    <mergeCell ref="C2792:C2793"/>
    <mergeCell ref="D2792:D2793"/>
    <mergeCell ref="I2798:I2804"/>
    <mergeCell ref="J2798:J2804"/>
    <mergeCell ref="I2810:I2811"/>
    <mergeCell ref="J2810:J2811"/>
    <mergeCell ref="B2921:B2922"/>
    <mergeCell ref="C2921:C2922"/>
    <mergeCell ref="D2921:D2922"/>
    <mergeCell ref="I2927:I2933"/>
    <mergeCell ref="J2927:J2933"/>
    <mergeCell ref="I2939:I2940"/>
    <mergeCell ref="J2939:J2940"/>
    <mergeCell ref="B2947:B2948"/>
    <mergeCell ref="C2947:C2948"/>
    <mergeCell ref="D2947:D2948"/>
    <mergeCell ref="I2887:I2888"/>
    <mergeCell ref="J2887:J2888"/>
    <mergeCell ref="B2895:B2896"/>
    <mergeCell ref="C2895:C2896"/>
    <mergeCell ref="D2895:D2896"/>
    <mergeCell ref="I2901:I2907"/>
    <mergeCell ref="J2901:J2907"/>
    <mergeCell ref="I2913:I2914"/>
    <mergeCell ref="J2913:J2914"/>
    <mergeCell ref="I2849:I2855"/>
    <mergeCell ref="J2849:J2855"/>
    <mergeCell ref="I2861:I2862"/>
    <mergeCell ref="J2861:J2862"/>
    <mergeCell ref="B2869:B2870"/>
    <mergeCell ref="C2869:C2870"/>
    <mergeCell ref="D2869:D2870"/>
    <mergeCell ref="I2875:I2881"/>
    <mergeCell ref="J2875:J2881"/>
    <mergeCell ref="J271:J274"/>
    <mergeCell ref="B2818:B2819"/>
    <mergeCell ref="C2818:C2819"/>
    <mergeCell ref="D2818:D2819"/>
    <mergeCell ref="I2823:I2831"/>
    <mergeCell ref="J2823:J2831"/>
    <mergeCell ref="I2835:I2836"/>
    <mergeCell ref="J2835:J2836"/>
    <mergeCell ref="B2843:B2844"/>
    <mergeCell ref="C2843:C2844"/>
    <mergeCell ref="D2843:D2844"/>
    <mergeCell ref="B2717:B2718"/>
    <mergeCell ref="C2717:C2718"/>
    <mergeCell ref="D2717:D2718"/>
    <mergeCell ref="B2754:B2755"/>
    <mergeCell ref="C2754:C2755"/>
    <mergeCell ref="D2754:D2755"/>
    <mergeCell ref="I2759:I2780"/>
    <mergeCell ref="J1773:J1774"/>
    <mergeCell ref="J239:J242"/>
    <mergeCell ref="B249:B250"/>
    <mergeCell ref="C249:C250"/>
    <mergeCell ref="D249:D250"/>
    <mergeCell ref="I255:I258"/>
    <mergeCell ref="J255:J258"/>
    <mergeCell ref="B265:B266"/>
    <mergeCell ref="C265:C266"/>
    <mergeCell ref="D265:D266"/>
    <mergeCell ref="I239:I242"/>
    <mergeCell ref="J207:J210"/>
    <mergeCell ref="B217:B218"/>
    <mergeCell ref="C217:C218"/>
    <mergeCell ref="D217:D218"/>
    <mergeCell ref="I223:I226"/>
    <mergeCell ref="J223:J226"/>
    <mergeCell ref="B233:B234"/>
    <mergeCell ref="C233:C234"/>
    <mergeCell ref="D233:D234"/>
    <mergeCell ref="I207:I210"/>
    <mergeCell ref="J175:J178"/>
    <mergeCell ref="B185:B186"/>
    <mergeCell ref="C185:C186"/>
    <mergeCell ref="D185:D186"/>
    <mergeCell ref="I191:I194"/>
    <mergeCell ref="J191:J194"/>
    <mergeCell ref="B201:B202"/>
    <mergeCell ref="C201:C202"/>
    <mergeCell ref="D201:D202"/>
    <mergeCell ref="I175:I178"/>
    <mergeCell ref="B2606:B2607"/>
    <mergeCell ref="C2606:C2607"/>
    <mergeCell ref="D2606:D2607"/>
    <mergeCell ref="B2643:B2644"/>
    <mergeCell ref="C2643:C2644"/>
    <mergeCell ref="D2643:D2644"/>
    <mergeCell ref="B2680:B2681"/>
    <mergeCell ref="C2680:C2681"/>
    <mergeCell ref="D2680:D2681"/>
    <mergeCell ref="J1887:J1892"/>
    <mergeCell ref="I1912:I1917"/>
    <mergeCell ref="J1912:J1917"/>
    <mergeCell ref="I1937:I1942"/>
    <mergeCell ref="J1937:J1942"/>
    <mergeCell ref="I1962:I1967"/>
    <mergeCell ref="I2012:I2017"/>
    <mergeCell ref="J2012:J2017"/>
    <mergeCell ref="J1798:J1799"/>
    <mergeCell ref="I2598:I2599"/>
    <mergeCell ref="J2598:J2599"/>
    <mergeCell ref="I2593:I2594"/>
    <mergeCell ref="J2593:J2594"/>
    <mergeCell ref="I2530:I2531"/>
    <mergeCell ref="B1400:B1401"/>
    <mergeCell ref="C1400:C1401"/>
    <mergeCell ref="D1400:D1401"/>
    <mergeCell ref="B1420:B1421"/>
    <mergeCell ref="C1420:C1421"/>
    <mergeCell ref="D1420:D1421"/>
    <mergeCell ref="J1493:J1494"/>
    <mergeCell ref="B1440:B1441"/>
    <mergeCell ref="C1440:C1441"/>
    <mergeCell ref="D1440:D1441"/>
    <mergeCell ref="I1453:I1454"/>
    <mergeCell ref="J1453:J1454"/>
    <mergeCell ref="J1413:J1414"/>
    <mergeCell ref="J1433:J1434"/>
    <mergeCell ref="I1426:I1429"/>
    <mergeCell ref="J1426:J1429"/>
    <mergeCell ref="I1446:I1449"/>
    <mergeCell ref="J1446:J1449"/>
    <mergeCell ref="J1740:J1744"/>
    <mergeCell ref="L2562:M2562"/>
    <mergeCell ref="I1787:I1795"/>
    <mergeCell ref="J1787:J1795"/>
    <mergeCell ref="I1812:I1820"/>
    <mergeCell ref="J1812:J1820"/>
    <mergeCell ref="I2037:I2047"/>
    <mergeCell ref="J2037:J2047"/>
    <mergeCell ref="I2115:I2123"/>
    <mergeCell ref="J2115:J2123"/>
    <mergeCell ref="I2140:I2149"/>
    <mergeCell ref="J2140:J2149"/>
    <mergeCell ref="I2152:I2153"/>
    <mergeCell ref="J2152:J2153"/>
    <mergeCell ref="I2166:I2174"/>
    <mergeCell ref="J2166:J2174"/>
    <mergeCell ref="I2177:I2178"/>
    <mergeCell ref="J2177:J2178"/>
    <mergeCell ref="J2228:J2229"/>
    <mergeCell ref="I2242:I2250"/>
    <mergeCell ref="J2242:J2250"/>
    <mergeCell ref="I2505:I2506"/>
    <mergeCell ref="J2505:J2506"/>
    <mergeCell ref="I2429:I2430"/>
    <mergeCell ref="J2429:J2430"/>
    <mergeCell ref="J1727:J1728"/>
    <mergeCell ref="I1313:I1314"/>
    <mergeCell ref="J1313:J1314"/>
    <mergeCell ref="I2191:I2199"/>
    <mergeCell ref="J2191:J2199"/>
    <mergeCell ref="I2202:I2203"/>
    <mergeCell ref="J2202:J2203"/>
    <mergeCell ref="J1532:J1533"/>
    <mergeCell ref="I1571:I1572"/>
    <mergeCell ref="J1551:J1552"/>
    <mergeCell ref="J1749:J1750"/>
    <mergeCell ref="I1749:I1750"/>
    <mergeCell ref="I1551:I1552"/>
    <mergeCell ref="I1590:I1591"/>
    <mergeCell ref="I1610:I1611"/>
    <mergeCell ref="I1773:I1774"/>
    <mergeCell ref="J1862:J1867"/>
    <mergeCell ref="I1887:I1892"/>
    <mergeCell ref="I1584:I1586"/>
    <mergeCell ref="J1584:J1586"/>
    <mergeCell ref="I1603:I1606"/>
    <mergeCell ref="J1603:J1606"/>
    <mergeCell ref="I1623:I1625"/>
    <mergeCell ref="J1623:J1625"/>
    <mergeCell ref="I2393:I2402"/>
    <mergeCell ref="I2328:I2329"/>
    <mergeCell ref="J2328:J2329"/>
    <mergeCell ref="I2292:I2300"/>
    <mergeCell ref="J2292:J2300"/>
    <mergeCell ref="I2126:I2127"/>
    <mergeCell ref="J2126:J2127"/>
    <mergeCell ref="I2228:I2229"/>
    <mergeCell ref="J2519:J2527"/>
    <mergeCell ref="I2519:I2527"/>
    <mergeCell ref="J2393:J2402"/>
    <mergeCell ref="J2759:J2780"/>
    <mergeCell ref="I2612:I2631"/>
    <mergeCell ref="J2612:J2631"/>
    <mergeCell ref="I2649:I2668"/>
    <mergeCell ref="J2649:J2668"/>
    <mergeCell ref="I2686:I2705"/>
    <mergeCell ref="J2686:J2705"/>
    <mergeCell ref="I2723:I2742"/>
    <mergeCell ref="J2723:J2742"/>
    <mergeCell ref="J2530:J2531"/>
    <mergeCell ref="J1473:J1474"/>
    <mergeCell ref="J1512:J1513"/>
    <mergeCell ref="I2551:I2552"/>
    <mergeCell ref="J2551:J2552"/>
    <mergeCell ref="J1668:J1669"/>
    <mergeCell ref="J1571:J1572"/>
    <mergeCell ref="J1629:J1630"/>
    <mergeCell ref="J1707:J1708"/>
    <mergeCell ref="I1727:I1728"/>
    <mergeCell ref="J1610:J1611"/>
    <mergeCell ref="I2089:I2095"/>
    <mergeCell ref="J2089:J2095"/>
    <mergeCell ref="I2023:I2024"/>
    <mergeCell ref="J2023:J2024"/>
    <mergeCell ref="I1987:I1992"/>
    <mergeCell ref="J1987:J1992"/>
    <mergeCell ref="I1707:I1708"/>
    <mergeCell ref="I1762:I1770"/>
    <mergeCell ref="J1762:J1770"/>
    <mergeCell ref="I1649:I1650"/>
    <mergeCell ref="J1649:J1650"/>
    <mergeCell ref="I1564:I1567"/>
    <mergeCell ref="J1564:J1567"/>
    <mergeCell ref="B1695:B1696"/>
    <mergeCell ref="C1695:C1696"/>
    <mergeCell ref="D1695:D1696"/>
    <mergeCell ref="B1656:B1657"/>
    <mergeCell ref="C1656:C1657"/>
    <mergeCell ref="D1656:D1657"/>
    <mergeCell ref="B1675:B1676"/>
    <mergeCell ref="C1675:C1676"/>
    <mergeCell ref="D1675:D1676"/>
    <mergeCell ref="B1714:B1715"/>
    <mergeCell ref="C1714:C1715"/>
    <mergeCell ref="D1714:D1715"/>
    <mergeCell ref="B1636:B1637"/>
    <mergeCell ref="I1131:I1132"/>
    <mergeCell ref="J1131:J1132"/>
    <mergeCell ref="I1151:I1152"/>
    <mergeCell ref="J1151:J1152"/>
    <mergeCell ref="J1231:J1232"/>
    <mergeCell ref="I1252:I1253"/>
    <mergeCell ref="J1252:J1253"/>
    <mergeCell ref="I1171:I1172"/>
    <mergeCell ref="J1171:J1172"/>
    <mergeCell ref="D1480:D1481"/>
    <mergeCell ref="B1519:B1520"/>
    <mergeCell ref="C1519:C1520"/>
    <mergeCell ref="D1519:D1520"/>
    <mergeCell ref="D1578:D1579"/>
    <mergeCell ref="B1597:B1598"/>
    <mergeCell ref="C1597:C1598"/>
    <mergeCell ref="D1597:D1598"/>
    <mergeCell ref="B1617:B1618"/>
    <mergeCell ref="C1617:C1618"/>
    <mergeCell ref="D1617:D1618"/>
    <mergeCell ref="B1500:B1501"/>
    <mergeCell ref="C1500:C1501"/>
    <mergeCell ref="D1500:D1501"/>
    <mergeCell ref="B1460:B1461"/>
    <mergeCell ref="C1460:C1461"/>
    <mergeCell ref="D1460:D1461"/>
    <mergeCell ref="B1340:B1341"/>
    <mergeCell ref="C1340:C1341"/>
    <mergeCell ref="D1340:D1341"/>
    <mergeCell ref="B1360:B1361"/>
    <mergeCell ref="C1360:C1361"/>
    <mergeCell ref="D1360:D1361"/>
    <mergeCell ref="B1380:B1381"/>
    <mergeCell ref="C1380:C1381"/>
    <mergeCell ref="D1380:D1381"/>
    <mergeCell ref="B1480:B1481"/>
    <mergeCell ref="C1480:C1481"/>
    <mergeCell ref="B2513:B2514"/>
    <mergeCell ref="C2513:C2514"/>
    <mergeCell ref="D2513:D2514"/>
    <mergeCell ref="B2462:B2463"/>
    <mergeCell ref="C2462:C2463"/>
    <mergeCell ref="D2462:D2463"/>
    <mergeCell ref="I2480:I2481"/>
    <mergeCell ref="J2480:J2481"/>
    <mergeCell ref="B2488:B2489"/>
    <mergeCell ref="C2488:C2489"/>
    <mergeCell ref="D2488:D2489"/>
    <mergeCell ref="I2468:I2477"/>
    <mergeCell ref="J2468:J2477"/>
    <mergeCell ref="I2494:I2502"/>
    <mergeCell ref="J2494:J2502"/>
    <mergeCell ref="B2437:B2438"/>
    <mergeCell ref="C2437:C2438"/>
    <mergeCell ref="D2437:D2438"/>
    <mergeCell ref="I2454:I2455"/>
    <mergeCell ref="J2454:J2455"/>
    <mergeCell ref="I2443:I2451"/>
    <mergeCell ref="J2443:J2451"/>
    <mergeCell ref="I2404:I2405"/>
    <mergeCell ref="J2404:J2405"/>
    <mergeCell ref="B2412:B2413"/>
    <mergeCell ref="C2412:C2413"/>
    <mergeCell ref="D2412:D2413"/>
    <mergeCell ref="I2418:I2426"/>
    <mergeCell ref="J2418:J2426"/>
    <mergeCell ref="B2361:B2362"/>
    <mergeCell ref="C2361:C2362"/>
    <mergeCell ref="D2361:D2362"/>
    <mergeCell ref="I2379:I2380"/>
    <mergeCell ref="J2379:J2380"/>
    <mergeCell ref="B2387:B2388"/>
    <mergeCell ref="C2387:C2388"/>
    <mergeCell ref="D2387:D2388"/>
    <mergeCell ref="I2367:I2376"/>
    <mergeCell ref="J2367:J2376"/>
    <mergeCell ref="B2336:B2337"/>
    <mergeCell ref="C2336:C2337"/>
    <mergeCell ref="D2336:D2337"/>
    <mergeCell ref="I2353:I2354"/>
    <mergeCell ref="J2353:J2354"/>
    <mergeCell ref="I2342:I2350"/>
    <mergeCell ref="J2342:J2350"/>
    <mergeCell ref="I2303:I2304"/>
    <mergeCell ref="J2303:J2304"/>
    <mergeCell ref="B2311:B2312"/>
    <mergeCell ref="C2311:C2312"/>
    <mergeCell ref="D2311:D2312"/>
    <mergeCell ref="I2317:I2325"/>
    <mergeCell ref="J2317:J2325"/>
    <mergeCell ref="B2261:B2262"/>
    <mergeCell ref="C2261:C2262"/>
    <mergeCell ref="D2261:D2262"/>
    <mergeCell ref="I2278:I2279"/>
    <mergeCell ref="J2278:J2279"/>
    <mergeCell ref="B2286:B2287"/>
    <mergeCell ref="C2286:C2287"/>
    <mergeCell ref="D2286:D2287"/>
    <mergeCell ref="I2267:I2275"/>
    <mergeCell ref="J2267:J2275"/>
    <mergeCell ref="B2236:B2237"/>
    <mergeCell ref="C2236:C2237"/>
    <mergeCell ref="D2236:D2237"/>
    <mergeCell ref="I2253:I2254"/>
    <mergeCell ref="J2253:J2254"/>
    <mergeCell ref="I2101:I2102"/>
    <mergeCell ref="J2101:J2102"/>
    <mergeCell ref="B2109:B2110"/>
    <mergeCell ref="C2109:C2110"/>
    <mergeCell ref="D2109:D2110"/>
    <mergeCell ref="B2134:B2135"/>
    <mergeCell ref="C2134:C2135"/>
    <mergeCell ref="D2134:D2135"/>
    <mergeCell ref="B2160:B2161"/>
    <mergeCell ref="C2160:C2161"/>
    <mergeCell ref="D2160:D2161"/>
    <mergeCell ref="B2185:B2186"/>
    <mergeCell ref="C2185:C2186"/>
    <mergeCell ref="D2185:D2186"/>
    <mergeCell ref="B2210:B2211"/>
    <mergeCell ref="C2210:C2211"/>
    <mergeCell ref="D2210:D2211"/>
    <mergeCell ref="I2216:I2225"/>
    <mergeCell ref="J2216:J2225"/>
    <mergeCell ref="B2058:B2059"/>
    <mergeCell ref="C2058:C2059"/>
    <mergeCell ref="D2058:D2059"/>
    <mergeCell ref="I2075:I2076"/>
    <mergeCell ref="J2075:J2076"/>
    <mergeCell ref="B2083:B2084"/>
    <mergeCell ref="C2083:C2084"/>
    <mergeCell ref="D2083:D2084"/>
    <mergeCell ref="I2064:I2069"/>
    <mergeCell ref="J2064:J2069"/>
    <mergeCell ref="B2031:B2032"/>
    <mergeCell ref="C2031:C2032"/>
    <mergeCell ref="D2031:D2032"/>
    <mergeCell ref="I2050:I2051"/>
    <mergeCell ref="J2050:J2051"/>
    <mergeCell ref="I1998:I1999"/>
    <mergeCell ref="J1998:J1999"/>
    <mergeCell ref="B2006:B2007"/>
    <mergeCell ref="C2006:C2007"/>
    <mergeCell ref="D2006:D2007"/>
    <mergeCell ref="B1956:B1957"/>
    <mergeCell ref="C1956:C1957"/>
    <mergeCell ref="D1956:D1957"/>
    <mergeCell ref="I1973:I1974"/>
    <mergeCell ref="J1973:J1974"/>
    <mergeCell ref="B1981:B1982"/>
    <mergeCell ref="C1981:C1982"/>
    <mergeCell ref="D1981:D1982"/>
    <mergeCell ref="J1962:J1967"/>
    <mergeCell ref="B1931:B1932"/>
    <mergeCell ref="C1931:C1932"/>
    <mergeCell ref="D1931:D1932"/>
    <mergeCell ref="I1948:I1949"/>
    <mergeCell ref="J1948:J1949"/>
    <mergeCell ref="I1898:I1899"/>
    <mergeCell ref="J1898:J1899"/>
    <mergeCell ref="B1906:B1907"/>
    <mergeCell ref="C1906:C1907"/>
    <mergeCell ref="D1906:D1907"/>
    <mergeCell ref="I1923:I1924"/>
    <mergeCell ref="J1923:J1924"/>
    <mergeCell ref="B1881:B1882"/>
    <mergeCell ref="C1881:C1882"/>
    <mergeCell ref="D1881:D1882"/>
    <mergeCell ref="I1823:I1824"/>
    <mergeCell ref="J1823:J1824"/>
    <mergeCell ref="B1831:B1832"/>
    <mergeCell ref="C1831:C1832"/>
    <mergeCell ref="D1831:D1832"/>
    <mergeCell ref="I1848:I1849"/>
    <mergeCell ref="J1848:J1849"/>
    <mergeCell ref="I1862:I1867"/>
    <mergeCell ref="I1837:I1842"/>
    <mergeCell ref="J1837:J1842"/>
    <mergeCell ref="B1781:B1782"/>
    <mergeCell ref="C1781:C1782"/>
    <mergeCell ref="D1781:D1782"/>
    <mergeCell ref="B1856:B1857"/>
    <mergeCell ref="C1856:C1857"/>
    <mergeCell ref="D1856:D1857"/>
    <mergeCell ref="I1873:I1874"/>
    <mergeCell ref="J1873:J1874"/>
    <mergeCell ref="B1806:B1807"/>
    <mergeCell ref="C1806:C1807"/>
    <mergeCell ref="D1806:D1807"/>
    <mergeCell ref="I1798:I1799"/>
    <mergeCell ref="B1756:B1757"/>
    <mergeCell ref="C1756:C1757"/>
    <mergeCell ref="D1756:D1757"/>
    <mergeCell ref="C1218:C1219"/>
    <mergeCell ref="D1218:D1219"/>
    <mergeCell ref="B1239:B1240"/>
    <mergeCell ref="C1239:C1240"/>
    <mergeCell ref="D1239:D1240"/>
    <mergeCell ref="B1260:B1261"/>
    <mergeCell ref="B1539:B1540"/>
    <mergeCell ref="C1539:C1540"/>
    <mergeCell ref="C1734:C1735"/>
    <mergeCell ref="B1734:B1735"/>
    <mergeCell ref="B1320:B1321"/>
    <mergeCell ref="C1320:C1321"/>
    <mergeCell ref="D1320:D1321"/>
    <mergeCell ref="D1539:D1540"/>
    <mergeCell ref="B1558:B1559"/>
    <mergeCell ref="C1558:C1559"/>
    <mergeCell ref="D1558:D1559"/>
    <mergeCell ref="C1636:C1637"/>
    <mergeCell ref="D1636:D1637"/>
    <mergeCell ref="B1578:B1579"/>
    <mergeCell ref="C1578:C1579"/>
    <mergeCell ref="B1300:B1301"/>
    <mergeCell ref="C1300:C1301"/>
    <mergeCell ref="D1300:D1301"/>
    <mergeCell ref="B1118:B1119"/>
    <mergeCell ref="C1118:C1119"/>
    <mergeCell ref="D1118:D1119"/>
    <mergeCell ref="B1178:B1179"/>
    <mergeCell ref="D1198:D1199"/>
    <mergeCell ref="B1218:B1219"/>
    <mergeCell ref="B1280:B1281"/>
    <mergeCell ref="C1280:C1281"/>
    <mergeCell ref="D1280:D1281"/>
    <mergeCell ref="C1260:C1261"/>
    <mergeCell ref="D1260:D1261"/>
    <mergeCell ref="I1211:I1212"/>
    <mergeCell ref="J1211:J1212"/>
    <mergeCell ref="I1231:I1232"/>
    <mergeCell ref="I1016:I1017"/>
    <mergeCell ref="I1037:I1038"/>
    <mergeCell ref="I989:I990"/>
    <mergeCell ref="D1178:D1179"/>
    <mergeCell ref="I1083:I1084"/>
    <mergeCell ref="I1110:I1111"/>
    <mergeCell ref="I1063:I1064"/>
    <mergeCell ref="D1071:D1072"/>
    <mergeCell ref="D1091:D1092"/>
    <mergeCell ref="C1198:C1199"/>
    <mergeCell ref="C1044:C1045"/>
    <mergeCell ref="C1091:C1092"/>
    <mergeCell ref="J1110:J1111"/>
    <mergeCell ref="J1003:J1013"/>
    <mergeCell ref="I1030:I1033"/>
    <mergeCell ref="J1030:J1033"/>
    <mergeCell ref="I1050:I1060"/>
    <mergeCell ref="J1050:J1060"/>
    <mergeCell ref="I1077:I1080"/>
    <mergeCell ref="J747:J748"/>
    <mergeCell ref="J720:J721"/>
    <mergeCell ref="J848:J849"/>
    <mergeCell ref="I969:I970"/>
    <mergeCell ref="I1740:I1744"/>
    <mergeCell ref="I1273:I1274"/>
    <mergeCell ref="I1191:I1192"/>
    <mergeCell ref="I1333:I1334"/>
    <mergeCell ref="I1353:I1354"/>
    <mergeCell ref="I1373:I1374"/>
    <mergeCell ref="I1393:I1394"/>
    <mergeCell ref="I1629:I1630"/>
    <mergeCell ref="I1413:I1414"/>
    <mergeCell ref="I1433:I1434"/>
    <mergeCell ref="J989:J990"/>
    <mergeCell ref="J1016:J1017"/>
    <mergeCell ref="J1037:J1038"/>
    <mergeCell ref="J875:J876"/>
    <mergeCell ref="J895:J896"/>
    <mergeCell ref="J922:J923"/>
    <mergeCell ref="J1688:J1689"/>
    <mergeCell ref="I1668:I1669"/>
    <mergeCell ref="I1688:I1689"/>
    <mergeCell ref="I1532:I1533"/>
    <mergeCell ref="I271:I274"/>
    <mergeCell ref="D670:D671"/>
    <mergeCell ref="D997:D998"/>
    <mergeCell ref="D1024:D1025"/>
    <mergeCell ref="D1044:D1045"/>
    <mergeCell ref="I848:I849"/>
    <mergeCell ref="I875:I876"/>
    <mergeCell ref="I895:I896"/>
    <mergeCell ref="I774:I775"/>
    <mergeCell ref="I692:I693"/>
    <mergeCell ref="I747:I748"/>
    <mergeCell ref="I801:I802"/>
    <mergeCell ref="I828:I829"/>
    <mergeCell ref="I761:I771"/>
    <mergeCell ref="I889:I892"/>
    <mergeCell ref="I663:I664"/>
    <mergeCell ref="I635:I636"/>
    <mergeCell ref="I351:I361"/>
    <mergeCell ref="I459:I466"/>
    <mergeCell ref="I593:I603"/>
    <mergeCell ref="B316:B317"/>
    <mergeCell ref="C316:C317"/>
    <mergeCell ref="D316:D317"/>
    <mergeCell ref="B11:F11"/>
    <mergeCell ref="C22:C23"/>
    <mergeCell ref="D17:F17"/>
    <mergeCell ref="B399:B400"/>
    <mergeCell ref="C399:C400"/>
    <mergeCell ref="D399:D400"/>
    <mergeCell ref="B169:B170"/>
    <mergeCell ref="C169:C170"/>
    <mergeCell ref="B299:B300"/>
    <mergeCell ref="C299:C300"/>
    <mergeCell ref="D299:D300"/>
    <mergeCell ref="B372:B373"/>
    <mergeCell ref="C372:C373"/>
    <mergeCell ref="D372:D373"/>
    <mergeCell ref="D345:D346"/>
    <mergeCell ref="B345:B346"/>
    <mergeCell ref="C345:C346"/>
    <mergeCell ref="D22:D23"/>
    <mergeCell ref="B856:B857"/>
    <mergeCell ref="B559:B560"/>
    <mergeCell ref="C559:C560"/>
    <mergeCell ref="C642:C643"/>
    <mergeCell ref="B615:B616"/>
    <mergeCell ref="C615:C616"/>
    <mergeCell ref="C502:C503"/>
    <mergeCell ref="D502:D503"/>
    <mergeCell ref="B530:B531"/>
    <mergeCell ref="C530:C531"/>
    <mergeCell ref="D530:D531"/>
    <mergeCell ref="B587:B588"/>
    <mergeCell ref="C587:C588"/>
    <mergeCell ref="D587:D588"/>
    <mergeCell ref="D559:D560"/>
    <mergeCell ref="D782:D783"/>
    <mergeCell ref="B836:B837"/>
    <mergeCell ref="C836:C837"/>
    <mergeCell ref="D6:D7"/>
    <mergeCell ref="B282:B283"/>
    <mergeCell ref="C282:C283"/>
    <mergeCell ref="D282:D283"/>
    <mergeCell ref="B22:B23"/>
    <mergeCell ref="D169:D170"/>
    <mergeCell ref="B6:C6"/>
    <mergeCell ref="B7:C7"/>
    <mergeCell ref="B154:F154"/>
    <mergeCell ref="B165:F165"/>
    <mergeCell ref="B166:F166"/>
    <mergeCell ref="E6:F7"/>
    <mergeCell ref="B426:B427"/>
    <mergeCell ref="C426:C427"/>
    <mergeCell ref="D426:D427"/>
    <mergeCell ref="B453:B454"/>
    <mergeCell ref="C453:C454"/>
    <mergeCell ref="D453:D454"/>
    <mergeCell ref="D836:D837"/>
    <mergeCell ref="B477:B478"/>
    <mergeCell ref="C477:C478"/>
    <mergeCell ref="D477:D478"/>
    <mergeCell ref="C727:C728"/>
    <mergeCell ref="D727:D728"/>
    <mergeCell ref="D642:D643"/>
    <mergeCell ref="B755:B756"/>
    <mergeCell ref="C755:C756"/>
    <mergeCell ref="B642:B643"/>
    <mergeCell ref="B502:B503"/>
    <mergeCell ref="B809:B810"/>
    <mergeCell ref="C809:C810"/>
    <mergeCell ref="D809:D810"/>
    <mergeCell ref="B699:B700"/>
    <mergeCell ref="D755:D756"/>
    <mergeCell ref="B782:B783"/>
    <mergeCell ref="C782:C783"/>
    <mergeCell ref="B2559:B2560"/>
    <mergeCell ref="C2559:C2560"/>
    <mergeCell ref="D2559:D2560"/>
    <mergeCell ref="I2568:I2573"/>
    <mergeCell ref="D1734:D1735"/>
    <mergeCell ref="C856:C857"/>
    <mergeCell ref="B883:B884"/>
    <mergeCell ref="C883:C884"/>
    <mergeCell ref="B903:B904"/>
    <mergeCell ref="C903:C904"/>
    <mergeCell ref="D856:D857"/>
    <mergeCell ref="D883:D884"/>
    <mergeCell ref="D903:D904"/>
    <mergeCell ref="D930:D931"/>
    <mergeCell ref="D950:D951"/>
    <mergeCell ref="D977:D978"/>
    <mergeCell ref="B1138:B1139"/>
    <mergeCell ref="C1138:C1139"/>
    <mergeCell ref="D1138:D1139"/>
    <mergeCell ref="B1158:B1159"/>
    <mergeCell ref="C1158:C1159"/>
    <mergeCell ref="D1158:D1159"/>
    <mergeCell ref="C1178:C1179"/>
    <mergeCell ref="B1198:B1199"/>
    <mergeCell ref="B930:B931"/>
    <mergeCell ref="C930:C931"/>
    <mergeCell ref="B950:B951"/>
    <mergeCell ref="C950:C951"/>
    <mergeCell ref="B977:B978"/>
    <mergeCell ref="C977:C978"/>
    <mergeCell ref="B1071:B1072"/>
    <mergeCell ref="C1071:C1072"/>
    <mergeCell ref="B997:B998"/>
    <mergeCell ref="C997:C998"/>
    <mergeCell ref="B1024:B1025"/>
    <mergeCell ref="C1024:C1025"/>
    <mergeCell ref="B1044:B1045"/>
    <mergeCell ref="B2584:B2585"/>
    <mergeCell ref="C2584:C2585"/>
    <mergeCell ref="D2584:D2585"/>
    <mergeCell ref="I288:I292"/>
    <mergeCell ref="J288:J292"/>
    <mergeCell ref="I720:I721"/>
    <mergeCell ref="J663:J664"/>
    <mergeCell ref="I2547:I2548"/>
    <mergeCell ref="J2547:J2548"/>
    <mergeCell ref="B2538:B2539"/>
    <mergeCell ref="C2538:C2539"/>
    <mergeCell ref="D2538:D2539"/>
    <mergeCell ref="J2568:J2573"/>
    <mergeCell ref="I2576:I2577"/>
    <mergeCell ref="J2576:J2577"/>
    <mergeCell ref="I305:I309"/>
    <mergeCell ref="J305:J309"/>
    <mergeCell ref="D615:D616"/>
    <mergeCell ref="B670:B671"/>
    <mergeCell ref="C670:C671"/>
    <mergeCell ref="C699:C700"/>
    <mergeCell ref="D699:D700"/>
    <mergeCell ref="B727:B728"/>
    <mergeCell ref="B1091:B1092"/>
  </mergeCells>
  <phoneticPr fontId="0" type="noConversion"/>
  <hyperlinks>
    <hyperlink ref="F3" r:id="rId1" xr:uid="{84E27116-F84D-46CE-8122-D5BDF73E2707}"/>
    <hyperlink ref="F4" r:id="rId2" xr:uid="{738174B6-0913-4F9E-AC26-E947D8C1C894}"/>
  </hyperlinks>
  <printOptions horizontalCentered="1"/>
  <pageMargins left="0.47244094488188981" right="0.27559055118110237" top="0.74803149606299213" bottom="0.74803149606299213" header="0.31496062992125984" footer="0.31496062992125984"/>
  <pageSetup paperSize="9" scale="80" orientation="portrait" horizontalDpi="360" verticalDpi="360" r:id="rId3"/>
  <headerFooter alignWithMargins="0"/>
  <rowBreaks count="65" manualBreakCount="65">
    <brk id="162" min="1" max="5" man="1"/>
    <brk id="197" min="1" max="5" man="1"/>
    <brk id="245" min="1" max="5" man="1"/>
    <brk id="294" min="1" max="5" man="1"/>
    <brk id="314" min="1" max="5" man="1"/>
    <brk id="342" min="1" max="5" man="1"/>
    <brk id="369" min="1" max="5" man="1"/>
    <brk id="396" min="1" max="5" man="1"/>
    <brk id="423" min="1" max="5" man="1"/>
    <brk id="450" min="1" max="5" man="1"/>
    <brk id="474" min="1" max="5" man="1"/>
    <brk id="499" min="1" max="5" man="1"/>
    <brk id="527" min="1" max="5" man="1"/>
    <brk id="556" min="1" max="5" man="1"/>
    <brk id="584" min="1" max="5" man="1"/>
    <brk id="612" min="1" max="5" man="1"/>
    <brk id="639" min="1" max="5" man="1"/>
    <brk id="667" min="1" max="5" man="1"/>
    <brk id="696" min="1" max="5" man="1"/>
    <brk id="724" min="1" max="5" man="1"/>
    <brk id="752" min="1" max="5" man="1"/>
    <brk id="779" min="1" max="5" man="1"/>
    <brk id="806" min="1" max="5" man="1"/>
    <brk id="833" min="1" max="5" man="1"/>
    <brk id="880" min="1" max="5" man="1"/>
    <brk id="927" min="1" max="5" man="1"/>
    <brk id="974" min="1" max="5" man="1"/>
    <brk id="1021" min="1" max="5" man="1"/>
    <brk id="1068" min="1" max="5" man="1"/>
    <brk id="1115" min="1" max="5" man="1"/>
    <brk id="1155" min="1" max="5" man="1"/>
    <brk id="1195" min="1" max="5" man="1"/>
    <brk id="1236" min="1" max="5" man="1"/>
    <brk id="1277" min="1" max="5" man="1"/>
    <brk id="1317" min="1" max="5" man="1"/>
    <brk id="1357" min="1" max="5" man="1"/>
    <brk id="1397" min="1" max="5" man="1"/>
    <brk id="1437" min="1" max="5" man="1"/>
    <brk id="1477" min="1" max="5" man="1"/>
    <brk id="1516" min="1" max="5" man="1"/>
    <brk id="1555" min="1" max="5" man="1"/>
    <brk id="1594" min="1" max="5" man="1"/>
    <brk id="1633" min="1" max="5" man="1"/>
    <brk id="1672" min="1" max="5" man="1"/>
    <brk id="1711" min="1" max="5" man="1"/>
    <brk id="1753" min="1" max="5" man="1"/>
    <brk id="2028" min="1" max="5" man="1"/>
    <brk id="2055" min="1" max="5" man="1"/>
    <brk id="2080" min="1" max="5" man="1"/>
    <brk id="2106" min="1" max="5" man="1"/>
    <brk id="2131" min="1" max="5" man="1"/>
    <brk id="2157" min="1" max="5" man="1"/>
    <brk id="2233" min="1" max="5" man="1"/>
    <brk id="2258" min="1" max="5" man="1"/>
    <brk id="2283" min="1" max="5" man="1"/>
    <brk id="2358" min="1" max="5" man="1"/>
    <brk id="2384" min="1" max="5" man="1"/>
    <brk id="2409" min="1" max="5" man="1"/>
    <brk id="2485" min="1" max="5" man="1"/>
    <brk id="2581" min="1" max="5" man="1"/>
    <brk id="2603" min="1" max="5" man="1"/>
    <brk id="2640" min="1" max="5" man="1"/>
    <brk id="2677" min="1" max="5" man="1"/>
    <brk id="2714" min="1" max="5" man="1"/>
    <brk id="2751" min="1" max="5" man="1"/>
  </rowBreaks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N237"/>
  <sheetViews>
    <sheetView showGridLines="0" tabSelected="1" view="pageBreakPreview" topLeftCell="A10" zoomScaleNormal="100" zoomScaleSheetLayoutView="100" workbookViewId="0">
      <selection activeCell="C16" sqref="C16"/>
    </sheetView>
  </sheetViews>
  <sheetFormatPr baseColWidth="10" defaultRowHeight="12.75" x14ac:dyDescent="0.2"/>
  <cols>
    <col min="1" max="1" width="4.28515625" customWidth="1"/>
    <col min="2" max="2" width="5.7109375" customWidth="1"/>
    <col min="3" max="3" width="84.28515625" customWidth="1"/>
    <col min="4" max="4" width="9.28515625" bestFit="1" customWidth="1"/>
    <col min="5" max="5" width="9.5703125" customWidth="1"/>
    <col min="6" max="6" width="13" customWidth="1"/>
    <col min="7" max="7" width="18" customWidth="1"/>
    <col min="8" max="8" width="6.85546875" style="559" bestFit="1" customWidth="1"/>
    <col min="9" max="9" width="6.7109375" bestFit="1" customWidth="1"/>
    <col min="10" max="10" width="63.140625" customWidth="1"/>
    <col min="12" max="12" width="14.5703125" customWidth="1"/>
    <col min="13" max="13" width="19.5703125" customWidth="1"/>
  </cols>
  <sheetData>
    <row r="1" spans="2:14" ht="13.5" hidden="1" thickBot="1" x14ac:dyDescent="0.25"/>
    <row r="2" spans="2:14" s="89" customFormat="1" ht="15.75" hidden="1" customHeight="1" thickBot="1" x14ac:dyDescent="0.25">
      <c r="B2" s="1143" t="s">
        <v>412</v>
      </c>
      <c r="C2" s="1144"/>
      <c r="D2" s="1144"/>
      <c r="E2" s="1144"/>
      <c r="F2" s="1144"/>
      <c r="G2" s="1145"/>
      <c r="H2" s="91"/>
    </row>
    <row r="3" spans="2:14" s="89" customFormat="1" ht="9.75" hidden="1" customHeight="1" x14ac:dyDescent="0.2">
      <c r="B3" s="436"/>
      <c r="C3" s="436"/>
      <c r="D3" s="436"/>
      <c r="E3" s="436"/>
      <c r="F3" s="436"/>
      <c r="G3" s="436"/>
      <c r="H3" s="91"/>
    </row>
    <row r="4" spans="2:14" ht="14.25" hidden="1" x14ac:dyDescent="0.2">
      <c r="B4" s="62"/>
      <c r="C4" s="62"/>
      <c r="D4" s="62"/>
      <c r="E4" s="62"/>
      <c r="F4" s="1060" t="s">
        <v>103</v>
      </c>
      <c r="G4" s="137">
        <v>3.4</v>
      </c>
    </row>
    <row r="5" spans="2:14" ht="14.25" hidden="1" x14ac:dyDescent="0.2">
      <c r="B5" s="62"/>
      <c r="C5" s="62"/>
      <c r="D5" s="62"/>
      <c r="E5" s="62"/>
      <c r="F5" s="1060" t="s">
        <v>413</v>
      </c>
      <c r="G5" s="137">
        <v>1.1299999999999999</v>
      </c>
    </row>
    <row r="6" spans="2:14" ht="14.25" hidden="1" x14ac:dyDescent="0.2">
      <c r="B6" s="62"/>
      <c r="C6" s="62"/>
      <c r="D6" s="62"/>
      <c r="E6" s="62"/>
      <c r="F6" s="1060" t="s">
        <v>414</v>
      </c>
      <c r="G6" s="760">
        <v>0.52</v>
      </c>
    </row>
    <row r="7" spans="2:14" ht="14.25" hidden="1" x14ac:dyDescent="0.2">
      <c r="B7" s="62"/>
      <c r="C7" s="62"/>
      <c r="D7" s="62"/>
      <c r="E7" s="1140" t="s">
        <v>815</v>
      </c>
      <c r="F7" s="1060" t="s">
        <v>814</v>
      </c>
      <c r="G7" s="760">
        <v>1.5</v>
      </c>
    </row>
    <row r="8" spans="2:14" ht="14.25" hidden="1" x14ac:dyDescent="0.2">
      <c r="B8" s="62"/>
      <c r="C8" s="62"/>
      <c r="D8" s="62"/>
      <c r="E8" s="1140"/>
      <c r="F8" s="1060" t="s">
        <v>816</v>
      </c>
      <c r="G8" s="760">
        <v>2</v>
      </c>
    </row>
    <row r="9" spans="2:14" ht="15" hidden="1" thickBot="1" x14ac:dyDescent="0.25">
      <c r="B9" s="62"/>
      <c r="C9" s="62"/>
      <c r="D9" s="62"/>
      <c r="E9" s="62"/>
      <c r="F9" s="62"/>
      <c r="G9" s="62"/>
    </row>
    <row r="10" spans="2:14" ht="24" customHeight="1" thickBot="1" x14ac:dyDescent="0.25">
      <c r="B10" s="504" t="s">
        <v>6</v>
      </c>
      <c r="C10" s="504" t="s">
        <v>102</v>
      </c>
      <c r="D10" s="504" t="s">
        <v>1049</v>
      </c>
      <c r="E10" s="504" t="s">
        <v>643</v>
      </c>
      <c r="F10" s="506" t="s">
        <v>606</v>
      </c>
      <c r="G10" s="507" t="s">
        <v>644</v>
      </c>
      <c r="I10" s="1064"/>
      <c r="J10" s="1064"/>
      <c r="K10" s="1064"/>
      <c r="L10" s="1065"/>
      <c r="M10" s="1065"/>
    </row>
    <row r="11" spans="2:14" ht="14.25" x14ac:dyDescent="0.2">
      <c r="B11" s="630"/>
      <c r="C11" s="623" t="s">
        <v>619</v>
      </c>
      <c r="D11" s="1310"/>
      <c r="E11" s="622"/>
      <c r="F11" s="624"/>
      <c r="G11" s="625"/>
      <c r="I11" s="1066"/>
      <c r="J11" s="1067"/>
      <c r="K11" s="1066"/>
      <c r="L11" s="1068"/>
      <c r="M11" s="1068"/>
    </row>
    <row r="12" spans="2:14" ht="14.25" x14ac:dyDescent="0.2">
      <c r="B12" s="402">
        <v>1</v>
      </c>
      <c r="C12" s="626" t="s">
        <v>645</v>
      </c>
      <c r="D12" s="626"/>
      <c r="E12" s="402">
        <f>SUMIFS(COT!$Q$168:$Q$2789,COT!$D$168:$D$2789,'Precios Equipos'!C12)</f>
        <v>20</v>
      </c>
      <c r="F12" s="631">
        <v>117</v>
      </c>
      <c r="G12" s="632">
        <f t="shared" ref="G12:G21" si="0">+F12*E12</f>
        <v>2340</v>
      </c>
      <c r="I12" s="312"/>
      <c r="J12" s="1069"/>
      <c r="K12" s="312"/>
      <c r="L12" s="1070"/>
      <c r="M12" s="1070"/>
      <c r="N12">
        <f>+K12-E12</f>
        <v>-20</v>
      </c>
    </row>
    <row r="13" spans="2:14" ht="14.25" x14ac:dyDescent="0.2">
      <c r="B13" s="402">
        <f>+B12+1</f>
        <v>2</v>
      </c>
      <c r="C13" s="626" t="s">
        <v>736</v>
      </c>
      <c r="D13" s="626"/>
      <c r="E13" s="402">
        <f>SUMIFS(COT!$Q$168:$Q$2789,COT!$D$168:$D$2789,'Precios Equipos'!C13)</f>
        <v>8</v>
      </c>
      <c r="F13" s="631">
        <v>117</v>
      </c>
      <c r="G13" s="632">
        <f t="shared" si="0"/>
        <v>936</v>
      </c>
      <c r="I13" s="312"/>
      <c r="J13" s="1069"/>
      <c r="K13" s="312"/>
      <c r="L13" s="1070"/>
      <c r="M13" s="1070"/>
      <c r="N13">
        <f t="shared" ref="N13:N76" si="1">+K13-E13</f>
        <v>-8</v>
      </c>
    </row>
    <row r="14" spans="2:14" ht="14.25" x14ac:dyDescent="0.2">
      <c r="B14" s="402">
        <f t="shared" ref="B14:B32" si="2">+B13+1</f>
        <v>3</v>
      </c>
      <c r="C14" s="626" t="s">
        <v>646</v>
      </c>
      <c r="D14" s="626"/>
      <c r="E14" s="402">
        <f>SUMIFS(COT!$Q$168:$Q$2789,COT!$D$168:$D$2789,'Precios Equipos'!C14)</f>
        <v>110</v>
      </c>
      <c r="F14" s="631">
        <v>123</v>
      </c>
      <c r="G14" s="632">
        <f t="shared" si="0"/>
        <v>13530</v>
      </c>
      <c r="I14" s="312"/>
      <c r="J14" s="1069"/>
      <c r="K14" s="312"/>
      <c r="L14" s="1070"/>
      <c r="M14" s="1070"/>
      <c r="N14">
        <f t="shared" si="1"/>
        <v>-110</v>
      </c>
    </row>
    <row r="15" spans="2:14" ht="14.25" x14ac:dyDescent="0.2">
      <c r="B15" s="402">
        <f t="shared" si="2"/>
        <v>4</v>
      </c>
      <c r="C15" s="626" t="s">
        <v>647</v>
      </c>
      <c r="D15" s="626"/>
      <c r="E15" s="402">
        <f>SUMIFS(COT!$Q$168:$Q$2789,COT!$D$168:$D$2789,'Precios Equipos'!C15)</f>
        <v>88</v>
      </c>
      <c r="F15" s="631">
        <v>117</v>
      </c>
      <c r="G15" s="632">
        <f t="shared" si="0"/>
        <v>10296</v>
      </c>
      <c r="I15" s="312"/>
      <c r="J15" s="1069"/>
      <c r="K15" s="312"/>
      <c r="L15" s="1070"/>
      <c r="M15" s="1070"/>
      <c r="N15">
        <f t="shared" si="1"/>
        <v>-88</v>
      </c>
    </row>
    <row r="16" spans="2:14" ht="14.25" x14ac:dyDescent="0.2">
      <c r="B16" s="402">
        <f t="shared" si="2"/>
        <v>5</v>
      </c>
      <c r="C16" s="626" t="s">
        <v>738</v>
      </c>
      <c r="D16" s="626"/>
      <c r="E16" s="402">
        <f>SUMIFS(COT!$Q$168:$Q$2789,COT!$D$168:$D$2789,'Precios Equipos'!C16)</f>
        <v>36</v>
      </c>
      <c r="F16" s="631">
        <v>145</v>
      </c>
      <c r="G16" s="632">
        <f t="shared" ref="G16" si="3">+F16*E16</f>
        <v>5220</v>
      </c>
      <c r="I16" s="312"/>
      <c r="J16" s="1069"/>
      <c r="K16" s="312"/>
      <c r="L16" s="1070"/>
      <c r="M16" s="1070"/>
      <c r="N16">
        <f t="shared" si="1"/>
        <v>-36</v>
      </c>
    </row>
    <row r="17" spans="2:14" ht="14.25" x14ac:dyDescent="0.2">
      <c r="B17" s="402">
        <f t="shared" si="2"/>
        <v>6</v>
      </c>
      <c r="C17" s="626" t="s">
        <v>740</v>
      </c>
      <c r="D17" s="626"/>
      <c r="E17" s="402">
        <f>SUMIFS(COT!$Q$168:$Q$2789,COT!$D$168:$D$2789,'Precios Equipos'!C17)</f>
        <v>9</v>
      </c>
      <c r="F17" s="631">
        <v>159</v>
      </c>
      <c r="G17" s="632">
        <f t="shared" ref="G17" si="4">+F17*E17</f>
        <v>1431</v>
      </c>
      <c r="I17" s="312"/>
      <c r="J17" s="1069"/>
      <c r="K17" s="312"/>
      <c r="L17" s="1070"/>
      <c r="M17" s="1070"/>
      <c r="N17">
        <f t="shared" si="1"/>
        <v>-9</v>
      </c>
    </row>
    <row r="18" spans="2:14" ht="14.25" x14ac:dyDescent="0.2">
      <c r="B18" s="402">
        <f t="shared" si="2"/>
        <v>7</v>
      </c>
      <c r="C18" s="626" t="s">
        <v>648</v>
      </c>
      <c r="D18" s="626"/>
      <c r="E18" s="402">
        <f>SUMIFS(COT!$Q$168:$Q$2789,COT!$D$168:$D$2789,'Precios Equipos'!C18)</f>
        <v>138</v>
      </c>
      <c r="F18" s="631">
        <v>132</v>
      </c>
      <c r="G18" s="632">
        <f t="shared" si="0"/>
        <v>18216</v>
      </c>
      <c r="I18" s="312"/>
      <c r="J18" s="1069"/>
      <c r="K18" s="312"/>
      <c r="L18" s="1070"/>
      <c r="M18" s="1070"/>
      <c r="N18">
        <f t="shared" si="1"/>
        <v>-138</v>
      </c>
    </row>
    <row r="19" spans="2:14" ht="14.25" x14ac:dyDescent="0.2">
      <c r="B19" s="402">
        <f t="shared" si="2"/>
        <v>8</v>
      </c>
      <c r="C19" s="626" t="s">
        <v>649</v>
      </c>
      <c r="D19" s="626"/>
      <c r="E19" s="402">
        <f>SUMIFS(COT!$Q$168:$Q$2789,COT!$D$168:$D$2789,'Precios Equipos'!C19)</f>
        <v>8</v>
      </c>
      <c r="F19" s="631">
        <v>246</v>
      </c>
      <c r="G19" s="632">
        <f t="shared" si="0"/>
        <v>1968</v>
      </c>
      <c r="I19" s="312"/>
      <c r="J19" s="1069"/>
      <c r="K19" s="312"/>
      <c r="L19" s="1070"/>
      <c r="M19" s="1070"/>
      <c r="N19">
        <f t="shared" si="1"/>
        <v>-8</v>
      </c>
    </row>
    <row r="20" spans="2:14" ht="14.25" x14ac:dyDescent="0.2">
      <c r="B20" s="402">
        <f t="shared" si="2"/>
        <v>9</v>
      </c>
      <c r="C20" s="626" t="s">
        <v>650</v>
      </c>
      <c r="D20" s="626"/>
      <c r="E20" s="402">
        <f>SUMIFS(COT!$Q$168:$Q$2789,COT!$D$168:$D$2789,'Precios Equipos'!C20)</f>
        <v>16</v>
      </c>
      <c r="F20" s="631">
        <v>246</v>
      </c>
      <c r="G20" s="632">
        <f t="shared" si="0"/>
        <v>3936</v>
      </c>
      <c r="I20" s="312"/>
      <c r="J20" s="1069"/>
      <c r="K20" s="312"/>
      <c r="L20" s="1070"/>
      <c r="M20" s="1070"/>
      <c r="N20">
        <f t="shared" si="1"/>
        <v>-16</v>
      </c>
    </row>
    <row r="21" spans="2:14" ht="14.25" x14ac:dyDescent="0.2">
      <c r="B21" s="402">
        <f t="shared" si="2"/>
        <v>10</v>
      </c>
      <c r="C21" s="626" t="s">
        <v>651</v>
      </c>
      <c r="D21" s="626"/>
      <c r="E21" s="402">
        <f>SUMIFS(COT!$Q$168:$Q$2789,COT!$D$168:$D$2789,'Precios Equipos'!C21)</f>
        <v>41</v>
      </c>
      <c r="F21" s="631">
        <v>246</v>
      </c>
      <c r="G21" s="632">
        <f t="shared" si="0"/>
        <v>10086</v>
      </c>
      <c r="I21" s="312"/>
      <c r="J21" s="1069"/>
      <c r="K21" s="312"/>
      <c r="L21" s="1070"/>
      <c r="M21" s="1070"/>
      <c r="N21">
        <f t="shared" si="1"/>
        <v>-41</v>
      </c>
    </row>
    <row r="22" spans="2:14" ht="14.25" x14ac:dyDescent="0.2">
      <c r="B22" s="402">
        <f t="shared" si="2"/>
        <v>11</v>
      </c>
      <c r="C22" s="626" t="s">
        <v>652</v>
      </c>
      <c r="D22" s="626"/>
      <c r="E22" s="402">
        <f>SUMIFS(COT!$Q$168:$Q$2789,COT!$D$168:$D$2789,'Precios Equipos'!C22)</f>
        <v>2</v>
      </c>
      <c r="F22" s="631">
        <v>255</v>
      </c>
      <c r="G22" s="632">
        <f t="shared" ref="G22" si="5">+F22*E22</f>
        <v>510</v>
      </c>
      <c r="I22" s="312"/>
      <c r="J22" s="1069"/>
      <c r="K22" s="312"/>
      <c r="L22" s="1070"/>
      <c r="M22" s="1070"/>
      <c r="N22">
        <f t="shared" si="1"/>
        <v>-2</v>
      </c>
    </row>
    <row r="23" spans="2:14" ht="14.25" x14ac:dyDescent="0.2">
      <c r="B23" s="402">
        <f t="shared" si="2"/>
        <v>12</v>
      </c>
      <c r="C23" s="626" t="s">
        <v>653</v>
      </c>
      <c r="D23" s="626"/>
      <c r="E23" s="402">
        <f>SUMIFS(COT!$Q$168:$Q$2789,COT!$D$168:$D$2789,'Precios Equipos'!C23)</f>
        <v>12</v>
      </c>
      <c r="F23" s="631">
        <f>1234*G5*G6*1.35</f>
        <v>978.88283999999999</v>
      </c>
      <c r="G23" s="632">
        <f>+F23*E23</f>
        <v>11746.594079999999</v>
      </c>
      <c r="I23" s="312"/>
      <c r="J23" s="1069"/>
      <c r="K23" s="312"/>
      <c r="L23" s="1070"/>
      <c r="M23" s="1070"/>
      <c r="N23">
        <f t="shared" si="1"/>
        <v>-12</v>
      </c>
    </row>
    <row r="24" spans="2:14" ht="14.25" x14ac:dyDescent="0.2">
      <c r="B24" s="402">
        <f t="shared" si="2"/>
        <v>13</v>
      </c>
      <c r="C24" s="626" t="s">
        <v>654</v>
      </c>
      <c r="D24" s="626"/>
      <c r="E24" s="402">
        <f>SUMIFS(COT!$Q$168:$Q$2789,COT!$D$168:$D$2789,'Precios Equipos'!C24)</f>
        <v>12</v>
      </c>
      <c r="F24" s="631">
        <v>382</v>
      </c>
      <c r="G24" s="632">
        <f>+F24*E24</f>
        <v>4584</v>
      </c>
      <c r="I24" s="312"/>
      <c r="J24" s="1069"/>
      <c r="K24" s="312"/>
      <c r="L24" s="1070"/>
      <c r="M24" s="1070"/>
      <c r="N24">
        <f t="shared" si="1"/>
        <v>-12</v>
      </c>
    </row>
    <row r="25" spans="2:14" ht="14.25" x14ac:dyDescent="0.2">
      <c r="B25" s="402">
        <f t="shared" si="2"/>
        <v>14</v>
      </c>
      <c r="C25" s="626" t="s">
        <v>655</v>
      </c>
      <c r="D25" s="626"/>
      <c r="E25" s="402">
        <f>SUMIFS(COT!$Q$168:$Q$2789,COT!$D$168:$D$2789,'Precios Equipos'!C25)</f>
        <v>1</v>
      </c>
      <c r="F25" s="631">
        <v>4140</v>
      </c>
      <c r="G25" s="632">
        <f t="shared" ref="G25:G36" si="6">+F25*E25</f>
        <v>4140</v>
      </c>
      <c r="I25" s="312"/>
      <c r="J25" s="1069"/>
      <c r="K25" s="312"/>
      <c r="L25" s="1070"/>
      <c r="M25" s="1070"/>
      <c r="N25">
        <f t="shared" si="1"/>
        <v>-1</v>
      </c>
    </row>
    <row r="26" spans="2:14" ht="14.25" x14ac:dyDescent="0.2">
      <c r="B26" s="402">
        <f t="shared" si="2"/>
        <v>15</v>
      </c>
      <c r="C26" s="626" t="s">
        <v>693</v>
      </c>
      <c r="D26" s="626"/>
      <c r="E26" s="402">
        <f>SUMIFS(COT!$Q$168:$Q$2789,COT!$D$168:$D$2789,'Precios Equipos'!C26)</f>
        <v>115</v>
      </c>
      <c r="F26" s="631">
        <v>232.96</v>
      </c>
      <c r="G26" s="632">
        <f t="shared" si="6"/>
        <v>26790.400000000001</v>
      </c>
      <c r="I26" s="312"/>
      <c r="J26" s="1069"/>
      <c r="K26" s="312"/>
      <c r="L26" s="1070"/>
      <c r="M26" s="1070"/>
      <c r="N26">
        <f t="shared" si="1"/>
        <v>-115</v>
      </c>
    </row>
    <row r="27" spans="2:14" ht="14.25" x14ac:dyDescent="0.2">
      <c r="B27" s="402">
        <f t="shared" si="2"/>
        <v>16</v>
      </c>
      <c r="C27" s="626" t="s">
        <v>697</v>
      </c>
      <c r="D27" s="626"/>
      <c r="E27" s="402">
        <f>SUMIFS(COT!$Q$168:$Q$2789,COT!$D$168:$D$2789,'Precios Equipos'!C27)</f>
        <v>91</v>
      </c>
      <c r="F27" s="631">
        <v>232.96</v>
      </c>
      <c r="G27" s="632">
        <f t="shared" si="6"/>
        <v>21199.360000000001</v>
      </c>
      <c r="I27" s="312"/>
      <c r="J27" s="1069"/>
      <c r="K27" s="312"/>
      <c r="L27" s="1070"/>
      <c r="M27" s="1070"/>
      <c r="N27">
        <f t="shared" si="1"/>
        <v>-91</v>
      </c>
    </row>
    <row r="28" spans="2:14" ht="14.25" x14ac:dyDescent="0.2">
      <c r="B28" s="402">
        <f t="shared" si="2"/>
        <v>17</v>
      </c>
      <c r="C28" s="626" t="s">
        <v>692</v>
      </c>
      <c r="D28" s="626"/>
      <c r="E28" s="402">
        <f>SUMIFS(COT!$Q$168:$Q$2789,COT!$D$168:$D$2789,'Precios Equipos'!C28)</f>
        <v>61</v>
      </c>
      <c r="F28" s="631">
        <v>232.96</v>
      </c>
      <c r="G28" s="632">
        <f t="shared" si="6"/>
        <v>14210.560000000001</v>
      </c>
      <c r="I28" s="312"/>
      <c r="J28" s="1069"/>
      <c r="K28" s="312"/>
      <c r="L28" s="1070"/>
      <c r="M28" s="1070"/>
      <c r="N28">
        <f t="shared" si="1"/>
        <v>-61</v>
      </c>
    </row>
    <row r="29" spans="2:14" ht="14.25" x14ac:dyDescent="0.2">
      <c r="B29" s="402">
        <f t="shared" si="2"/>
        <v>18</v>
      </c>
      <c r="C29" s="626" t="s">
        <v>698</v>
      </c>
      <c r="D29" s="626"/>
      <c r="E29" s="402">
        <f>SUMIFS(COT!$Q$168:$Q$2789,COT!$D$168:$D$2789,'Precios Equipos'!C29)</f>
        <v>20</v>
      </c>
      <c r="F29" s="631">
        <v>250.64</v>
      </c>
      <c r="G29" s="632">
        <f t="shared" si="6"/>
        <v>5012.7999999999993</v>
      </c>
      <c r="I29" s="312"/>
      <c r="J29" s="1069"/>
      <c r="K29" s="312"/>
      <c r="L29" s="1070"/>
      <c r="M29" s="1070"/>
      <c r="N29">
        <f t="shared" si="1"/>
        <v>-20</v>
      </c>
    </row>
    <row r="30" spans="2:14" ht="14.25" x14ac:dyDescent="0.2">
      <c r="B30" s="402">
        <f t="shared" si="2"/>
        <v>19</v>
      </c>
      <c r="C30" s="626" t="s">
        <v>702</v>
      </c>
      <c r="D30" s="626"/>
      <c r="E30" s="402">
        <f>SUMIFS(COT!$Q$168:$Q$2789,COT!$D$168:$D$2789,'Precios Equipos'!C30)</f>
        <v>1</v>
      </c>
      <c r="F30" s="631">
        <v>190</v>
      </c>
      <c r="G30" s="632">
        <f t="shared" si="6"/>
        <v>190</v>
      </c>
      <c r="I30" s="312"/>
      <c r="J30" s="1069"/>
      <c r="K30" s="312"/>
      <c r="L30" s="1070"/>
      <c r="M30" s="1070"/>
      <c r="N30">
        <f t="shared" si="1"/>
        <v>-1</v>
      </c>
    </row>
    <row r="31" spans="2:14" ht="14.25" x14ac:dyDescent="0.2">
      <c r="B31" s="402">
        <f t="shared" si="2"/>
        <v>20</v>
      </c>
      <c r="C31" s="626" t="s">
        <v>701</v>
      </c>
      <c r="D31" s="626"/>
      <c r="E31" s="402">
        <f>SUMIFS(COT!$Q$168:$Q$2789,COT!$D$168:$D$2789,'Precios Equipos'!C31)</f>
        <v>5</v>
      </c>
      <c r="F31" s="631">
        <v>190</v>
      </c>
      <c r="G31" s="632">
        <f t="shared" si="6"/>
        <v>950</v>
      </c>
      <c r="I31" s="312"/>
      <c r="J31" s="1069"/>
      <c r="K31" s="312"/>
      <c r="L31" s="1070"/>
      <c r="M31" s="1070"/>
      <c r="N31">
        <f t="shared" si="1"/>
        <v>-5</v>
      </c>
    </row>
    <row r="32" spans="2:14" ht="14.25" x14ac:dyDescent="0.2">
      <c r="B32" s="402">
        <f t="shared" si="2"/>
        <v>21</v>
      </c>
      <c r="C32" s="626" t="s">
        <v>700</v>
      </c>
      <c r="D32" s="626"/>
      <c r="E32" s="402">
        <f>SUMIFS(COT!$Q$168:$Q$2789,COT!$D$168:$D$2789,'Precios Equipos'!C32)</f>
        <v>1</v>
      </c>
      <c r="F32" s="631">
        <v>190</v>
      </c>
      <c r="G32" s="632">
        <f t="shared" si="6"/>
        <v>190</v>
      </c>
      <c r="I32" s="312"/>
      <c r="J32" s="1069"/>
      <c r="K32" s="312"/>
      <c r="L32" s="1070"/>
      <c r="M32" s="1070"/>
      <c r="N32">
        <f t="shared" si="1"/>
        <v>-1</v>
      </c>
    </row>
    <row r="33" spans="2:14" ht="14.25" x14ac:dyDescent="0.2">
      <c r="B33" s="402"/>
      <c r="C33" s="623" t="s">
        <v>785</v>
      </c>
      <c r="D33" s="623"/>
      <c r="E33" s="402"/>
      <c r="F33" s="631"/>
      <c r="G33" s="632"/>
      <c r="I33" s="312"/>
      <c r="J33" s="1067"/>
      <c r="K33" s="312"/>
      <c r="L33" s="1070"/>
      <c r="M33" s="1070"/>
      <c r="N33">
        <f t="shared" si="1"/>
        <v>0</v>
      </c>
    </row>
    <row r="34" spans="2:14" ht="14.25" x14ac:dyDescent="0.2">
      <c r="B34" s="402">
        <f>+B32+1</f>
        <v>22</v>
      </c>
      <c r="C34" s="626" t="s">
        <v>695</v>
      </c>
      <c r="D34" s="626"/>
      <c r="E34" s="402">
        <f>SUMIFS(COT!$Q$168:$Q$2789,COT!$D$168:$D$2789,'Precios Equipos'!C34)</f>
        <v>42</v>
      </c>
      <c r="F34" s="631">
        <v>190</v>
      </c>
      <c r="G34" s="632">
        <f t="shared" si="6"/>
        <v>7980</v>
      </c>
      <c r="I34" s="312"/>
      <c r="J34" s="1069"/>
      <c r="K34" s="312"/>
      <c r="L34" s="1070"/>
      <c r="M34" s="1070"/>
      <c r="N34">
        <f t="shared" si="1"/>
        <v>-42</v>
      </c>
    </row>
    <row r="35" spans="2:14" ht="14.25" x14ac:dyDescent="0.2">
      <c r="B35" s="402">
        <f>+B34+1</f>
        <v>23</v>
      </c>
      <c r="C35" s="626" t="s">
        <v>696</v>
      </c>
      <c r="D35" s="626"/>
      <c r="E35" s="402">
        <f>SUMIFS(COT!$Q$168:$Q$2789,COT!$D$168:$D$2789,'Precios Equipos'!C35)</f>
        <v>41</v>
      </c>
      <c r="F35" s="631">
        <v>41.8</v>
      </c>
      <c r="G35" s="632">
        <f t="shared" si="6"/>
        <v>1713.8</v>
      </c>
      <c r="I35" s="312"/>
      <c r="J35" s="1069"/>
      <c r="K35" s="312"/>
      <c r="L35" s="1070"/>
      <c r="M35" s="1070"/>
      <c r="N35">
        <f t="shared" si="1"/>
        <v>-41</v>
      </c>
    </row>
    <row r="36" spans="2:14" ht="14.25" x14ac:dyDescent="0.2">
      <c r="B36" s="402">
        <f t="shared" ref="B36:B37" si="7">+B35+1</f>
        <v>24</v>
      </c>
      <c r="C36" s="626" t="s">
        <v>703</v>
      </c>
      <c r="D36" s="626"/>
      <c r="E36" s="402">
        <f>SUMIFS(COT!$Q$168:$Q$2789,COT!$D$168:$D$2789,'Precios Equipos'!C36)</f>
        <v>1</v>
      </c>
      <c r="F36" s="631">
        <v>1824</v>
      </c>
      <c r="G36" s="632">
        <f t="shared" si="6"/>
        <v>1824</v>
      </c>
      <c r="I36" s="312"/>
      <c r="J36" s="1069"/>
      <c r="K36" s="312"/>
      <c r="L36" s="1070"/>
      <c r="M36" s="1070"/>
      <c r="N36">
        <f t="shared" si="1"/>
        <v>-1</v>
      </c>
    </row>
    <row r="37" spans="2:14" ht="14.25" x14ac:dyDescent="0.2">
      <c r="B37" s="402">
        <f t="shared" si="7"/>
        <v>25</v>
      </c>
      <c r="C37" s="626" t="s">
        <v>806</v>
      </c>
      <c r="D37" s="626"/>
      <c r="E37" s="402">
        <f>SUMIFS(COT!$Q$168:$Q$2789,COT!$D$168:$D$2789,'Precios Equipos'!C37)</f>
        <v>0</v>
      </c>
      <c r="F37" s="631">
        <v>662.81</v>
      </c>
      <c r="G37" s="632">
        <f>+F37*E37</f>
        <v>0</v>
      </c>
      <c r="I37" s="312"/>
      <c r="J37" s="1069"/>
      <c r="K37" s="312"/>
      <c r="L37" s="1070"/>
      <c r="M37" s="1070"/>
      <c r="N37">
        <f t="shared" si="1"/>
        <v>0</v>
      </c>
    </row>
    <row r="38" spans="2:14" ht="14.25" x14ac:dyDescent="0.2">
      <c r="B38" s="402"/>
      <c r="C38" s="623" t="s">
        <v>620</v>
      </c>
      <c r="D38" s="623"/>
      <c r="E38" s="402"/>
      <c r="F38" s="631"/>
      <c r="G38" s="632"/>
      <c r="I38" s="312"/>
      <c r="J38" s="1067"/>
      <c r="K38" s="312"/>
      <c r="L38" s="1070"/>
      <c r="M38" s="1070"/>
      <c r="N38">
        <f t="shared" si="1"/>
        <v>0</v>
      </c>
    </row>
    <row r="39" spans="2:14" ht="14.25" x14ac:dyDescent="0.2">
      <c r="B39" s="402">
        <f>+B37+1</f>
        <v>26</v>
      </c>
      <c r="C39" s="626" t="s">
        <v>616</v>
      </c>
      <c r="D39" s="626"/>
      <c r="E39" s="402">
        <f>SUMIFS(COT!$Q$168:$Q$2789,COT!$D$168:$D$2789,'Precios Equipos'!C39)</f>
        <v>2</v>
      </c>
      <c r="F39" s="631">
        <v>123</v>
      </c>
      <c r="G39" s="632">
        <f>+F39*E39</f>
        <v>246</v>
      </c>
      <c r="I39" s="312"/>
      <c r="J39" s="1069"/>
      <c r="K39" s="312"/>
      <c r="L39" s="1070"/>
      <c r="M39" s="1070"/>
      <c r="N39">
        <f t="shared" si="1"/>
        <v>-2</v>
      </c>
    </row>
    <row r="40" spans="2:14" ht="14.25" x14ac:dyDescent="0.2">
      <c r="B40" s="402">
        <f>+B39+1</f>
        <v>27</v>
      </c>
      <c r="C40" s="626" t="s">
        <v>615</v>
      </c>
      <c r="D40" s="626"/>
      <c r="E40" s="402">
        <f>SUMIFS(COT!$Q$168:$Q$2789,COT!$D$168:$D$2789,'Precios Equipos'!C40)</f>
        <v>9</v>
      </c>
      <c r="F40" s="631">
        <v>123</v>
      </c>
      <c r="G40" s="632">
        <f>+F40*E40</f>
        <v>1107</v>
      </c>
      <c r="I40" s="312"/>
      <c r="J40" s="1069"/>
      <c r="K40" s="312"/>
      <c r="L40" s="1070"/>
      <c r="M40" s="1070"/>
      <c r="N40">
        <f t="shared" si="1"/>
        <v>-9</v>
      </c>
    </row>
    <row r="41" spans="2:14" ht="14.25" x14ac:dyDescent="0.2">
      <c r="B41" s="402">
        <f t="shared" ref="B41:B46" si="8">+B40+1</f>
        <v>28</v>
      </c>
      <c r="C41" s="626" t="s">
        <v>614</v>
      </c>
      <c r="D41" s="626"/>
      <c r="E41" s="402">
        <f>SUMIFS(COT!$Q$168:$Q$2789,COT!$D$168:$D$2789,'Precios Equipos'!C41)</f>
        <v>24</v>
      </c>
      <c r="F41" s="631">
        <v>132</v>
      </c>
      <c r="G41" s="632">
        <f>+F41*E41</f>
        <v>3168</v>
      </c>
      <c r="I41" s="312"/>
      <c r="J41" s="1069"/>
      <c r="K41" s="312"/>
      <c r="L41" s="1070"/>
      <c r="M41" s="1070"/>
      <c r="N41">
        <f t="shared" si="1"/>
        <v>-24</v>
      </c>
    </row>
    <row r="42" spans="2:14" ht="14.25" x14ac:dyDescent="0.2">
      <c r="B42" s="402">
        <f t="shared" si="8"/>
        <v>29</v>
      </c>
      <c r="C42" s="626" t="s">
        <v>612</v>
      </c>
      <c r="D42" s="626"/>
      <c r="E42" s="402">
        <f>SUMIFS(COT!$Q$168:$Q$2789,COT!$D$168:$D$2789,'Precios Equipos'!C42)</f>
        <v>78</v>
      </c>
      <c r="F42" s="631">
        <v>330</v>
      </c>
      <c r="G42" s="632">
        <f t="shared" ref="G42" si="9">+F42*E42</f>
        <v>25740</v>
      </c>
      <c r="I42" s="312"/>
      <c r="J42" s="1069"/>
      <c r="K42" s="312"/>
      <c r="L42" s="1070"/>
      <c r="M42" s="1070"/>
      <c r="N42">
        <f t="shared" si="1"/>
        <v>-78</v>
      </c>
    </row>
    <row r="43" spans="2:14" ht="14.25" x14ac:dyDescent="0.2">
      <c r="B43" s="402">
        <f t="shared" si="8"/>
        <v>30</v>
      </c>
      <c r="C43" s="626" t="s">
        <v>613</v>
      </c>
      <c r="D43" s="626"/>
      <c r="E43" s="402">
        <f>SUMIFS(COT!$Q$168:$Q$2789,COT!$D$168:$D$2789,'Precios Equipos'!C43)</f>
        <v>92</v>
      </c>
      <c r="F43" s="631">
        <v>405</v>
      </c>
      <c r="G43" s="632">
        <f t="shared" ref="G43" si="10">+F43*E43</f>
        <v>37260</v>
      </c>
      <c r="I43" s="312"/>
      <c r="J43" s="1069"/>
      <c r="K43" s="312"/>
      <c r="L43" s="1070"/>
      <c r="M43" s="1070"/>
      <c r="N43">
        <f t="shared" si="1"/>
        <v>-92</v>
      </c>
    </row>
    <row r="44" spans="2:14" ht="14.25" x14ac:dyDescent="0.2">
      <c r="B44" s="402">
        <f t="shared" si="8"/>
        <v>31</v>
      </c>
      <c r="C44" s="626" t="s">
        <v>611</v>
      </c>
      <c r="D44" s="626"/>
      <c r="E44" s="402">
        <f>SUMIFS(COT!$Q$168:$Q$2789,COT!$D$168:$D$2789,'Precios Equipos'!C44)</f>
        <v>48</v>
      </c>
      <c r="F44" s="631">
        <v>405</v>
      </c>
      <c r="G44" s="632">
        <f>+F44*E44</f>
        <v>19440</v>
      </c>
      <c r="H44" s="616"/>
      <c r="I44" s="312"/>
      <c r="J44" s="1069"/>
      <c r="K44" s="312"/>
      <c r="L44" s="1070"/>
      <c r="M44" s="1070"/>
      <c r="N44">
        <f t="shared" si="1"/>
        <v>-48</v>
      </c>
    </row>
    <row r="45" spans="2:14" ht="14.25" x14ac:dyDescent="0.2">
      <c r="B45" s="402">
        <f t="shared" si="8"/>
        <v>32</v>
      </c>
      <c r="C45" s="626" t="s">
        <v>610</v>
      </c>
      <c r="D45" s="626"/>
      <c r="E45" s="402">
        <f>SUMIFS(COT!$Q$168:$Q$2789,COT!$D$168:$D$2789,'Precios Equipos'!C45)</f>
        <v>6</v>
      </c>
      <c r="F45" s="631">
        <v>432</v>
      </c>
      <c r="G45" s="632">
        <f>+F45*E45</f>
        <v>2592</v>
      </c>
      <c r="H45" s="616"/>
      <c r="I45" s="312"/>
      <c r="J45" s="1069"/>
      <c r="K45" s="312"/>
      <c r="L45" s="1070"/>
      <c r="M45" s="1070"/>
      <c r="N45">
        <f t="shared" si="1"/>
        <v>-6</v>
      </c>
    </row>
    <row r="46" spans="2:14" ht="14.25" x14ac:dyDescent="0.2">
      <c r="B46" s="402">
        <f t="shared" si="8"/>
        <v>33</v>
      </c>
      <c r="C46" s="626" t="s">
        <v>609</v>
      </c>
      <c r="D46" s="626"/>
      <c r="E46" s="402">
        <f>SUMIFS(COT!$Q$168:$Q$2789,COT!$D$168:$D$2789,'Precios Equipos'!C46)</f>
        <v>72</v>
      </c>
      <c r="F46" s="631">
        <v>1320</v>
      </c>
      <c r="G46" s="632">
        <f>+F46*E46</f>
        <v>95040</v>
      </c>
      <c r="I46" s="312"/>
      <c r="J46" s="1069"/>
      <c r="K46" s="312"/>
      <c r="L46" s="1070"/>
      <c r="M46" s="1070"/>
      <c r="N46">
        <f t="shared" si="1"/>
        <v>-72</v>
      </c>
    </row>
    <row r="47" spans="2:14" ht="14.25" x14ac:dyDescent="0.2">
      <c r="B47" s="627"/>
      <c r="C47" s="623" t="s">
        <v>621</v>
      </c>
      <c r="D47" s="623"/>
      <c r="E47" s="627"/>
      <c r="F47" s="633"/>
      <c r="G47" s="634"/>
      <c r="I47" s="1066"/>
      <c r="J47" s="1067"/>
      <c r="K47" s="1066"/>
      <c r="L47" s="1071"/>
      <c r="M47" s="1071"/>
      <c r="N47">
        <f t="shared" si="1"/>
        <v>0</v>
      </c>
    </row>
    <row r="48" spans="2:14" ht="14.25" x14ac:dyDescent="0.2">
      <c r="B48" s="402">
        <f>+B46+1</f>
        <v>34</v>
      </c>
      <c r="C48" s="626" t="s">
        <v>578</v>
      </c>
      <c r="D48" s="626"/>
      <c r="E48" s="402">
        <f>SUMIFS(COT!$Q$168:$Q$2789,COT!$D$168:$D$2789,'Precios Equipos'!C48)</f>
        <v>162</v>
      </c>
      <c r="F48" s="631">
        <f>136*G5*G6</f>
        <v>79.913599999999988</v>
      </c>
      <c r="G48" s="632">
        <f t="shared" ref="G48:G51" si="11">+F48*E48</f>
        <v>12946.003199999997</v>
      </c>
      <c r="I48" s="312"/>
      <c r="J48" s="1069"/>
      <c r="K48" s="312"/>
      <c r="L48" s="1070"/>
      <c r="M48" s="1070"/>
      <c r="N48">
        <f t="shared" si="1"/>
        <v>-162</v>
      </c>
    </row>
    <row r="49" spans="2:14" ht="14.25" x14ac:dyDescent="0.2">
      <c r="B49" s="402">
        <f>+B48+1</f>
        <v>35</v>
      </c>
      <c r="C49" s="626" t="s">
        <v>623</v>
      </c>
      <c r="D49" s="626"/>
      <c r="E49" s="402">
        <f>SUMIFS(COT!$Q$168:$Q$2789,COT!$D$168:$D$2789,'Precios Equipos'!C49)</f>
        <v>0</v>
      </c>
      <c r="F49" s="631">
        <f>103*G5*G6</f>
        <v>60.522799999999997</v>
      </c>
      <c r="G49" s="632">
        <f t="shared" si="11"/>
        <v>0</v>
      </c>
      <c r="I49" s="312"/>
      <c r="J49" s="1069"/>
      <c r="K49" s="312"/>
      <c r="L49" s="1070"/>
      <c r="M49" s="1070"/>
      <c r="N49">
        <f t="shared" si="1"/>
        <v>0</v>
      </c>
    </row>
    <row r="50" spans="2:14" ht="14.25" x14ac:dyDescent="0.2">
      <c r="B50" s="402">
        <f t="shared" ref="B50:B51" si="12">+B49+1</f>
        <v>36</v>
      </c>
      <c r="C50" s="626" t="s">
        <v>579</v>
      </c>
      <c r="D50" s="626"/>
      <c r="E50" s="402">
        <f>SUMIFS(COT!$Q$168:$Q$2789,COT!$D$168:$D$2789,'Precios Equipos'!C50)</f>
        <v>263</v>
      </c>
      <c r="F50" s="631">
        <f>87*G5*G6</f>
        <v>51.121199999999995</v>
      </c>
      <c r="G50" s="632">
        <f t="shared" si="11"/>
        <v>13444.875599999999</v>
      </c>
      <c r="I50" s="312"/>
      <c r="J50" s="1069"/>
      <c r="K50" s="312"/>
      <c r="L50" s="1070"/>
      <c r="M50" s="1070"/>
      <c r="N50">
        <f t="shared" si="1"/>
        <v>-263</v>
      </c>
    </row>
    <row r="51" spans="2:14" ht="14.25" x14ac:dyDescent="0.2">
      <c r="B51" s="402">
        <f t="shared" si="12"/>
        <v>37</v>
      </c>
      <c r="C51" s="626" t="s">
        <v>787</v>
      </c>
      <c r="D51" s="626"/>
      <c r="E51" s="402">
        <f>SUMIFS(COT!$Q$168:$Q$2789,COT!$D$168:$D$2789,'Precios Equipos'!C51)</f>
        <v>42</v>
      </c>
      <c r="F51" s="631">
        <v>19</v>
      </c>
      <c r="G51" s="632">
        <f t="shared" si="11"/>
        <v>798</v>
      </c>
      <c r="I51" s="312"/>
      <c r="J51" s="1069"/>
      <c r="K51" s="312"/>
      <c r="L51" s="1070"/>
      <c r="M51" s="1070"/>
      <c r="N51">
        <f t="shared" si="1"/>
        <v>-42</v>
      </c>
    </row>
    <row r="52" spans="2:14" ht="14.25" x14ac:dyDescent="0.2">
      <c r="B52" s="627"/>
      <c r="C52" s="623" t="s">
        <v>622</v>
      </c>
      <c r="D52" s="623"/>
      <c r="E52" s="627"/>
      <c r="F52" s="635"/>
      <c r="G52" s="634"/>
      <c r="I52" s="1066"/>
      <c r="J52" s="1067"/>
      <c r="K52" s="1066"/>
      <c r="L52" s="1072"/>
      <c r="M52" s="1071"/>
      <c r="N52">
        <f t="shared" si="1"/>
        <v>0</v>
      </c>
    </row>
    <row r="53" spans="2:14" ht="14.25" x14ac:dyDescent="0.2">
      <c r="B53" s="402">
        <f>+B51+1</f>
        <v>38</v>
      </c>
      <c r="C53" s="626" t="s">
        <v>1048</v>
      </c>
      <c r="D53" s="626"/>
      <c r="E53" s="402">
        <f>SUMIFS(COT!$Q$168:$Q$2789,COT!$D$168:$D$2789,'Precios Equipos'!C53)</f>
        <v>8</v>
      </c>
      <c r="F53" s="631">
        <f>710.94</f>
        <v>710.94</v>
      </c>
      <c r="G53" s="632">
        <f t="shared" ref="G53:G56" si="13">+F53*E53</f>
        <v>5687.52</v>
      </c>
      <c r="I53" s="312"/>
      <c r="J53" s="1069"/>
      <c r="K53" s="312"/>
      <c r="L53" s="1070"/>
      <c r="M53" s="1070"/>
      <c r="N53">
        <f t="shared" si="1"/>
        <v>-8</v>
      </c>
    </row>
    <row r="54" spans="2:14" ht="14.25" x14ac:dyDescent="0.2">
      <c r="B54" s="402">
        <f>+B53+1</f>
        <v>39</v>
      </c>
      <c r="C54" s="626" t="s">
        <v>1047</v>
      </c>
      <c r="D54" s="626"/>
      <c r="E54" s="402">
        <f>SUMIFS(COT!$Q$168:$Q$2789,COT!$D$168:$D$2789,'Precios Equipos'!C54)</f>
        <v>8</v>
      </c>
      <c r="F54" s="631">
        <v>199.21</v>
      </c>
      <c r="G54" s="632">
        <f t="shared" si="13"/>
        <v>1593.68</v>
      </c>
      <c r="I54" s="312"/>
      <c r="J54" s="1069"/>
      <c r="K54" s="312"/>
      <c r="L54" s="1070"/>
      <c r="M54" s="1070"/>
      <c r="N54">
        <f t="shared" si="1"/>
        <v>-8</v>
      </c>
    </row>
    <row r="55" spans="2:14" ht="14.25" x14ac:dyDescent="0.2">
      <c r="B55" s="402">
        <f t="shared" ref="B55:B56" si="14">+B54+1</f>
        <v>40</v>
      </c>
      <c r="C55" s="626" t="s">
        <v>577</v>
      </c>
      <c r="D55" s="626"/>
      <c r="E55" s="402">
        <f>SUMIFS(COT!$Q$168:$Q$2789,COT!$D$168:$D$2789,'Precios Equipos'!C55)</f>
        <v>382</v>
      </c>
      <c r="F55" s="631">
        <v>158.54</v>
      </c>
      <c r="G55" s="632">
        <f t="shared" si="13"/>
        <v>60562.28</v>
      </c>
      <c r="I55" s="312"/>
      <c r="J55" s="1069"/>
      <c r="K55" s="312"/>
      <c r="L55" s="1070"/>
      <c r="M55" s="1070"/>
      <c r="N55">
        <f t="shared" si="1"/>
        <v>-382</v>
      </c>
    </row>
    <row r="56" spans="2:14" ht="14.25" x14ac:dyDescent="0.2">
      <c r="B56" s="402">
        <f t="shared" si="14"/>
        <v>41</v>
      </c>
      <c r="C56" s="626" t="s">
        <v>588</v>
      </c>
      <c r="D56" s="626"/>
      <c r="E56" s="402">
        <f>SUMIFS(COT!$Q$168:$Q$2789,COT!$D$168:$D$2789,'Precios Equipos'!C56)</f>
        <v>51</v>
      </c>
      <c r="F56" s="631">
        <f>325*G5*G6</f>
        <v>190.96999999999997</v>
      </c>
      <c r="G56" s="632">
        <f t="shared" si="13"/>
        <v>9739.4699999999993</v>
      </c>
      <c r="I56" s="312"/>
      <c r="J56" s="1069"/>
      <c r="K56" s="312"/>
      <c r="L56" s="1070"/>
      <c r="M56" s="1070"/>
      <c r="N56">
        <f t="shared" si="1"/>
        <v>-51</v>
      </c>
    </row>
    <row r="57" spans="2:14" ht="14.25" x14ac:dyDescent="0.2">
      <c r="B57" s="627"/>
      <c r="C57" s="623" t="s">
        <v>490</v>
      </c>
      <c r="D57" s="623"/>
      <c r="E57" s="627"/>
      <c r="F57" s="633"/>
      <c r="G57" s="634"/>
      <c r="I57" s="1066"/>
      <c r="J57" s="1067"/>
      <c r="K57" s="1066"/>
      <c r="L57" s="1071"/>
      <c r="M57" s="1071"/>
      <c r="N57">
        <f t="shared" si="1"/>
        <v>0</v>
      </c>
    </row>
    <row r="58" spans="2:14" ht="14.25" x14ac:dyDescent="0.2">
      <c r="B58" s="402">
        <f>+B56+1</f>
        <v>42</v>
      </c>
      <c r="C58" s="626" t="s">
        <v>565</v>
      </c>
      <c r="D58" s="626"/>
      <c r="E58" s="402">
        <f>SUMIFS(COT!$Q$168:$Q$2789,COT!$D$168:$D$2789,'Precios Equipos'!C58)</f>
        <v>213</v>
      </c>
      <c r="F58" s="631">
        <f>145*G5*G6</f>
        <v>85.201999999999998</v>
      </c>
      <c r="G58" s="632">
        <f>+F58*E58</f>
        <v>18148.025999999998</v>
      </c>
      <c r="I58" s="312"/>
      <c r="J58" s="1069"/>
      <c r="K58" s="312"/>
      <c r="L58" s="1070"/>
      <c r="M58" s="1070"/>
      <c r="N58">
        <f t="shared" si="1"/>
        <v>-213</v>
      </c>
    </row>
    <row r="59" spans="2:14" ht="14.25" x14ac:dyDescent="0.2">
      <c r="B59" s="402"/>
      <c r="C59" s="623" t="s">
        <v>624</v>
      </c>
      <c r="D59" s="623"/>
      <c r="E59" s="402"/>
      <c r="F59" s="631"/>
      <c r="G59" s="632"/>
      <c r="I59" s="312"/>
      <c r="J59" s="1067"/>
      <c r="K59" s="312"/>
      <c r="L59" s="1070"/>
      <c r="M59" s="1070"/>
      <c r="N59">
        <f t="shared" si="1"/>
        <v>0</v>
      </c>
    </row>
    <row r="60" spans="2:14" ht="14.25" x14ac:dyDescent="0.2">
      <c r="B60" s="402">
        <f>+B58+1</f>
        <v>43</v>
      </c>
      <c r="C60" s="626" t="s">
        <v>617</v>
      </c>
      <c r="D60" s="626"/>
      <c r="E60" s="402">
        <f>SUMIFS(COT!$Q$168:$Q$2789,COT!$D$168:$D$2789,'Precios Equipos'!C60)</f>
        <v>405</v>
      </c>
      <c r="F60" s="631">
        <f>45*3.8*1.5</f>
        <v>256.5</v>
      </c>
      <c r="G60" s="632">
        <f t="shared" ref="G60:G86" si="15">+F60*E60</f>
        <v>103882.5</v>
      </c>
      <c r="I60" s="312"/>
      <c r="J60" s="1069"/>
      <c r="K60" s="312"/>
      <c r="L60" s="1070"/>
      <c r="M60" s="1070"/>
      <c r="N60">
        <f t="shared" si="1"/>
        <v>-405</v>
      </c>
    </row>
    <row r="61" spans="2:14" ht="14.25" x14ac:dyDescent="0.2">
      <c r="B61" s="402">
        <f>+B60+1</f>
        <v>44</v>
      </c>
      <c r="C61" s="626" t="s">
        <v>618</v>
      </c>
      <c r="D61" s="626"/>
      <c r="E61" s="402">
        <f>SUMIFS(COT!$Q$168:$Q$2789,COT!$D$168:$D$2789,'Precios Equipos'!C61)</f>
        <v>59</v>
      </c>
      <c r="F61" s="631">
        <f>45*3.8*1.5</f>
        <v>256.5</v>
      </c>
      <c r="G61" s="632">
        <f t="shared" si="15"/>
        <v>15133.5</v>
      </c>
      <c r="I61" s="312"/>
      <c r="J61" s="1069"/>
      <c r="K61" s="312"/>
      <c r="L61" s="1070"/>
      <c r="M61" s="1070"/>
      <c r="N61">
        <f t="shared" si="1"/>
        <v>-59</v>
      </c>
    </row>
    <row r="62" spans="2:14" ht="14.25" x14ac:dyDescent="0.2">
      <c r="B62" s="402">
        <f t="shared" ref="B62:B86" si="16">+B61+1</f>
        <v>45</v>
      </c>
      <c r="C62" s="626" t="s">
        <v>805</v>
      </c>
      <c r="D62" s="626"/>
      <c r="E62" s="402">
        <f>SUMIFS(COT!$Q$168:$Q$2789,COT!$D$168:$D$2789,'Precios Equipos'!C62)</f>
        <v>0</v>
      </c>
      <c r="F62" s="631">
        <v>530.02</v>
      </c>
      <c r="G62" s="632">
        <f t="shared" si="15"/>
        <v>0</v>
      </c>
      <c r="I62" s="312"/>
      <c r="J62" s="1069"/>
      <c r="K62" s="312"/>
      <c r="L62" s="1070"/>
      <c r="M62" s="1070"/>
      <c r="N62">
        <f t="shared" si="1"/>
        <v>0</v>
      </c>
    </row>
    <row r="63" spans="2:14" ht="14.25" x14ac:dyDescent="0.2">
      <c r="B63" s="402">
        <f t="shared" si="16"/>
        <v>46</v>
      </c>
      <c r="C63" s="626" t="s">
        <v>1031</v>
      </c>
      <c r="D63" s="626"/>
      <c r="E63" s="402">
        <f>SUMIFS(COT!$Q$168:$Q$2789,COT!$D$168:$D$2789,'Precios Equipos'!C63)</f>
        <v>38</v>
      </c>
      <c r="F63" s="631">
        <v>256.5</v>
      </c>
      <c r="G63" s="632">
        <f t="shared" si="15"/>
        <v>9747</v>
      </c>
      <c r="I63" s="312"/>
      <c r="J63" s="1069"/>
      <c r="K63" s="312"/>
      <c r="L63" s="1070"/>
      <c r="M63" s="1070"/>
      <c r="N63">
        <f t="shared" si="1"/>
        <v>-38</v>
      </c>
    </row>
    <row r="64" spans="2:14" ht="14.25" x14ac:dyDescent="0.2">
      <c r="B64" s="402">
        <f t="shared" si="16"/>
        <v>47</v>
      </c>
      <c r="C64" s="626" t="s">
        <v>906</v>
      </c>
      <c r="D64" s="626"/>
      <c r="E64" s="402">
        <f>SUMIFS(COT!$Q$168:$Q$2789,COT!$D$168:$D$2789,'Precios Equipos'!C64)</f>
        <v>148</v>
      </c>
      <c r="F64" s="631">
        <v>212</v>
      </c>
      <c r="G64" s="632">
        <f t="shared" si="15"/>
        <v>31376</v>
      </c>
      <c r="I64" s="312"/>
      <c r="J64" s="1069"/>
      <c r="K64" s="312"/>
      <c r="L64" s="1070"/>
      <c r="M64" s="1070"/>
      <c r="N64">
        <f t="shared" si="1"/>
        <v>-148</v>
      </c>
    </row>
    <row r="65" spans="2:14" ht="14.25" x14ac:dyDescent="0.2">
      <c r="B65" s="402">
        <f t="shared" si="16"/>
        <v>48</v>
      </c>
      <c r="C65" s="759" t="s">
        <v>905</v>
      </c>
      <c r="D65" s="759"/>
      <c r="E65" s="402">
        <f>SUMIFS(COT!$Q$168:$Q$2789,COT!$D$168:$D$2789,'Precios Equipos'!C65)</f>
        <v>145</v>
      </c>
      <c r="F65" s="631">
        <v>79.650000000000006</v>
      </c>
      <c r="G65" s="632">
        <f t="shared" si="15"/>
        <v>11549.25</v>
      </c>
      <c r="I65" s="312"/>
      <c r="J65" s="1073"/>
      <c r="K65" s="312"/>
      <c r="L65" s="1070"/>
      <c r="M65" s="1070"/>
      <c r="N65">
        <f t="shared" si="1"/>
        <v>-145</v>
      </c>
    </row>
    <row r="66" spans="2:14" ht="14.25" x14ac:dyDescent="0.2">
      <c r="B66" s="402">
        <f t="shared" si="16"/>
        <v>49</v>
      </c>
      <c r="C66" s="626" t="s">
        <v>786</v>
      </c>
      <c r="D66" s="626"/>
      <c r="E66" s="402">
        <f>SUMIFS(COT!$Q$168:$Q$2789,COT!$D$168:$D$2789,'Precios Equipos'!C66)</f>
        <v>127</v>
      </c>
      <c r="F66" s="631">
        <v>10</v>
      </c>
      <c r="G66" s="632">
        <f t="shared" si="15"/>
        <v>1270</v>
      </c>
      <c r="I66" s="312"/>
      <c r="J66" s="1069"/>
      <c r="K66" s="312"/>
      <c r="L66" s="1070"/>
      <c r="M66" s="1070"/>
      <c r="N66">
        <f t="shared" si="1"/>
        <v>-127</v>
      </c>
    </row>
    <row r="67" spans="2:14" ht="14.25" x14ac:dyDescent="0.2">
      <c r="B67" s="402">
        <f t="shared" si="16"/>
        <v>50</v>
      </c>
      <c r="C67" s="626" t="s">
        <v>625</v>
      </c>
      <c r="D67" s="626"/>
      <c r="E67" s="402">
        <f>SUMIFS(COT!$Q$168:$Q$2789,COT!$D$168:$D$2789,'Precios Equipos'!C67)</f>
        <v>880</v>
      </c>
      <c r="F67" s="631">
        <v>1.5</v>
      </c>
      <c r="G67" s="632">
        <f t="shared" si="15"/>
        <v>1320</v>
      </c>
      <c r="I67" s="312"/>
      <c r="J67" s="1069"/>
      <c r="K67" s="312"/>
      <c r="L67" s="1070"/>
      <c r="M67" s="1070"/>
      <c r="N67">
        <f t="shared" si="1"/>
        <v>-880</v>
      </c>
    </row>
    <row r="68" spans="2:14" ht="14.25" x14ac:dyDescent="0.2">
      <c r="B68" s="402">
        <f t="shared" si="16"/>
        <v>51</v>
      </c>
      <c r="C68" s="626" t="s">
        <v>626</v>
      </c>
      <c r="D68" s="626"/>
      <c r="E68" s="402">
        <f>SUMIFS(COT!$Q$168:$Q$2789,COT!$D$168:$D$2789,'Precios Equipos'!C68)</f>
        <v>440</v>
      </c>
      <c r="F68" s="631">
        <v>6.5</v>
      </c>
      <c r="G68" s="632">
        <f t="shared" si="15"/>
        <v>2860</v>
      </c>
      <c r="I68" s="312"/>
      <c r="J68" s="1069"/>
      <c r="K68" s="312"/>
      <c r="L68" s="1070"/>
      <c r="M68" s="1070"/>
      <c r="N68">
        <f t="shared" si="1"/>
        <v>-440</v>
      </c>
    </row>
    <row r="69" spans="2:14" ht="14.25" x14ac:dyDescent="0.2">
      <c r="B69" s="402">
        <f t="shared" si="16"/>
        <v>52</v>
      </c>
      <c r="C69" s="626" t="s">
        <v>581</v>
      </c>
      <c r="D69" s="626"/>
      <c r="E69" s="402">
        <f>SUMIFS(COT!$Q$168:$Q$2789,COT!$D$168:$D$2789,'Precios Equipos'!C69)</f>
        <v>34</v>
      </c>
      <c r="F69" s="631">
        <v>13.466101694915256</v>
      </c>
      <c r="G69" s="632">
        <f t="shared" si="15"/>
        <v>457.84745762711873</v>
      </c>
      <c r="I69" s="312"/>
      <c r="J69" s="1069"/>
      <c r="K69" s="312"/>
      <c r="L69" s="1070"/>
      <c r="M69" s="1070"/>
      <c r="N69">
        <f t="shared" si="1"/>
        <v>-34</v>
      </c>
    </row>
    <row r="70" spans="2:14" ht="14.25" x14ac:dyDescent="0.2">
      <c r="B70" s="402">
        <f t="shared" si="16"/>
        <v>53</v>
      </c>
      <c r="C70" s="626" t="s">
        <v>1032</v>
      </c>
      <c r="D70" s="626"/>
      <c r="E70" s="402">
        <f>SUMIFS(COT!$Q$168:$Q$2789,COT!$D$168:$D$2789,'Precios Equipos'!C70)</f>
        <v>42</v>
      </c>
      <c r="F70" s="631">
        <v>122.41</v>
      </c>
      <c r="G70" s="632">
        <f t="shared" si="15"/>
        <v>5141.22</v>
      </c>
      <c r="I70" s="312"/>
      <c r="J70" s="1069"/>
      <c r="K70" s="312"/>
      <c r="L70" s="1070"/>
      <c r="M70" s="1070"/>
      <c r="N70">
        <f t="shared" si="1"/>
        <v>-42</v>
      </c>
    </row>
    <row r="71" spans="2:14" ht="14.25" x14ac:dyDescent="0.2">
      <c r="B71" s="402">
        <f t="shared" si="16"/>
        <v>54</v>
      </c>
      <c r="C71" s="626" t="s">
        <v>690</v>
      </c>
      <c r="D71" s="626"/>
      <c r="E71" s="402">
        <f>SUMIFS(COT!$Q$168:$Q$2789,COT!$D$168:$D$2789,'Precios Equipos'!C71)</f>
        <v>42</v>
      </c>
      <c r="F71" s="631">
        <v>3</v>
      </c>
      <c r="G71" s="632">
        <f t="shared" si="15"/>
        <v>126</v>
      </c>
      <c r="I71" s="312"/>
      <c r="J71" s="1069"/>
      <c r="K71" s="312"/>
      <c r="L71" s="1070"/>
      <c r="M71" s="1070"/>
      <c r="N71">
        <f t="shared" si="1"/>
        <v>-42</v>
      </c>
    </row>
    <row r="72" spans="2:14" ht="14.25" x14ac:dyDescent="0.2">
      <c r="B72" s="402">
        <f t="shared" si="16"/>
        <v>55</v>
      </c>
      <c r="C72" s="626" t="s">
        <v>704</v>
      </c>
      <c r="D72" s="626"/>
      <c r="E72" s="402">
        <f>SUMIFS(COT!$Q$168:$Q$2789,COT!$D$168:$D$2789,'Precios Equipos'!C72)</f>
        <v>3</v>
      </c>
      <c r="F72" s="631">
        <v>49.4</v>
      </c>
      <c r="G72" s="632">
        <f t="shared" si="15"/>
        <v>148.19999999999999</v>
      </c>
      <c r="I72" s="312"/>
      <c r="J72" s="1069"/>
      <c r="K72" s="312"/>
      <c r="L72" s="1070"/>
      <c r="M72" s="1070"/>
      <c r="N72">
        <f t="shared" si="1"/>
        <v>-3</v>
      </c>
    </row>
    <row r="73" spans="2:14" ht="14.25" x14ac:dyDescent="0.2">
      <c r="B73" s="402">
        <f t="shared" si="16"/>
        <v>56</v>
      </c>
      <c r="C73" s="626" t="s">
        <v>582</v>
      </c>
      <c r="D73" s="626"/>
      <c r="E73" s="402">
        <f>SUMIFS(COT!$Q$168:$Q$2789,COT!$D$168:$D$2789,'Precios Equipos'!C73)</f>
        <v>17</v>
      </c>
      <c r="F73" s="631">
        <v>50</v>
      </c>
      <c r="G73" s="632">
        <f t="shared" si="15"/>
        <v>850</v>
      </c>
      <c r="I73" s="312"/>
      <c r="J73" s="1069"/>
      <c r="K73" s="312"/>
      <c r="L73" s="1070"/>
      <c r="M73" s="1070"/>
      <c r="N73">
        <f t="shared" si="1"/>
        <v>-17</v>
      </c>
    </row>
    <row r="74" spans="2:14" ht="14.25" x14ac:dyDescent="0.2">
      <c r="B74" s="402">
        <f t="shared" si="16"/>
        <v>57</v>
      </c>
      <c r="C74" s="626" t="s">
        <v>583</v>
      </c>
      <c r="D74" s="626"/>
      <c r="E74" s="402">
        <f>SUMIFS(COT!$Q$168:$Q$2789,COT!$D$168:$D$2789,'Precios Equipos'!C74)</f>
        <v>17</v>
      </c>
      <c r="F74" s="631">
        <v>15</v>
      </c>
      <c r="G74" s="632">
        <f t="shared" si="15"/>
        <v>255</v>
      </c>
      <c r="I74" s="312"/>
      <c r="J74" s="1069"/>
      <c r="K74" s="312"/>
      <c r="L74" s="1070"/>
      <c r="M74" s="1070"/>
      <c r="N74">
        <f t="shared" si="1"/>
        <v>-17</v>
      </c>
    </row>
    <row r="75" spans="2:14" ht="14.25" x14ac:dyDescent="0.2">
      <c r="B75" s="402">
        <f t="shared" si="16"/>
        <v>58</v>
      </c>
      <c r="C75" s="626" t="s">
        <v>673</v>
      </c>
      <c r="D75" s="626"/>
      <c r="E75" s="402">
        <f>SUMIFS(COT!$Q$168:$Q$2789,COT!$D$168:$D$2789,'Precios Equipos'!C75)</f>
        <v>497</v>
      </c>
      <c r="F75" s="631">
        <v>2</v>
      </c>
      <c r="G75" s="632">
        <f t="shared" si="15"/>
        <v>994</v>
      </c>
      <c r="I75" s="312"/>
      <c r="J75" s="1069"/>
      <c r="K75" s="312"/>
      <c r="L75" s="1070"/>
      <c r="M75" s="1070"/>
      <c r="N75">
        <f t="shared" si="1"/>
        <v>-497</v>
      </c>
    </row>
    <row r="76" spans="2:14" ht="14.25" x14ac:dyDescent="0.2">
      <c r="B76" s="402">
        <f t="shared" si="16"/>
        <v>59</v>
      </c>
      <c r="C76" s="626" t="s">
        <v>689</v>
      </c>
      <c r="D76" s="626"/>
      <c r="E76" s="402">
        <f>SUMIFS(COT!$Q$168:$Q$2789,COT!$D$168:$D$2789,'Precios Equipos'!C76)</f>
        <v>42</v>
      </c>
      <c r="F76" s="631">
        <v>5</v>
      </c>
      <c r="G76" s="632">
        <f t="shared" si="15"/>
        <v>210</v>
      </c>
      <c r="I76" s="312"/>
      <c r="J76" s="1069"/>
      <c r="K76" s="312"/>
      <c r="L76" s="1070"/>
      <c r="M76" s="1070"/>
      <c r="N76">
        <f t="shared" si="1"/>
        <v>-42</v>
      </c>
    </row>
    <row r="77" spans="2:14" ht="14.25" x14ac:dyDescent="0.2">
      <c r="B77" s="402">
        <f t="shared" si="16"/>
        <v>60</v>
      </c>
      <c r="C77" s="626" t="s">
        <v>694</v>
      </c>
      <c r="D77" s="626"/>
      <c r="E77" s="402">
        <f>SUMIFS(COT!$Q$168:$Q$2789,COT!$D$168:$D$2789,'Precios Equipos'!C77)</f>
        <v>42</v>
      </c>
      <c r="F77" s="631">
        <v>60</v>
      </c>
      <c r="G77" s="632">
        <f t="shared" si="15"/>
        <v>2520</v>
      </c>
      <c r="I77" s="312"/>
      <c r="J77" s="1069"/>
      <c r="K77" s="312"/>
      <c r="L77" s="1070"/>
      <c r="M77" s="1070"/>
      <c r="N77">
        <f t="shared" ref="N77:N104" si="17">+K77-E77</f>
        <v>-42</v>
      </c>
    </row>
    <row r="78" spans="2:14" ht="14.25" x14ac:dyDescent="0.2">
      <c r="B78" s="402">
        <f t="shared" si="16"/>
        <v>61</v>
      </c>
      <c r="C78" s="626" t="s">
        <v>742</v>
      </c>
      <c r="D78" s="626"/>
      <c r="E78" s="402">
        <f>SUMIFS(COT!$Q$168:$Q$2789,COT!$D$168:$D$2789,'Precios Equipos'!C78)</f>
        <v>0</v>
      </c>
      <c r="F78" s="631">
        <f>689.47+150</f>
        <v>839.47</v>
      </c>
      <c r="G78" s="632">
        <f t="shared" si="15"/>
        <v>0</v>
      </c>
      <c r="I78" s="312"/>
      <c r="J78" s="1069"/>
      <c r="K78" s="312"/>
      <c r="L78" s="1070"/>
      <c r="M78" s="1070"/>
      <c r="N78">
        <f t="shared" si="17"/>
        <v>0</v>
      </c>
    </row>
    <row r="79" spans="2:14" ht="14.25" x14ac:dyDescent="0.2">
      <c r="B79" s="402">
        <f t="shared" si="16"/>
        <v>62</v>
      </c>
      <c r="C79" s="626" t="s">
        <v>743</v>
      </c>
      <c r="D79" s="626"/>
      <c r="E79" s="402">
        <f>SUMIFS(COT!$Q$168:$Q$2789,COT!$D$168:$D$2789,'Precios Equipos'!C79)</f>
        <v>0</v>
      </c>
      <c r="F79" s="631">
        <f>691.89+150</f>
        <v>841.89</v>
      </c>
      <c r="G79" s="632">
        <f t="shared" si="15"/>
        <v>0</v>
      </c>
      <c r="I79" s="312"/>
      <c r="J79" s="1069"/>
      <c r="K79" s="312"/>
      <c r="L79" s="1070"/>
      <c r="M79" s="1070"/>
      <c r="N79">
        <f t="shared" si="17"/>
        <v>0</v>
      </c>
    </row>
    <row r="80" spans="2:14" ht="14.25" x14ac:dyDescent="0.2">
      <c r="B80" s="402">
        <f t="shared" si="16"/>
        <v>63</v>
      </c>
      <c r="C80" s="626" t="s">
        <v>804</v>
      </c>
      <c r="D80" s="626"/>
      <c r="E80" s="402">
        <f>SUMIFS(COT!$Q$168:$Q$2789,COT!$D$168:$D$2789,'Precios Equipos'!C80)</f>
        <v>0</v>
      </c>
      <c r="F80" s="631">
        <v>369.9</v>
      </c>
      <c r="G80" s="632">
        <f t="shared" si="15"/>
        <v>0</v>
      </c>
      <c r="I80" s="312"/>
      <c r="J80" s="1069"/>
      <c r="K80" s="312"/>
      <c r="L80" s="1070"/>
      <c r="M80" s="1070"/>
      <c r="N80">
        <f t="shared" si="17"/>
        <v>0</v>
      </c>
    </row>
    <row r="81" spans="2:14" ht="14.25" x14ac:dyDescent="0.2">
      <c r="B81" s="402">
        <f t="shared" si="16"/>
        <v>64</v>
      </c>
      <c r="C81" s="626" t="s">
        <v>807</v>
      </c>
      <c r="D81" s="626"/>
      <c r="E81" s="402">
        <f>SUMIFS(COT!$Q$168:$Q$2789,COT!$D$168:$D$2789,'Precios Equipos'!C81)</f>
        <v>0</v>
      </c>
      <c r="F81" s="631">
        <v>11.32</v>
      </c>
      <c r="G81" s="632">
        <f t="shared" si="15"/>
        <v>0</v>
      </c>
      <c r="I81" s="312"/>
      <c r="J81" s="1069"/>
      <c r="K81" s="312"/>
      <c r="L81" s="1070"/>
      <c r="M81" s="1070"/>
      <c r="N81">
        <f t="shared" si="17"/>
        <v>0</v>
      </c>
    </row>
    <row r="82" spans="2:14" ht="14.25" x14ac:dyDescent="0.2">
      <c r="B82" s="402">
        <f t="shared" si="16"/>
        <v>65</v>
      </c>
      <c r="C82" s="626" t="s">
        <v>808</v>
      </c>
      <c r="D82" s="626"/>
      <c r="E82" s="402">
        <f>SUMIFS(COT!$Q$168:$Q$2789,COT!$D$168:$D$2789,'Precios Equipos'!C82)</f>
        <v>0</v>
      </c>
      <c r="F82" s="631">
        <v>43.2</v>
      </c>
      <c r="G82" s="632">
        <f t="shared" si="15"/>
        <v>0</v>
      </c>
      <c r="I82" s="312"/>
      <c r="J82" s="1069"/>
      <c r="K82" s="312"/>
      <c r="L82" s="1070"/>
      <c r="M82" s="1070"/>
      <c r="N82">
        <f t="shared" si="17"/>
        <v>0</v>
      </c>
    </row>
    <row r="83" spans="2:14" ht="14.25" x14ac:dyDescent="0.2">
      <c r="B83" s="402">
        <f t="shared" si="16"/>
        <v>66</v>
      </c>
      <c r="C83" s="626" t="s">
        <v>744</v>
      </c>
      <c r="D83" s="626"/>
      <c r="E83" s="402">
        <f>SUMIFS(COT!$Q$168:$Q$2789,COT!$D$168:$D$2789,'Precios Equipos'!C83)</f>
        <v>0</v>
      </c>
      <c r="F83" s="631">
        <f>149.93+20</f>
        <v>169.93</v>
      </c>
      <c r="G83" s="632">
        <f t="shared" si="15"/>
        <v>0</v>
      </c>
      <c r="I83" s="312"/>
      <c r="J83" s="1069"/>
      <c r="K83" s="312"/>
      <c r="L83" s="1070"/>
      <c r="M83" s="1070"/>
      <c r="N83">
        <f t="shared" si="17"/>
        <v>0</v>
      </c>
    </row>
    <row r="84" spans="2:14" ht="14.25" x14ac:dyDescent="0.2">
      <c r="B84" s="402">
        <f t="shared" si="16"/>
        <v>67</v>
      </c>
      <c r="C84" s="626" t="s">
        <v>745</v>
      </c>
      <c r="D84" s="626"/>
      <c r="E84" s="402">
        <f>SUMIFS(COT!$Q$168:$Q$2789,COT!$D$168:$D$2789,'Precios Equipos'!C84)</f>
        <v>0</v>
      </c>
      <c r="F84" s="631">
        <f>149.93+20</f>
        <v>169.93</v>
      </c>
      <c r="G84" s="632">
        <f t="shared" si="15"/>
        <v>0</v>
      </c>
      <c r="I84" s="312"/>
      <c r="J84" s="1069"/>
      <c r="K84" s="312"/>
      <c r="L84" s="1070"/>
      <c r="M84" s="1070"/>
      <c r="N84">
        <f t="shared" si="17"/>
        <v>0</v>
      </c>
    </row>
    <row r="85" spans="2:14" ht="14.25" x14ac:dyDescent="0.2">
      <c r="B85" s="402">
        <f t="shared" si="16"/>
        <v>68</v>
      </c>
      <c r="C85" s="626" t="s">
        <v>746</v>
      </c>
      <c r="D85" s="626"/>
      <c r="E85" s="402">
        <f>SUMIFS(COT!$Q$168:$Q$2789,COT!$D$168:$D$2789,'Precios Equipos'!C85)</f>
        <v>0</v>
      </c>
      <c r="F85" s="631">
        <f>149.93+20</f>
        <v>169.93</v>
      </c>
      <c r="G85" s="632">
        <f t="shared" si="15"/>
        <v>0</v>
      </c>
      <c r="I85" s="312"/>
      <c r="J85" s="1069"/>
      <c r="K85" s="312"/>
      <c r="L85" s="1070"/>
      <c r="M85" s="1070"/>
      <c r="N85">
        <f t="shared" si="17"/>
        <v>0</v>
      </c>
    </row>
    <row r="86" spans="2:14" ht="14.25" x14ac:dyDescent="0.2">
      <c r="B86" s="402">
        <f t="shared" si="16"/>
        <v>69</v>
      </c>
      <c r="C86" s="626" t="s">
        <v>747</v>
      </c>
      <c r="D86" s="626"/>
      <c r="E86" s="402">
        <f>SUMIFS(COT!$Q$168:$Q$2789,COT!$D$168:$D$2789,'Precios Equipos'!C86)</f>
        <v>0</v>
      </c>
      <c r="F86" s="631">
        <f>166.13+20</f>
        <v>186.13</v>
      </c>
      <c r="G86" s="632">
        <f t="shared" si="15"/>
        <v>0</v>
      </c>
      <c r="I86" s="312"/>
      <c r="J86" s="1069"/>
      <c r="K86" s="312"/>
      <c r="L86" s="1070"/>
      <c r="M86" s="1070"/>
      <c r="N86">
        <f t="shared" si="17"/>
        <v>0</v>
      </c>
    </row>
    <row r="87" spans="2:14" ht="14.25" x14ac:dyDescent="0.2">
      <c r="B87" s="627"/>
      <c r="C87" s="629" t="s">
        <v>566</v>
      </c>
      <c r="D87" s="629"/>
      <c r="E87" s="627"/>
      <c r="F87" s="633"/>
      <c r="G87" s="634"/>
      <c r="I87" s="1066"/>
      <c r="J87" s="1074"/>
      <c r="K87" s="1066"/>
      <c r="L87" s="1071"/>
      <c r="M87" s="1071"/>
      <c r="N87">
        <f t="shared" si="17"/>
        <v>0</v>
      </c>
    </row>
    <row r="88" spans="2:14" ht="14.25" x14ac:dyDescent="0.2">
      <c r="B88" s="402">
        <f>+B86+1</f>
        <v>70</v>
      </c>
      <c r="C88" s="626" t="s">
        <v>627</v>
      </c>
      <c r="D88" s="626"/>
      <c r="E88" s="402">
        <f>SUMIFS(COT!$Q$168:$Q$2789,COT!$D$168:$D$2789,'Precios Equipos'!C88)</f>
        <v>24</v>
      </c>
      <c r="F88" s="631">
        <v>0</v>
      </c>
      <c r="G88" s="632">
        <f t="shared" ref="G88:G104" si="18">+F88*E88</f>
        <v>0</v>
      </c>
      <c r="I88" s="312"/>
      <c r="J88" s="1069"/>
      <c r="K88" s="312"/>
      <c r="L88" s="1070"/>
      <c r="M88" s="1070"/>
      <c r="N88">
        <f t="shared" si="17"/>
        <v>-24</v>
      </c>
    </row>
    <row r="89" spans="2:14" ht="14.25" x14ac:dyDescent="0.2">
      <c r="B89" s="402">
        <f>+B88+1</f>
        <v>71</v>
      </c>
      <c r="C89" s="626" t="s">
        <v>628</v>
      </c>
      <c r="D89" s="626"/>
      <c r="E89" s="402">
        <f>SUMIFS(COT!$Q$168:$Q$2789,COT!$D$168:$D$2789,'Precios Equipos'!C89)</f>
        <v>34</v>
      </c>
      <c r="F89" s="631">
        <v>0</v>
      </c>
      <c r="G89" s="632">
        <f t="shared" si="18"/>
        <v>0</v>
      </c>
      <c r="I89" s="312"/>
      <c r="J89" s="1069"/>
      <c r="K89" s="312"/>
      <c r="L89" s="1070"/>
      <c r="M89" s="1070"/>
      <c r="N89">
        <f t="shared" si="17"/>
        <v>-34</v>
      </c>
    </row>
    <row r="90" spans="2:14" ht="14.25" x14ac:dyDescent="0.2">
      <c r="B90" s="402">
        <f t="shared" ref="B90:B104" si="19">+B89+1</f>
        <v>72</v>
      </c>
      <c r="C90" s="626" t="s">
        <v>629</v>
      </c>
      <c r="D90" s="626"/>
      <c r="E90" s="402">
        <f>SUMIFS(COT!$Q$168:$Q$2789,COT!$D$168:$D$2789,'Precios Equipos'!C90)</f>
        <v>0</v>
      </c>
      <c r="F90" s="631">
        <f>195*G7*G8*G4</f>
        <v>1989</v>
      </c>
      <c r="G90" s="632">
        <f t="shared" si="18"/>
        <v>0</v>
      </c>
      <c r="I90" s="312"/>
      <c r="J90" s="1069"/>
      <c r="K90" s="312"/>
      <c r="L90" s="1070"/>
      <c r="M90" s="1070"/>
      <c r="N90">
        <f t="shared" si="17"/>
        <v>0</v>
      </c>
    </row>
    <row r="91" spans="2:14" ht="14.25" x14ac:dyDescent="0.2">
      <c r="B91" s="402">
        <f t="shared" si="19"/>
        <v>73</v>
      </c>
      <c r="C91" s="626" t="s">
        <v>630</v>
      </c>
      <c r="D91" s="626"/>
      <c r="E91" s="402">
        <f>SUMIFS(COT!$Q$168:$Q$2789,COT!$D$168:$D$2789,'Precios Equipos'!C91)</f>
        <v>26</v>
      </c>
      <c r="F91" s="631">
        <f>210*G7*G8*G4</f>
        <v>2142</v>
      </c>
      <c r="G91" s="632">
        <f t="shared" si="18"/>
        <v>55692</v>
      </c>
      <c r="I91" s="312"/>
      <c r="J91" s="1069"/>
      <c r="K91" s="312"/>
      <c r="L91" s="1070"/>
      <c r="M91" s="1070"/>
      <c r="N91">
        <f t="shared" si="17"/>
        <v>-26</v>
      </c>
    </row>
    <row r="92" spans="2:14" ht="14.25" x14ac:dyDescent="0.2">
      <c r="B92" s="402">
        <f t="shared" si="19"/>
        <v>74</v>
      </c>
      <c r="C92" s="626" t="s">
        <v>631</v>
      </c>
      <c r="D92" s="626"/>
      <c r="E92" s="402">
        <f>SUMIFS(COT!$Q$168:$Q$2789,COT!$D$168:$D$2789,'Precios Equipos'!C92)</f>
        <v>16</v>
      </c>
      <c r="F92" s="631">
        <f>245*G7*G8*G4</f>
        <v>2499</v>
      </c>
      <c r="G92" s="632">
        <f t="shared" si="18"/>
        <v>39984</v>
      </c>
      <c r="I92" s="312"/>
      <c r="J92" s="1069"/>
      <c r="K92" s="312"/>
      <c r="L92" s="1070"/>
      <c r="M92" s="1070"/>
      <c r="N92">
        <f t="shared" si="17"/>
        <v>-16</v>
      </c>
    </row>
    <row r="93" spans="2:14" ht="14.25" x14ac:dyDescent="0.2">
      <c r="B93" s="402">
        <f t="shared" si="19"/>
        <v>75</v>
      </c>
      <c r="C93" s="626" t="s">
        <v>817</v>
      </c>
      <c r="D93" s="626"/>
      <c r="E93" s="402">
        <f>SUMIFS(COT!$Q$168:$Q$2789,COT!$D$168:$D$2789,'Precios Equipos'!C93)</f>
        <v>24</v>
      </c>
      <c r="F93" s="631">
        <f>300*G7*G8*G4</f>
        <v>3060</v>
      </c>
      <c r="G93" s="632">
        <f t="shared" si="18"/>
        <v>73440</v>
      </c>
      <c r="I93" s="312"/>
      <c r="J93" s="1069"/>
      <c r="K93" s="312"/>
      <c r="L93" s="1070"/>
      <c r="M93" s="1070"/>
      <c r="N93">
        <f t="shared" si="17"/>
        <v>-24</v>
      </c>
    </row>
    <row r="94" spans="2:14" ht="14.25" x14ac:dyDescent="0.2">
      <c r="B94" s="402">
        <f t="shared" si="19"/>
        <v>76</v>
      </c>
      <c r="C94" s="626" t="s">
        <v>632</v>
      </c>
      <c r="D94" s="626"/>
      <c r="E94" s="402">
        <f>SUMIFS(COT!$Q$168:$Q$2789,COT!$D$168:$D$2789,'Precios Equipos'!C94)</f>
        <v>12</v>
      </c>
      <c r="F94" s="631">
        <f>380*G7*G8*G4</f>
        <v>3876</v>
      </c>
      <c r="G94" s="632">
        <f t="shared" si="18"/>
        <v>46512</v>
      </c>
      <c r="I94" s="312"/>
      <c r="J94" s="1069"/>
      <c r="K94" s="312"/>
      <c r="L94" s="1070"/>
      <c r="M94" s="1070"/>
      <c r="N94">
        <f t="shared" si="17"/>
        <v>-12</v>
      </c>
    </row>
    <row r="95" spans="2:14" ht="14.25" x14ac:dyDescent="0.2">
      <c r="B95" s="402">
        <f t="shared" si="19"/>
        <v>77</v>
      </c>
      <c r="C95" s="626" t="s">
        <v>633</v>
      </c>
      <c r="D95" s="626"/>
      <c r="E95" s="402">
        <f>SUMIFS(COT!$Q$168:$Q$2789,COT!$D$168:$D$2789,'Precios Equipos'!C95)</f>
        <v>30</v>
      </c>
      <c r="F95" s="631">
        <f>420*G7*G8*G4</f>
        <v>4284</v>
      </c>
      <c r="G95" s="632">
        <f t="shared" si="18"/>
        <v>128520</v>
      </c>
      <c r="I95" s="312"/>
      <c r="J95" s="1069"/>
      <c r="K95" s="312"/>
      <c r="L95" s="1070"/>
      <c r="M95" s="1070"/>
      <c r="N95">
        <f t="shared" si="17"/>
        <v>-30</v>
      </c>
    </row>
    <row r="96" spans="2:14" ht="14.25" x14ac:dyDescent="0.2">
      <c r="B96" s="402">
        <f t="shared" si="19"/>
        <v>78</v>
      </c>
      <c r="C96" s="626" t="s">
        <v>634</v>
      </c>
      <c r="D96" s="626"/>
      <c r="E96" s="402">
        <f>SUMIFS(COT!$Q$168:$Q$2789,COT!$D$168:$D$2789,'Precios Equipos'!C96)</f>
        <v>8</v>
      </c>
      <c r="F96" s="631">
        <v>0</v>
      </c>
      <c r="G96" s="632">
        <f t="shared" si="18"/>
        <v>0</v>
      </c>
      <c r="I96" s="312"/>
      <c r="J96" s="1069"/>
      <c r="K96" s="312"/>
      <c r="L96" s="1070"/>
      <c r="M96" s="1070"/>
      <c r="N96">
        <f t="shared" si="17"/>
        <v>-8</v>
      </c>
    </row>
    <row r="97" spans="2:14" ht="14.25" x14ac:dyDescent="0.2">
      <c r="B97" s="402">
        <f t="shared" si="19"/>
        <v>79</v>
      </c>
      <c r="C97" s="626" t="s">
        <v>635</v>
      </c>
      <c r="D97" s="626"/>
      <c r="E97" s="402">
        <f>SUMIFS(COT!$Q$168:$Q$2789,COT!$D$168:$D$2789,'Precios Equipos'!C97)</f>
        <v>4</v>
      </c>
      <c r="F97" s="631">
        <v>0</v>
      </c>
      <c r="G97" s="632">
        <f t="shared" si="18"/>
        <v>0</v>
      </c>
      <c r="I97" s="312"/>
      <c r="J97" s="1069"/>
      <c r="K97" s="312"/>
      <c r="L97" s="1070"/>
      <c r="M97" s="1070"/>
      <c r="N97">
        <f t="shared" si="17"/>
        <v>-4</v>
      </c>
    </row>
    <row r="98" spans="2:14" ht="14.25" x14ac:dyDescent="0.2">
      <c r="B98" s="402">
        <f t="shared" si="19"/>
        <v>80</v>
      </c>
      <c r="C98" s="626" t="s">
        <v>636</v>
      </c>
      <c r="D98" s="626"/>
      <c r="E98" s="402">
        <f>SUMIFS(COT!$Q$168:$Q$2789,COT!$D$168:$D$2789,'Precios Equipos'!C98)</f>
        <v>2</v>
      </c>
      <c r="F98" s="631">
        <v>0</v>
      </c>
      <c r="G98" s="632">
        <f t="shared" si="18"/>
        <v>0</v>
      </c>
      <c r="I98" s="312"/>
      <c r="J98" s="1069"/>
      <c r="K98" s="312"/>
      <c r="L98" s="1070"/>
      <c r="M98" s="1070"/>
      <c r="N98">
        <f t="shared" si="17"/>
        <v>-2</v>
      </c>
    </row>
    <row r="99" spans="2:14" ht="14.25" x14ac:dyDescent="0.2">
      <c r="B99" s="402">
        <f t="shared" si="19"/>
        <v>81</v>
      </c>
      <c r="C99" s="626" t="s">
        <v>637</v>
      </c>
      <c r="D99" s="626"/>
      <c r="E99" s="402">
        <f>SUMIFS(COT!$Q$168:$Q$2789,COT!$D$168:$D$2789,'Precios Equipos'!C99)</f>
        <v>6</v>
      </c>
      <c r="F99" s="631">
        <v>0</v>
      </c>
      <c r="G99" s="632">
        <f t="shared" si="18"/>
        <v>0</v>
      </c>
      <c r="I99" s="312"/>
      <c r="J99" s="1069"/>
      <c r="K99" s="312"/>
      <c r="L99" s="1070"/>
      <c r="M99" s="1070"/>
      <c r="N99">
        <f t="shared" si="17"/>
        <v>-6</v>
      </c>
    </row>
    <row r="100" spans="2:14" ht="14.25" x14ac:dyDescent="0.2">
      <c r="B100" s="402">
        <f t="shared" si="19"/>
        <v>82</v>
      </c>
      <c r="C100" s="626" t="s">
        <v>638</v>
      </c>
      <c r="D100" s="626"/>
      <c r="E100" s="402">
        <f>SUMIFS(COT!$Q$168:$Q$2789,COT!$D$168:$D$2789,'Precios Equipos'!C100)</f>
        <v>21</v>
      </c>
      <c r="F100" s="631">
        <v>0</v>
      </c>
      <c r="G100" s="632">
        <f t="shared" si="18"/>
        <v>0</v>
      </c>
      <c r="I100" s="312"/>
      <c r="J100" s="1069"/>
      <c r="K100" s="312"/>
      <c r="L100" s="1070"/>
      <c r="M100" s="1070"/>
      <c r="N100">
        <f t="shared" si="17"/>
        <v>-21</v>
      </c>
    </row>
    <row r="101" spans="2:14" ht="14.25" x14ac:dyDescent="0.2">
      <c r="B101" s="402">
        <f t="shared" si="19"/>
        <v>83</v>
      </c>
      <c r="C101" s="626" t="s">
        <v>639</v>
      </c>
      <c r="D101" s="626"/>
      <c r="E101" s="402">
        <f>SUMIFS(COT!$Q$168:$Q$2789,COT!$D$168:$D$2789,'Precios Equipos'!C101)</f>
        <v>42</v>
      </c>
      <c r="F101" s="631">
        <v>0</v>
      </c>
      <c r="G101" s="632">
        <f t="shared" si="18"/>
        <v>0</v>
      </c>
      <c r="I101" s="312"/>
      <c r="J101" s="1069"/>
      <c r="K101" s="312"/>
      <c r="L101" s="1070"/>
      <c r="M101" s="1070"/>
      <c r="N101">
        <f t="shared" si="17"/>
        <v>-42</v>
      </c>
    </row>
    <row r="102" spans="2:14" ht="14.25" x14ac:dyDescent="0.2">
      <c r="B102" s="402">
        <f t="shared" si="19"/>
        <v>84</v>
      </c>
      <c r="C102" s="626" t="s">
        <v>640</v>
      </c>
      <c r="D102" s="626"/>
      <c r="E102" s="402">
        <f>SUMIFS(COT!$Q$168:$Q$2789,COT!$D$168:$D$2789,'Precios Equipos'!C102)</f>
        <v>24</v>
      </c>
      <c r="F102" s="631">
        <v>0</v>
      </c>
      <c r="G102" s="632">
        <f t="shared" si="18"/>
        <v>0</v>
      </c>
      <c r="I102" s="312"/>
      <c r="J102" s="1069"/>
      <c r="K102" s="312"/>
      <c r="L102" s="1070"/>
      <c r="M102" s="1070"/>
      <c r="N102">
        <f t="shared" si="17"/>
        <v>-24</v>
      </c>
    </row>
    <row r="103" spans="2:14" ht="14.25" x14ac:dyDescent="0.2">
      <c r="B103" s="402">
        <f t="shared" si="19"/>
        <v>85</v>
      </c>
      <c r="C103" s="626" t="s">
        <v>641</v>
      </c>
      <c r="D103" s="626"/>
      <c r="E103" s="402">
        <f>SUMIFS(COT!$Q$168:$Q$2789,COT!$D$168:$D$2789,'Precios Equipos'!C103)</f>
        <v>3</v>
      </c>
      <c r="F103" s="631">
        <v>0</v>
      </c>
      <c r="G103" s="632">
        <f t="shared" si="18"/>
        <v>0</v>
      </c>
      <c r="I103" s="312"/>
      <c r="J103" s="1069"/>
      <c r="K103" s="312"/>
      <c r="L103" s="1070"/>
      <c r="M103" s="1070"/>
      <c r="N103">
        <f t="shared" si="17"/>
        <v>-3</v>
      </c>
    </row>
    <row r="104" spans="2:14" ht="15" thickBot="1" x14ac:dyDescent="0.25">
      <c r="B104" s="565">
        <f t="shared" si="19"/>
        <v>86</v>
      </c>
      <c r="C104" s="628" t="s">
        <v>642</v>
      </c>
      <c r="D104" s="628"/>
      <c r="E104" s="565">
        <f>SUMIFS(COT!$Q$168:$Q$2789,COT!$D$168:$D$2789,'Precios Equipos'!C104)</f>
        <v>36</v>
      </c>
      <c r="F104" s="636">
        <v>0</v>
      </c>
      <c r="G104" s="637">
        <f t="shared" si="18"/>
        <v>0</v>
      </c>
      <c r="I104" s="312"/>
      <c r="J104" s="1069"/>
      <c r="K104" s="312"/>
      <c r="L104" s="1070"/>
      <c r="M104" s="1070"/>
      <c r="N104">
        <f t="shared" si="17"/>
        <v>-36</v>
      </c>
    </row>
    <row r="105" spans="2:14" ht="14.25" hidden="1" x14ac:dyDescent="0.2">
      <c r="B105" s="312"/>
      <c r="C105" s="62"/>
      <c r="D105" s="62"/>
      <c r="E105" s="1150" t="s">
        <v>97</v>
      </c>
      <c r="F105" s="1151"/>
      <c r="G105" s="1061">
        <f>SUM(G25:G104)</f>
        <v>923702.29225762701</v>
      </c>
      <c r="I105" s="312"/>
      <c r="J105" s="62"/>
      <c r="K105" s="1141"/>
      <c r="L105" s="1141"/>
      <c r="M105" s="1075"/>
    </row>
    <row r="106" spans="2:14" ht="15" hidden="1" thickBot="1" x14ac:dyDescent="0.25">
      <c r="B106" s="312"/>
      <c r="C106" s="62"/>
      <c r="D106" s="62"/>
      <c r="E106" s="1152" t="s">
        <v>98</v>
      </c>
      <c r="F106" s="1153"/>
      <c r="G106" s="1062">
        <f>G105*0.18</f>
        <v>166266.41260637285</v>
      </c>
      <c r="I106" s="312"/>
      <c r="J106" s="62"/>
      <c r="K106" s="1141"/>
      <c r="L106" s="1141"/>
      <c r="M106" s="1075"/>
    </row>
    <row r="107" spans="2:14" ht="15" hidden="1" thickBot="1" x14ac:dyDescent="0.25">
      <c r="B107" s="312"/>
      <c r="C107" s="62"/>
      <c r="D107" s="62"/>
      <c r="E107" s="1148" t="s">
        <v>100</v>
      </c>
      <c r="F107" s="1149"/>
      <c r="G107" s="1063">
        <f>G105+G106</f>
        <v>1089968.704864</v>
      </c>
      <c r="I107" s="312"/>
      <c r="J107" s="62"/>
      <c r="K107" s="1142"/>
      <c r="L107" s="1142"/>
      <c r="M107" s="1076"/>
    </row>
    <row r="108" spans="2:14" ht="15" hidden="1" thickBot="1" x14ac:dyDescent="0.25">
      <c r="B108" s="62"/>
      <c r="C108" s="62"/>
      <c r="D108" s="62"/>
      <c r="E108" s="62"/>
      <c r="F108" s="313"/>
      <c r="G108" s="128"/>
    </row>
    <row r="109" spans="2:14" ht="24" hidden="1" customHeight="1" thickBot="1" x14ac:dyDescent="0.25">
      <c r="B109" s="502" t="s">
        <v>6</v>
      </c>
      <c r="C109" s="643" t="s">
        <v>204</v>
      </c>
      <c r="D109" s="1311"/>
      <c r="E109" s="504" t="s">
        <v>643</v>
      </c>
      <c r="F109" s="506" t="s">
        <v>606</v>
      </c>
      <c r="G109" s="507" t="s">
        <v>644</v>
      </c>
    </row>
    <row r="110" spans="2:14" ht="14.25" hidden="1" x14ac:dyDescent="0.2">
      <c r="B110" s="402"/>
      <c r="C110" s="644" t="s">
        <v>491</v>
      </c>
      <c r="D110" s="644"/>
      <c r="E110" s="402"/>
      <c r="F110" s="79"/>
      <c r="G110" s="80"/>
    </row>
    <row r="111" spans="2:14" ht="14.25" hidden="1" x14ac:dyDescent="0.2">
      <c r="B111" s="402">
        <f>+B104+1</f>
        <v>87</v>
      </c>
      <c r="C111" s="645" t="str">
        <f>+'Cobre por polos'!C9</f>
        <v>SISTEMA DE BARRAS 08-10 POLOS</v>
      </c>
      <c r="D111" s="645"/>
      <c r="E111" s="402">
        <f>COUNTIFS(COT!$L$168:$L$2603,'Precios Equipos'!C111)</f>
        <v>23</v>
      </c>
      <c r="F111" s="638">
        <f>+'Cobre por polos'!G9</f>
        <v>123.66533898305086</v>
      </c>
      <c r="G111" s="639">
        <f t="shared" ref="G111:G166" si="20">F111*E111</f>
        <v>2844.3027966101699</v>
      </c>
    </row>
    <row r="112" spans="2:14" ht="14.25" hidden="1" x14ac:dyDescent="0.2">
      <c r="B112" s="402">
        <f>+B111+1</f>
        <v>88</v>
      </c>
      <c r="C112" s="645" t="str">
        <f>'Cobre por polos'!C16</f>
        <v>SISTEMA DE BARRAS 10-12 POLOS</v>
      </c>
      <c r="D112" s="645"/>
      <c r="E112" s="402">
        <f>COUNTIFS(COT!$L$168:$L$2603,'Precios Equipos'!C112)</f>
        <v>3</v>
      </c>
      <c r="F112" s="638">
        <f>'Cobre por polos'!G16</f>
        <v>140.61449152542374</v>
      </c>
      <c r="G112" s="639">
        <f t="shared" si="20"/>
        <v>421.84347457627121</v>
      </c>
    </row>
    <row r="113" spans="2:7" ht="14.25" hidden="1" x14ac:dyDescent="0.2">
      <c r="B113" s="402">
        <f t="shared" ref="B113:B114" si="21">+B112+1</f>
        <v>89</v>
      </c>
      <c r="C113" s="645" t="str">
        <f>+'Cobre por polos'!C23</f>
        <v>SISTEMA DE BARRAS 14-16 POLOS</v>
      </c>
      <c r="D113" s="645"/>
      <c r="E113" s="402">
        <f>COUNTIFS(COT!$L$168:$L$2603,'Precios Equipos'!C113)</f>
        <v>6</v>
      </c>
      <c r="F113" s="638">
        <f>+'Cobre por polos'!G23</f>
        <v>157.56364406779664</v>
      </c>
      <c r="G113" s="639">
        <f t="shared" si="20"/>
        <v>945.38186440677987</v>
      </c>
    </row>
    <row r="114" spans="2:7" ht="14.25" hidden="1" x14ac:dyDescent="0.2">
      <c r="B114" s="402">
        <f t="shared" si="21"/>
        <v>90</v>
      </c>
      <c r="C114" s="645" t="str">
        <f>'Cobre por polos'!C30</f>
        <v>SISTEMA DE BARRAS 18-20 POLOS</v>
      </c>
      <c r="D114" s="645"/>
      <c r="E114" s="402">
        <f>COUNTIFS(COT!$L$168:$L$2603,'Precios Equipos'!C114)</f>
        <v>0</v>
      </c>
      <c r="F114" s="638">
        <f>'Cobre por polos'!G30</f>
        <v>179.51279661016952</v>
      </c>
      <c r="G114" s="639">
        <f t="shared" si="20"/>
        <v>0</v>
      </c>
    </row>
    <row r="115" spans="2:7" ht="14.25" hidden="1" x14ac:dyDescent="0.2">
      <c r="B115" s="402"/>
      <c r="C115" s="644" t="s">
        <v>492</v>
      </c>
      <c r="D115" s="644"/>
      <c r="E115" s="402"/>
      <c r="F115" s="638"/>
      <c r="G115" s="639"/>
    </row>
    <row r="116" spans="2:7" ht="14.25" hidden="1" x14ac:dyDescent="0.2">
      <c r="B116" s="402">
        <f>+B114+1</f>
        <v>91</v>
      </c>
      <c r="C116" s="916" t="str">
        <f>+'Cobre Autosoportado'!B21</f>
        <v>COBRE BUS BAR TIPO 1; 2; 3; 4; 4.1; 5; 7</v>
      </c>
      <c r="D116" s="916"/>
      <c r="E116" s="402">
        <f>COUNTIFS(COT!$L$168:$L$2603,'Precios Equipos'!C116)</f>
        <v>5</v>
      </c>
      <c r="F116" s="638">
        <f>+'Cobre Autosoportado'!H21</f>
        <v>437.67200000000003</v>
      </c>
      <c r="G116" s="639">
        <f t="shared" si="20"/>
        <v>2188.36</v>
      </c>
    </row>
    <row r="117" spans="2:7" ht="14.25" hidden="1" x14ac:dyDescent="0.2">
      <c r="B117" s="402">
        <f>+B116+1</f>
        <v>92</v>
      </c>
      <c r="C117" s="916" t="str">
        <f>+'Cobre Autosoportado'!B36</f>
        <v>COBRE BUS BAR TIPO 6</v>
      </c>
      <c r="D117" s="916"/>
      <c r="E117" s="402">
        <f>COUNTIFS(COT!$L$168:$L$2603,'Precios Equipos'!C117)</f>
        <v>2</v>
      </c>
      <c r="F117" s="638">
        <f>+'Cobre Autosoportado'!H36</f>
        <v>459.68700000000001</v>
      </c>
      <c r="G117" s="639">
        <f t="shared" si="20"/>
        <v>919.37400000000002</v>
      </c>
    </row>
    <row r="118" spans="2:7" ht="14.25" hidden="1" x14ac:dyDescent="0.2">
      <c r="B118" s="402"/>
      <c r="C118" s="916" t="str">
        <f>+'Cobre Autosoportado'!B51</f>
        <v>COBRE BUS BAR TIPO 8; 8.1 y 9.1</v>
      </c>
      <c r="D118" s="916"/>
      <c r="E118" s="402">
        <f>COUNTIFS(COT!$L$168:$L$2603,'Precios Equipos'!C118)</f>
        <v>1</v>
      </c>
      <c r="F118" s="638">
        <f>+'Cobre Autosoportado'!H51</f>
        <v>777.58100000000002</v>
      </c>
      <c r="G118" s="639">
        <f t="shared" si="20"/>
        <v>777.58100000000002</v>
      </c>
    </row>
    <row r="119" spans="2:7" ht="14.25" hidden="1" x14ac:dyDescent="0.2">
      <c r="B119" s="402"/>
      <c r="C119" s="916" t="str">
        <f>+'Cobre Autosoportado'!B66</f>
        <v>COBRE BUS BAR TIPO 9</v>
      </c>
      <c r="D119" s="916"/>
      <c r="E119" s="402">
        <f>COUNTIFS(COT!$L$168:$L$2603,'Precios Equipos'!C119)</f>
        <v>3</v>
      </c>
      <c r="F119" s="638">
        <f>+'Cobre Autosoportado'!H66</f>
        <v>1083.2108333333333</v>
      </c>
      <c r="G119" s="639">
        <f t="shared" si="20"/>
        <v>3249.6324999999997</v>
      </c>
    </row>
    <row r="120" spans="2:7" ht="14.25" hidden="1" x14ac:dyDescent="0.2">
      <c r="B120" s="402"/>
      <c r="C120" s="916" t="str">
        <f>+'Cobre Autosoportado'!B81</f>
        <v>COBRE BUS BAR TIPO 10; 10.1; 10.2; 11</v>
      </c>
      <c r="D120" s="916"/>
      <c r="E120" s="402">
        <f>COUNTIFS(COT!$L$168:$L$2603,'Precios Equipos'!C120)</f>
        <v>1</v>
      </c>
      <c r="F120" s="638">
        <f>+'Cobre Autosoportado'!H81</f>
        <v>1351.2839999999999</v>
      </c>
      <c r="G120" s="639">
        <f t="shared" si="20"/>
        <v>1351.2839999999999</v>
      </c>
    </row>
    <row r="121" spans="2:7" ht="14.25" hidden="1" x14ac:dyDescent="0.2">
      <c r="B121" s="402"/>
      <c r="C121" s="916" t="str">
        <f>+'Cobre Autosoportado'!B96</f>
        <v>COBRE BUS BAR TIPO 12 y 12.1</v>
      </c>
      <c r="D121" s="916"/>
      <c r="E121" s="402">
        <f>COUNTIFS(COT!$L$168:$L$2603,'Precios Equipos'!C121)</f>
        <v>4</v>
      </c>
      <c r="F121" s="638">
        <f>+'Cobre Autosoportado'!H96</f>
        <v>1646.6105</v>
      </c>
      <c r="G121" s="639">
        <f t="shared" si="20"/>
        <v>6586.442</v>
      </c>
    </row>
    <row r="122" spans="2:7" ht="14.25" hidden="1" x14ac:dyDescent="0.2">
      <c r="B122" s="402"/>
      <c r="C122" s="916" t="str">
        <f>+'Cobre Autosoportado'!B110</f>
        <v>COBRE BUS BAR TIPO 14 (C01;G01), (C02;G01), (C01;G03), (C02;G03), (C03;G01), (C03;G03)</v>
      </c>
      <c r="D122" s="916"/>
      <c r="E122" s="402">
        <f>COUNTIFS(COT!$L$168:$L$2603,'Precios Equipos'!C122)</f>
        <v>14</v>
      </c>
      <c r="F122" s="638">
        <f>+'Cobre Autosoportado'!H110</f>
        <v>1132.8544999999999</v>
      </c>
      <c r="G122" s="639">
        <f t="shared" si="20"/>
        <v>15859.963</v>
      </c>
    </row>
    <row r="123" spans="2:7" ht="14.25" hidden="1" x14ac:dyDescent="0.2">
      <c r="B123" s="402"/>
      <c r="C123" s="916" t="str">
        <f>+'Cobre Autosoportado'!B125</f>
        <v>COBRE BUS BAR TIPO 13 y TIPO 14 (C01;G02), (C01;G04), (C02;G02), (C02;G04), (C03;G02), (C03;G04)</v>
      </c>
      <c r="D123" s="916"/>
      <c r="E123" s="402">
        <f>COUNTIFS(COT!$L$168:$L$2603,'Precios Equipos'!C123)</f>
        <v>1</v>
      </c>
      <c r="F123" s="638">
        <f>+'Cobre Autosoportado'!H125</f>
        <v>1963.7738333333336</v>
      </c>
      <c r="G123" s="639">
        <f t="shared" si="20"/>
        <v>1963.7738333333336</v>
      </c>
    </row>
    <row r="124" spans="2:7" ht="14.25" hidden="1" x14ac:dyDescent="0.2">
      <c r="B124" s="402"/>
      <c r="C124" s="1047" t="s">
        <v>1024</v>
      </c>
      <c r="D124" s="1047"/>
      <c r="E124" s="402"/>
      <c r="F124" s="638"/>
      <c r="G124" s="639"/>
    </row>
    <row r="125" spans="2:7" ht="14.25" hidden="1" x14ac:dyDescent="0.2">
      <c r="B125" s="402"/>
      <c r="C125" s="916" t="str">
        <f>+'Cobre Autosoportado'!B138</f>
        <v>COBRE TABLERO ITEM 5.01</v>
      </c>
      <c r="D125" s="916"/>
      <c r="E125" s="402"/>
      <c r="F125" s="638">
        <f>+'Cobre Autosoportado'!H138</f>
        <v>1961.2921666666668</v>
      </c>
      <c r="G125" s="639"/>
    </row>
    <row r="126" spans="2:7" ht="14.25" hidden="1" x14ac:dyDescent="0.2">
      <c r="B126" s="402"/>
      <c r="C126" s="644" t="s">
        <v>1037</v>
      </c>
      <c r="D126" s="644"/>
      <c r="E126" s="402"/>
      <c r="F126" s="638"/>
      <c r="G126" s="639"/>
    </row>
    <row r="127" spans="2:7" ht="14.25" hidden="1" x14ac:dyDescent="0.2">
      <c r="B127" s="402">
        <f>+B125+1</f>
        <v>1</v>
      </c>
      <c r="C127" s="916" t="str">
        <f>+'Cobre Autosoportado'!B150</f>
        <v>COBRE TABLERO TFV-AC 08, 09, 10, 11</v>
      </c>
      <c r="D127" s="916"/>
      <c r="E127" s="402">
        <f>COUNTIFS(COT!$L$168:$L$2603,'Precios Equipos'!C127)</f>
        <v>6</v>
      </c>
      <c r="F127" s="638">
        <f>+'Cobre Autosoportado'!H150</f>
        <v>172.595</v>
      </c>
      <c r="G127" s="639">
        <f t="shared" ref="G127:G130" si="22">F127*E127</f>
        <v>1035.57</v>
      </c>
    </row>
    <row r="128" spans="2:7" ht="14.25" hidden="1" x14ac:dyDescent="0.2">
      <c r="B128" s="402">
        <f>+B127+1</f>
        <v>2</v>
      </c>
      <c r="C128" s="916" t="str">
        <f>+'Cobre Autosoportado'!B162</f>
        <v>COBRE TABLERO TFV-AC 09.1, 12.1, 14.1</v>
      </c>
      <c r="D128" s="916"/>
      <c r="E128" s="402">
        <f>COUNTIFS(COT!$L$168:$L$2603,'Precios Equipos'!C128)</f>
        <v>5</v>
      </c>
      <c r="F128" s="638">
        <f>+'Cobre Autosoportado'!H162</f>
        <v>304.19999999999993</v>
      </c>
      <c r="G128" s="639">
        <f t="shared" si="22"/>
        <v>1520.9999999999995</v>
      </c>
    </row>
    <row r="129" spans="2:7" ht="14.25" hidden="1" x14ac:dyDescent="0.2">
      <c r="B129" s="402"/>
      <c r="C129" s="916" t="str">
        <f>+'Cobre Autosoportado'!B174</f>
        <v>COBRE TABLERO TFV-AC 14 C2.1</v>
      </c>
      <c r="D129" s="916"/>
      <c r="E129" s="402">
        <f>COUNTIFS(COT!$L$168:$L$2603,'Precios Equipos'!C129)</f>
        <v>13</v>
      </c>
      <c r="F129" s="638">
        <f>+'Cobre Autosoportado'!H174</f>
        <v>430.18499999999995</v>
      </c>
      <c r="G129" s="639">
        <f t="shared" si="22"/>
        <v>5592.4049999999988</v>
      </c>
    </row>
    <row r="130" spans="2:7" ht="14.25" hidden="1" x14ac:dyDescent="0.2">
      <c r="B130" s="402"/>
      <c r="C130" s="916">
        <f>+'Cobre Autosoportado'!B77</f>
        <v>6</v>
      </c>
      <c r="D130" s="916"/>
      <c r="E130" s="402">
        <f>COUNTIFS(COT!$L$168:$L$2603,'Precios Equipos'!C130)</f>
        <v>0</v>
      </c>
      <c r="F130" s="638">
        <f>+'Cobre Autosoportado'!H77</f>
        <v>50</v>
      </c>
      <c r="G130" s="639">
        <f t="shared" si="22"/>
        <v>0</v>
      </c>
    </row>
    <row r="131" spans="2:7" ht="14.25" hidden="1" x14ac:dyDescent="0.2">
      <c r="B131" s="402"/>
      <c r="C131" s="644" t="s">
        <v>494</v>
      </c>
      <c r="D131" s="644"/>
      <c r="E131" s="402"/>
      <c r="F131" s="638"/>
      <c r="G131" s="639"/>
    </row>
    <row r="132" spans="2:7" ht="14.25" hidden="1" x14ac:dyDescent="0.2">
      <c r="B132" s="402">
        <f>+B117+1</f>
        <v>93</v>
      </c>
      <c r="C132" s="645" t="str">
        <f>+Cableado!C35</f>
        <v>CABLEADO 1 DIFERENCIALES, 2P</v>
      </c>
      <c r="D132" s="645"/>
      <c r="E132" s="402">
        <f>COUNTIFS(COT!$L$168:$L$2603,'Precios Equipos'!C132)</f>
        <v>37</v>
      </c>
      <c r="F132" s="638">
        <f>+Cableado!G35</f>
        <v>19.149999999999999</v>
      </c>
      <c r="G132" s="639">
        <f t="shared" si="20"/>
        <v>708.55</v>
      </c>
    </row>
    <row r="133" spans="2:7" ht="14.25" hidden="1" x14ac:dyDescent="0.2">
      <c r="B133" s="402"/>
      <c r="C133" s="645" t="str">
        <f>+Cableado!C36</f>
        <v>CABLEADO 2 DIFERENCIALES, 2P</v>
      </c>
      <c r="D133" s="645"/>
      <c r="E133" s="402">
        <f>COUNTIFS(COT!$L$168:$L$2603,'Precios Equipos'!C133)</f>
        <v>4</v>
      </c>
      <c r="F133" s="638">
        <f>+Cableado!G36</f>
        <v>23.31</v>
      </c>
      <c r="G133" s="639">
        <f t="shared" si="20"/>
        <v>93.24</v>
      </c>
    </row>
    <row r="134" spans="2:7" ht="14.25" hidden="1" x14ac:dyDescent="0.2">
      <c r="B134" s="402"/>
      <c r="C134" s="645" t="str">
        <f>+Cableado!C37</f>
        <v>CABLEADO 3 DIFERENCIALES, 2P</v>
      </c>
      <c r="D134" s="645"/>
      <c r="E134" s="402">
        <f>COUNTIFS(COT!$L$168:$L$2603,'Precios Equipos'!C134)</f>
        <v>3</v>
      </c>
      <c r="F134" s="638">
        <f>+Cableado!G37</f>
        <v>27.46</v>
      </c>
      <c r="G134" s="639">
        <f>F134*E134</f>
        <v>82.38</v>
      </c>
    </row>
    <row r="135" spans="2:7" ht="14.25" hidden="1" x14ac:dyDescent="0.2">
      <c r="B135" s="402"/>
      <c r="C135" s="645" t="str">
        <f>+Cableado!C38</f>
        <v>CABLEADO 4 DIFERENCIALES, 2P</v>
      </c>
      <c r="D135" s="645"/>
      <c r="E135" s="402">
        <f>COUNTIFS(COT!$L$168:$L$2603,'Precios Equipos'!C135)</f>
        <v>6</v>
      </c>
      <c r="F135" s="638">
        <f>+Cableado!G38</f>
        <v>31.61</v>
      </c>
      <c r="G135" s="639">
        <f>F135*E135</f>
        <v>189.66</v>
      </c>
    </row>
    <row r="136" spans="2:7" ht="14.25" hidden="1" x14ac:dyDescent="0.2">
      <c r="B136" s="402"/>
      <c r="C136" s="645" t="str">
        <f>+Cableado!C39</f>
        <v>CABLEADO 5 DIFERENCIALES, 2P</v>
      </c>
      <c r="D136" s="645"/>
      <c r="E136" s="402"/>
      <c r="F136" s="638">
        <f>+Cableado!G39</f>
        <v>35.76</v>
      </c>
      <c r="G136" s="639"/>
    </row>
    <row r="137" spans="2:7" ht="14.25" hidden="1" x14ac:dyDescent="0.2">
      <c r="B137" s="402"/>
      <c r="C137" s="645" t="str">
        <f>+Cableado!C40</f>
        <v>CABLEADO 6 DIFERENCIALES, 2P</v>
      </c>
      <c r="D137" s="645"/>
      <c r="E137" s="402"/>
      <c r="F137" s="638">
        <f>+Cableado!G40</f>
        <v>39.92</v>
      </c>
      <c r="G137" s="639"/>
    </row>
    <row r="138" spans="2:7" ht="14.25" hidden="1" x14ac:dyDescent="0.2">
      <c r="B138" s="402"/>
      <c r="C138" s="645" t="str">
        <f>+Cableado!C41</f>
        <v>CABLEADO 7 DIFERENCIALES, 2P</v>
      </c>
      <c r="D138" s="645"/>
      <c r="E138" s="402"/>
      <c r="F138" s="638">
        <f>+Cableado!G41</f>
        <v>44.07</v>
      </c>
      <c r="G138" s="639"/>
    </row>
    <row r="139" spans="2:7" ht="14.25" hidden="1" x14ac:dyDescent="0.2">
      <c r="B139" s="402"/>
      <c r="C139" s="644" t="s">
        <v>495</v>
      </c>
      <c r="D139" s="644"/>
      <c r="E139" s="402"/>
      <c r="F139" s="638"/>
      <c r="G139" s="639"/>
    </row>
    <row r="140" spans="2:7" ht="14.25" hidden="1" x14ac:dyDescent="0.2">
      <c r="B140" s="402">
        <f>+B132+1</f>
        <v>94</v>
      </c>
      <c r="C140" s="645" t="str">
        <f>Materiales!D5</f>
        <v>Mano de obra 6-10 polos (3-5 ITM)</v>
      </c>
      <c r="D140" s="645"/>
      <c r="E140" s="402">
        <f>COUNTIFS(COT!$L$168:$L$2603,'Precios Equipos'!C140)</f>
        <v>17</v>
      </c>
      <c r="F140" s="638">
        <f>Materiales!E5</f>
        <v>52.5</v>
      </c>
      <c r="G140" s="639">
        <f t="shared" si="20"/>
        <v>892.5</v>
      </c>
    </row>
    <row r="141" spans="2:7" ht="14.25" hidden="1" x14ac:dyDescent="0.2">
      <c r="B141" s="402">
        <f>+B140+1</f>
        <v>95</v>
      </c>
      <c r="C141" s="645" t="str">
        <f>Materiales!D6</f>
        <v>Mano de obra 12-16 polos (6-8 ITM)</v>
      </c>
      <c r="D141" s="645"/>
      <c r="E141" s="402">
        <f>COUNTIFS(COT!$L$168:$L$2603,'Precios Equipos'!C141)</f>
        <v>16</v>
      </c>
      <c r="F141" s="638">
        <f>Materiales!E6</f>
        <v>75</v>
      </c>
      <c r="G141" s="639">
        <f t="shared" si="20"/>
        <v>1200</v>
      </c>
    </row>
    <row r="142" spans="2:7" ht="14.25" hidden="1" x14ac:dyDescent="0.2">
      <c r="B142" s="402"/>
      <c r="C142" s="644" t="s">
        <v>496</v>
      </c>
      <c r="D142" s="644"/>
      <c r="E142" s="402"/>
      <c r="F142" s="638"/>
      <c r="G142" s="639"/>
    </row>
    <row r="143" spans="2:7" ht="14.25" hidden="1" x14ac:dyDescent="0.2">
      <c r="B143" s="402">
        <f>+B141+1</f>
        <v>96</v>
      </c>
      <c r="C143" s="645" t="str">
        <f>+Materiales!D23</f>
        <v>Mano de obra Autosoportado ITEM PARA TIPO 1 AL TIPO 4.2</v>
      </c>
      <c r="D143" s="645"/>
      <c r="E143" s="402">
        <f>COUNTIFS(COT!$L$168:$L$2603,'Precios Equipos'!C143)</f>
        <v>0</v>
      </c>
      <c r="F143" s="638">
        <f>+Materiales!E23</f>
        <v>1000</v>
      </c>
      <c r="G143" s="639">
        <f t="shared" si="20"/>
        <v>0</v>
      </c>
    </row>
    <row r="144" spans="2:7" ht="14.25" hidden="1" x14ac:dyDescent="0.2">
      <c r="B144" s="402">
        <f>+B143+1</f>
        <v>97</v>
      </c>
      <c r="C144" s="645" t="str">
        <f>+Materiales!D25</f>
        <v>Mano de obra Autosoportado 800A</v>
      </c>
      <c r="D144" s="645"/>
      <c r="E144" s="402">
        <f>COUNTIFS(COT!$L$168:$L$2603,'Precios Equipos'!C144)</f>
        <v>0</v>
      </c>
      <c r="F144" s="638">
        <f>+Materiales!E25</f>
        <v>700</v>
      </c>
      <c r="G144" s="639">
        <f t="shared" si="20"/>
        <v>0</v>
      </c>
    </row>
    <row r="145" spans="2:7" ht="14.25" hidden="1" x14ac:dyDescent="0.2">
      <c r="B145" s="402"/>
      <c r="C145" s="915" t="s">
        <v>894</v>
      </c>
      <c r="D145" s="915"/>
      <c r="E145" s="402"/>
      <c r="F145" s="638"/>
      <c r="G145" s="639"/>
    </row>
    <row r="146" spans="2:7" ht="14.25" hidden="1" x14ac:dyDescent="0.2">
      <c r="B146" s="402"/>
      <c r="C146" s="916" t="str">
        <f>+'M. Obra Autosoportado'!B37</f>
        <v>M. DE OBRA (TIPO 1 AL 6) MONTAJE AIRE ACONDICIONADO Y ACCESORIOS</v>
      </c>
      <c r="D146" s="916"/>
      <c r="E146" s="402">
        <f>COUNTIFS(COT!$L$168:$L$2603,'Precios Equipos'!C146)</f>
        <v>6</v>
      </c>
      <c r="F146" s="638">
        <f>+'M. Obra Autosoportado'!J41</f>
        <v>945</v>
      </c>
      <c r="G146" s="639">
        <f>F146*E146</f>
        <v>5670</v>
      </c>
    </row>
    <row r="147" spans="2:7" ht="14.25" hidden="1" x14ac:dyDescent="0.2">
      <c r="B147" s="402"/>
      <c r="C147" s="916" t="str">
        <f>+'M. Obra Autosoportado'!B44</f>
        <v>M. DE OBRA (TIPO 7 y 8) MONTAJE AIRE ACONDICIONADO Y ACCESORIOS</v>
      </c>
      <c r="D147" s="916"/>
      <c r="E147" s="402">
        <f>COUNTIFS(COT!$L$168:$L$2603,'Precios Equipos'!C147)</f>
        <v>2</v>
      </c>
      <c r="F147" s="638">
        <f>+'M. Obra Autosoportado'!J48</f>
        <v>1215</v>
      </c>
      <c r="G147" s="639">
        <f t="shared" si="20"/>
        <v>2430</v>
      </c>
    </row>
    <row r="148" spans="2:7" ht="14.25" hidden="1" x14ac:dyDescent="0.2">
      <c r="B148" s="402"/>
      <c r="C148" s="916" t="str">
        <f>+'M. Obra Autosoportado'!B51</f>
        <v>M. DE OBRA (TIPO 9 y 14) MONTAJE AIRE ACONDICIONADO Y ACCESORIOS</v>
      </c>
      <c r="D148" s="916"/>
      <c r="E148" s="402">
        <f>COUNTIFS(COT!$L$168:$L$2603,'Precios Equipos'!C148)</f>
        <v>17</v>
      </c>
      <c r="F148" s="638">
        <f>+'M. Obra Autosoportado'!J55</f>
        <v>1080</v>
      </c>
      <c r="G148" s="639">
        <f t="shared" si="20"/>
        <v>18360</v>
      </c>
    </row>
    <row r="149" spans="2:7" ht="14.25" hidden="1" x14ac:dyDescent="0.2">
      <c r="B149" s="402"/>
      <c r="C149" s="916" t="str">
        <f>+'M. Obra Autosoportado'!B58</f>
        <v>M. DE OBRA (TIPO 11, 12 y 13) MONTAJE AIRE ACONDICIONADO Y ACCESORIOS</v>
      </c>
      <c r="D149" s="916"/>
      <c r="E149" s="402">
        <f>COUNTIFS(COT!$L$168:$L$2603,'Precios Equipos'!C149)</f>
        <v>6</v>
      </c>
      <c r="F149" s="638">
        <f>+'M. Obra Autosoportado'!J62</f>
        <v>1215</v>
      </c>
      <c r="G149" s="639">
        <f t="shared" si="20"/>
        <v>7290</v>
      </c>
    </row>
    <row r="150" spans="2:7" ht="14.25" hidden="1" x14ac:dyDescent="0.2">
      <c r="B150" s="402"/>
      <c r="C150" s="915" t="s">
        <v>986</v>
      </c>
      <c r="D150" s="915"/>
      <c r="E150" s="402"/>
      <c r="F150" s="638"/>
      <c r="G150" s="639"/>
    </row>
    <row r="151" spans="2:7" ht="14.25" hidden="1" x14ac:dyDescent="0.2">
      <c r="B151" s="402"/>
      <c r="C151" s="916" t="str">
        <f>+'M. Obra Autosoportado'!G90</f>
        <v>M. Obra Electricidad BUS BAR TIPO 1; 2; 3; 4; 4.1; 5; 7</v>
      </c>
      <c r="D151" s="916"/>
      <c r="E151" s="402"/>
      <c r="F151" s="638">
        <f>+'M. Obra Autosoportado'!J90</f>
        <v>675</v>
      </c>
      <c r="G151" s="639"/>
    </row>
    <row r="152" spans="2:7" ht="14.25" hidden="1" x14ac:dyDescent="0.2">
      <c r="B152" s="402"/>
      <c r="C152" s="916" t="str">
        <f>+'M. Obra Autosoportado'!G91</f>
        <v>M. Obra Electricidad BUS BAR TIPO 6</v>
      </c>
      <c r="D152" s="916"/>
      <c r="E152" s="402"/>
      <c r="F152" s="638">
        <f>+'M. Obra Autosoportado'!J91</f>
        <v>675</v>
      </c>
      <c r="G152" s="639"/>
    </row>
    <row r="153" spans="2:7" ht="14.25" hidden="1" x14ac:dyDescent="0.2">
      <c r="B153" s="402"/>
      <c r="C153" s="916" t="str">
        <f>+'M. Obra Autosoportado'!G92</f>
        <v>M. Obra Electricidad BUS BAR TIPO 8; 8.1 y 9.1</v>
      </c>
      <c r="D153" s="916"/>
      <c r="E153" s="402"/>
      <c r="F153" s="638">
        <f>+'M. Obra Autosoportado'!J92</f>
        <v>675</v>
      </c>
      <c r="G153" s="639"/>
    </row>
    <row r="154" spans="2:7" ht="14.25" hidden="1" x14ac:dyDescent="0.2">
      <c r="B154" s="402"/>
      <c r="C154" s="916" t="str">
        <f>+'M. Obra Autosoportado'!G93</f>
        <v>M. Obra Electricidad BUS BAR TIPO 9</v>
      </c>
      <c r="D154" s="916"/>
      <c r="E154" s="402"/>
      <c r="F154" s="638">
        <f>+'M. Obra Autosoportado'!J93</f>
        <v>675</v>
      </c>
      <c r="G154" s="639"/>
    </row>
    <row r="155" spans="2:7" ht="14.25" hidden="1" x14ac:dyDescent="0.2">
      <c r="B155" s="402"/>
      <c r="C155" s="916" t="str">
        <f>+'M. Obra Autosoportado'!G94</f>
        <v>M. Obra Electricidad BUS BAR TIPO 10; 10.1; 10.2; 11</v>
      </c>
      <c r="D155" s="916"/>
      <c r="E155" s="402"/>
      <c r="F155" s="638">
        <f>+'M. Obra Autosoportado'!J94</f>
        <v>810</v>
      </c>
      <c r="G155" s="639"/>
    </row>
    <row r="156" spans="2:7" ht="14.25" hidden="1" x14ac:dyDescent="0.2">
      <c r="B156" s="402"/>
      <c r="C156" s="916" t="str">
        <f>+'M. Obra Autosoportado'!G95</f>
        <v>M. Obra Electricidad BUS BAR TIPO 12 y 12.1</v>
      </c>
      <c r="D156" s="916"/>
      <c r="E156" s="402"/>
      <c r="F156" s="638">
        <f>+'M. Obra Autosoportado'!J95</f>
        <v>810</v>
      </c>
      <c r="G156" s="639"/>
    </row>
    <row r="157" spans="2:7" ht="14.25" hidden="1" x14ac:dyDescent="0.2">
      <c r="B157" s="402"/>
      <c r="C157" s="916" t="str">
        <f>+'M. Obra Autosoportado'!G96</f>
        <v>M. Obra Electricidad BUS BAR TIPO 14 (C01;G01), (C02;G01), (C01;G03), (C02;G03), (C03;G01), (C03;G03)</v>
      </c>
      <c r="D157" s="916"/>
      <c r="E157" s="402"/>
      <c r="F157" s="638">
        <f>+'M. Obra Autosoportado'!J96</f>
        <v>1215</v>
      </c>
      <c r="G157" s="639"/>
    </row>
    <row r="158" spans="2:7" ht="14.25" hidden="1" x14ac:dyDescent="0.2">
      <c r="B158" s="402"/>
      <c r="C158" s="916" t="str">
        <f>+'M. Obra Autosoportado'!G97</f>
        <v>M. Obra Electricidad BUS BAR TIPO 13 y TIPO 14 (C01;G02), (C01;G04), (C02;G02), (C02;G04), (C03;G02), (C03;G04)</v>
      </c>
      <c r="D158" s="916"/>
      <c r="E158" s="402"/>
      <c r="F158" s="638">
        <f>+'M. Obra Autosoportado'!J97</f>
        <v>810</v>
      </c>
      <c r="G158" s="639"/>
    </row>
    <row r="159" spans="2:7" ht="14.25" hidden="1" x14ac:dyDescent="0.2">
      <c r="B159" s="402"/>
      <c r="C159" s="915" t="s">
        <v>1023</v>
      </c>
      <c r="D159" s="915"/>
      <c r="E159" s="402"/>
      <c r="F159" s="638"/>
      <c r="G159" s="639"/>
    </row>
    <row r="160" spans="2:7" ht="14.25" hidden="1" x14ac:dyDescent="0.2">
      <c r="B160" s="402"/>
      <c r="C160" s="916" t="str">
        <f>+'M. Obra Autosoportado'!G98</f>
        <v>M. Obra Electricidad Tablero Fotovoltaico AC</v>
      </c>
      <c r="D160" s="916"/>
      <c r="E160" s="402"/>
      <c r="F160" s="638">
        <f>+'M. Obra Autosoportado'!J98</f>
        <v>810</v>
      </c>
      <c r="G160" s="639"/>
    </row>
    <row r="161" spans="2:7" ht="14.25" hidden="1" x14ac:dyDescent="0.2">
      <c r="B161" s="402"/>
      <c r="C161" s="644" t="s">
        <v>497</v>
      </c>
      <c r="D161" s="644"/>
      <c r="E161" s="402"/>
      <c r="F161" s="638"/>
      <c r="G161" s="639"/>
    </row>
    <row r="162" spans="2:7" ht="14.25" hidden="1" x14ac:dyDescent="0.2">
      <c r="B162" s="402">
        <f>+B144+1</f>
        <v>98</v>
      </c>
      <c r="C162" s="645" t="str">
        <f>+Materiales!D13</f>
        <v>Mano de obra 1-2 Diferenciales</v>
      </c>
      <c r="D162" s="645"/>
      <c r="E162" s="402">
        <f>COUNTIFS(COT!$L$168:$L$2603,'Precios Equipos'!C162)</f>
        <v>33</v>
      </c>
      <c r="F162" s="638">
        <f>+Materiales!E13</f>
        <v>15</v>
      </c>
      <c r="G162" s="639">
        <f t="shared" si="20"/>
        <v>495</v>
      </c>
    </row>
    <row r="163" spans="2:7" ht="14.25" hidden="1" x14ac:dyDescent="0.2">
      <c r="B163" s="402"/>
      <c r="C163" s="644" t="s">
        <v>656</v>
      </c>
      <c r="D163" s="644"/>
      <c r="E163" s="402"/>
      <c r="F163" s="638"/>
      <c r="G163" s="639"/>
    </row>
    <row r="164" spans="2:7" ht="14.25" hidden="1" x14ac:dyDescent="0.2">
      <c r="B164" s="402">
        <f>+B162+1</f>
        <v>99</v>
      </c>
      <c r="C164" s="646" t="s">
        <v>590</v>
      </c>
      <c r="D164" s="646"/>
      <c r="E164" s="402">
        <f>COUNTIFS(COT!$L$168:$L$2603,'Precios Equipos'!C164)</f>
        <v>1</v>
      </c>
      <c r="F164" s="638">
        <v>80</v>
      </c>
      <c r="G164" s="639">
        <f t="shared" si="20"/>
        <v>80</v>
      </c>
    </row>
    <row r="165" spans="2:7" ht="14.25" hidden="1" x14ac:dyDescent="0.2">
      <c r="B165" s="402">
        <f>+B164+1</f>
        <v>100</v>
      </c>
      <c r="C165" s="646" t="s">
        <v>591</v>
      </c>
      <c r="D165" s="646"/>
      <c r="E165" s="402">
        <f>COUNTIFS(COT!$L$168:$L$2603,'Precios Equipos'!C165)</f>
        <v>1</v>
      </c>
      <c r="F165" s="638">
        <v>90</v>
      </c>
      <c r="G165" s="639">
        <f t="shared" si="20"/>
        <v>90</v>
      </c>
    </row>
    <row r="166" spans="2:7" ht="15" hidden="1" thickBot="1" x14ac:dyDescent="0.25">
      <c r="B166" s="565">
        <f>+B165+1</f>
        <v>101</v>
      </c>
      <c r="C166" s="647" t="s">
        <v>592</v>
      </c>
      <c r="D166" s="1312"/>
      <c r="E166" s="402">
        <f>COUNTIFS(COT!$L$168:$L$2603,'Precios Equipos'!C166)</f>
        <v>1</v>
      </c>
      <c r="F166" s="638">
        <v>20</v>
      </c>
      <c r="G166" s="639">
        <f t="shared" si="20"/>
        <v>20</v>
      </c>
    </row>
    <row r="167" spans="2:7" ht="14.25" hidden="1" x14ac:dyDescent="0.2">
      <c r="B167" s="62"/>
      <c r="C167" s="62"/>
      <c r="D167" s="62"/>
      <c r="E167" s="1150" t="s">
        <v>97</v>
      </c>
      <c r="F167" s="1154"/>
      <c r="G167" s="642">
        <f>SUM(G111:G162)</f>
        <v>82668.24346892655</v>
      </c>
    </row>
    <row r="168" spans="2:7" ht="14.25" hidden="1" x14ac:dyDescent="0.2">
      <c r="B168" s="62"/>
      <c r="C168" s="62"/>
      <c r="D168" s="62"/>
      <c r="E168" s="1155" t="s">
        <v>98</v>
      </c>
      <c r="F168" s="1156"/>
      <c r="G168" s="640">
        <f>G167*0.18</f>
        <v>14880.283824406779</v>
      </c>
    </row>
    <row r="169" spans="2:7" ht="15" hidden="1" thickBot="1" x14ac:dyDescent="0.25">
      <c r="B169" s="62"/>
      <c r="C169" s="62"/>
      <c r="D169" s="62"/>
      <c r="E169" s="1157" t="s">
        <v>499</v>
      </c>
      <c r="F169" s="1158"/>
      <c r="G169" s="641">
        <f>G167+G168</f>
        <v>97548.527293333333</v>
      </c>
    </row>
    <row r="170" spans="2:7" ht="14.25" hidden="1" x14ac:dyDescent="0.2">
      <c r="B170" s="62"/>
      <c r="C170" s="62"/>
      <c r="D170" s="62"/>
      <c r="E170" s="313"/>
      <c r="F170" s="313"/>
      <c r="G170" s="87"/>
    </row>
    <row r="171" spans="2:7" ht="15" hidden="1" thickBot="1" x14ac:dyDescent="0.25">
      <c r="B171" s="62"/>
      <c r="C171" s="62"/>
      <c r="D171" s="62"/>
      <c r="E171" s="313"/>
      <c r="F171" s="313"/>
      <c r="G171" s="87"/>
    </row>
    <row r="172" spans="2:7" ht="24" hidden="1" customHeight="1" thickBot="1" x14ac:dyDescent="0.25">
      <c r="B172" s="503" t="s">
        <v>6</v>
      </c>
      <c r="C172" s="504" t="s">
        <v>453</v>
      </c>
      <c r="D172" s="505"/>
      <c r="E172" s="505" t="s">
        <v>498</v>
      </c>
      <c r="F172" s="506" t="s">
        <v>74</v>
      </c>
      <c r="G172" s="507" t="s">
        <v>99</v>
      </c>
    </row>
    <row r="173" spans="2:7" ht="14.25" hidden="1" x14ac:dyDescent="0.2">
      <c r="B173" s="71"/>
      <c r="C173" s="584" t="s">
        <v>500</v>
      </c>
      <c r="D173" s="1313"/>
      <c r="E173" s="73"/>
      <c r="F173" s="74"/>
      <c r="G173" s="75"/>
    </row>
    <row r="174" spans="2:7" ht="14.25" hidden="1" x14ac:dyDescent="0.2">
      <c r="B174" s="76">
        <f>+B166+1</f>
        <v>102</v>
      </c>
      <c r="C174" s="1048" t="str">
        <f>+Adosado!C54</f>
        <v>Gabinete Adosado 1000x450x150mm. (alto x ancho x profundidad) dimensiones aproximadas</v>
      </c>
      <c r="D174" s="1048"/>
      <c r="E174" s="402">
        <f>SUMIFS(COT!$Q$168:$Q$2636,COT!$D$168:$D$2636,'Precios Equipos'!C174)</f>
        <v>0</v>
      </c>
      <c r="F174" s="79">
        <f>+Adosado!E54</f>
        <v>497</v>
      </c>
      <c r="G174" s="80">
        <f t="shared" ref="G174:G187" si="23">F174*E174</f>
        <v>0</v>
      </c>
    </row>
    <row r="175" spans="2:7" ht="14.25" hidden="1" x14ac:dyDescent="0.2">
      <c r="B175" s="76">
        <f>+B174+1</f>
        <v>103</v>
      </c>
      <c r="C175" s="79" t="str">
        <f>+Adosado!C59</f>
        <v>Gabinete Adosado 800x450x150mm. (alto x ancho x profundidad) dimensiones aproximadas</v>
      </c>
      <c r="D175" s="79"/>
      <c r="E175" s="402">
        <f>SUMIFS(COT!$Q$168:$Q$2636,COT!$D$168:$D$2636,'Precios Equipos'!C175)</f>
        <v>0</v>
      </c>
      <c r="F175" s="79">
        <f>+Adosado!E59</f>
        <v>385</v>
      </c>
      <c r="G175" s="80">
        <f t="shared" si="23"/>
        <v>0</v>
      </c>
    </row>
    <row r="176" spans="2:7" ht="14.25" hidden="1" x14ac:dyDescent="0.2">
      <c r="B176" s="76"/>
      <c r="C176" s="79" t="str">
        <f>+Adosado!C64</f>
        <v>Gabinete Metalico 1000x700x300mm. (Alto x Ancho x Profundidad)</v>
      </c>
      <c r="D176" s="79"/>
      <c r="E176" s="402"/>
      <c r="F176" s="79">
        <f>+Adosado!E64</f>
        <v>466.62</v>
      </c>
      <c r="G176" s="80"/>
    </row>
    <row r="177" spans="2:7" ht="14.25" hidden="1" x14ac:dyDescent="0.2">
      <c r="B177" s="76">
        <f>+B175+1</f>
        <v>104</v>
      </c>
      <c r="C177" s="79" t="str">
        <f>+Adosado!C60</f>
        <v>Gabinete Adosado 700x450x150mm. (alto x ancho x profundidad) dimensiones aproximadas</v>
      </c>
      <c r="D177" s="79"/>
      <c r="E177" s="402">
        <f>SUMIFS(COT!$Q$168:$Q$2636,COT!$D$168:$D$2636,'Precios Equipos'!C177)</f>
        <v>54</v>
      </c>
      <c r="F177" s="79">
        <f>+Adosado!E60</f>
        <v>319</v>
      </c>
      <c r="G177" s="80">
        <f t="shared" si="23"/>
        <v>17226</v>
      </c>
    </row>
    <row r="178" spans="2:7" ht="14.25" hidden="1" x14ac:dyDescent="0.2">
      <c r="B178" s="76">
        <v>76</v>
      </c>
      <c r="C178" s="1048" t="str">
        <f>+Adosado!C61</f>
        <v>Gabinete Adosado 700x500x200mm. (alto x ancho x profundidad) dimensiones aproximadas</v>
      </c>
      <c r="D178" s="1048"/>
      <c r="E178" s="402">
        <f>SUMIFS(COT!$Q$168:$Q$2636,COT!$D$168:$D$2636,'Precios Equipos'!C178)</f>
        <v>16</v>
      </c>
      <c r="F178" s="79">
        <f>+Adosado!E61</f>
        <v>341.6</v>
      </c>
      <c r="G178" s="80">
        <f t="shared" si="23"/>
        <v>5465.6</v>
      </c>
    </row>
    <row r="179" spans="2:7" ht="14.25" hidden="1" x14ac:dyDescent="0.2">
      <c r="B179" s="76">
        <v>77</v>
      </c>
      <c r="C179" s="79" t="str">
        <f>+Adosado!C63</f>
        <v>Gabinete Metalico 400x500x250mm. (Alto x Ancho x Profundidad)</v>
      </c>
      <c r="D179" s="79"/>
      <c r="E179" s="402">
        <f>SUMIFS(COT!$Q$168:$Q$2636,COT!$D$168:$D$2636,'Precios Equipos'!C179)</f>
        <v>57</v>
      </c>
      <c r="F179" s="79">
        <f>+Adosado!E63</f>
        <v>218.85</v>
      </c>
      <c r="G179" s="80">
        <f t="shared" si="23"/>
        <v>12474.449999999999</v>
      </c>
    </row>
    <row r="180" spans="2:7" ht="14.25" hidden="1" x14ac:dyDescent="0.2">
      <c r="B180" s="76">
        <v>78</v>
      </c>
      <c r="C180" s="79" t="str">
        <f>+Adosado!C55</f>
        <v>Gabinete Adosado 1100x800x300mm. (alto x ancho x profundidad) dimensiones aproximadas</v>
      </c>
      <c r="D180" s="79"/>
      <c r="E180" s="402">
        <f>SUMIFS(COT!$Q$168:$Q$2636,COT!$D$168:$D$2636,'Precios Equipos'!C180)</f>
        <v>0</v>
      </c>
      <c r="F180" s="79">
        <f>+Adosado!E55</f>
        <v>820</v>
      </c>
      <c r="G180" s="80">
        <f t="shared" ref="G180" si="24">F180*E180</f>
        <v>0</v>
      </c>
    </row>
    <row r="181" spans="2:7" ht="14.25" hidden="1" x14ac:dyDescent="0.2">
      <c r="B181" s="76">
        <v>79</v>
      </c>
      <c r="C181" s="79" t="str">
        <f>+Adosado!C56</f>
        <v>Gabinete Adosado 900x800x300mm. (alto x ancho x profundidad) dimensiones aproximadas</v>
      </c>
      <c r="D181" s="79"/>
      <c r="E181" s="402">
        <f>SUMIFS(COT!$Q$168:$Q$2636,COT!$D$168:$D$2636,'Precios Equipos'!C181)</f>
        <v>0</v>
      </c>
      <c r="F181" s="79">
        <f>+Adosado!E56</f>
        <v>744</v>
      </c>
      <c r="G181" s="80">
        <f t="shared" ref="G181:G183" si="25">F181*E181</f>
        <v>0</v>
      </c>
    </row>
    <row r="182" spans="2:7" ht="14.25" hidden="1" x14ac:dyDescent="0.2">
      <c r="B182" s="76"/>
      <c r="C182" s="1048" t="str">
        <f>+Adosado!C65</f>
        <v>Gabinete Adosado 900x700x200mm. (alto x ancho x profundidad) dimensiones aproximadas</v>
      </c>
      <c r="D182" s="1048"/>
      <c r="E182" s="402">
        <f>SUMIFS(COT!$Q$168:$Q$2636,COT!$D$168:$D$2636,'Precios Equipos'!C182)</f>
        <v>38</v>
      </c>
      <c r="F182" s="79">
        <f>+Adosado!E65</f>
        <v>447.34</v>
      </c>
      <c r="G182" s="80">
        <f t="shared" si="25"/>
        <v>16998.919999999998</v>
      </c>
    </row>
    <row r="183" spans="2:7" ht="14.25" hidden="1" x14ac:dyDescent="0.2">
      <c r="B183" s="76">
        <v>80</v>
      </c>
      <c r="C183" s="79" t="str">
        <f>+Adosado!C57</f>
        <v>Gabinete Adosado 850x800x300mm. (alto x ancho x profundidad) dimensiones aproximadas</v>
      </c>
      <c r="D183" s="79"/>
      <c r="E183" s="402">
        <f>SUMIFS(COT!$Q$168:$Q$2636,COT!$D$168:$D$2636,'Precios Equipos'!C183)</f>
        <v>0</v>
      </c>
      <c r="F183" s="79">
        <f>+Adosado!E57</f>
        <v>729</v>
      </c>
      <c r="G183" s="80">
        <f t="shared" si="25"/>
        <v>0</v>
      </c>
    </row>
    <row r="184" spans="2:7" ht="14.25" hidden="1" x14ac:dyDescent="0.2">
      <c r="B184" s="76">
        <v>81</v>
      </c>
      <c r="C184" s="79" t="str">
        <f>+Adosado!C58</f>
        <v>Gabinete Adosado 800x800x300mm. (alto x ancho x profundidad) dimensiones aproximadas</v>
      </c>
      <c r="D184" s="79"/>
      <c r="E184" s="402">
        <f>SUMIFS(COT!$Q$168:$Q$2636,COT!$D$168:$D$2636,'Precios Equipos'!C184)</f>
        <v>0</v>
      </c>
      <c r="F184" s="79">
        <f>+Adosado!E58</f>
        <v>714</v>
      </c>
      <c r="G184" s="80">
        <f t="shared" ref="G184" si="26">F184*E184</f>
        <v>0</v>
      </c>
    </row>
    <row r="185" spans="2:7" ht="14.25" hidden="1" x14ac:dyDescent="0.2">
      <c r="B185" s="76"/>
      <c r="C185" s="79" t="str">
        <f>+Adosado!C62</f>
        <v>Gabinete Adosado 550x450x150mm. (alto x ancho x profundidad) dimensiones aproximadas</v>
      </c>
      <c r="D185" s="936"/>
      <c r="E185" s="78"/>
      <c r="F185" s="79">
        <f>+Adosado!E62</f>
        <v>294.99</v>
      </c>
      <c r="G185" s="80"/>
    </row>
    <row r="186" spans="2:7" ht="14.25" hidden="1" x14ac:dyDescent="0.2">
      <c r="B186" s="76"/>
      <c r="C186" s="509" t="s">
        <v>567</v>
      </c>
      <c r="D186" s="644"/>
      <c r="E186" s="78"/>
      <c r="F186" s="79"/>
      <c r="G186" s="80"/>
    </row>
    <row r="187" spans="2:7" ht="14.25" hidden="1" x14ac:dyDescent="0.2">
      <c r="B187" s="76">
        <f>+B179+1</f>
        <v>78</v>
      </c>
      <c r="C187" s="79" t="str">
        <f>+Adosado!C63</f>
        <v>Gabinete Metalico 400x500x250mm. (Alto x Ancho x Profundidad)</v>
      </c>
      <c r="D187" s="79"/>
      <c r="E187" s="402">
        <f>SUMIFS(COT!$Q$168:$Q$2636,COT!$D$168:$D$2636,'Precios Equipos'!C187)</f>
        <v>57</v>
      </c>
      <c r="F187" s="758">
        <f>+Adosado!E63</f>
        <v>218.85</v>
      </c>
      <c r="G187" s="80">
        <f t="shared" si="23"/>
        <v>12474.449999999999</v>
      </c>
    </row>
    <row r="188" spans="2:7" ht="14.25" hidden="1" x14ac:dyDescent="0.2">
      <c r="B188" s="76">
        <f>+B187+1</f>
        <v>79</v>
      </c>
      <c r="C188" s="79" t="str">
        <f>+Adosado!C64</f>
        <v>Gabinete Metalico 1000x700x300mm. (Alto x Ancho x Profundidad)</v>
      </c>
      <c r="D188" s="79"/>
      <c r="E188" s="402">
        <f>SUMIFS(COT!$Q$168:$Q$2636,COT!$D$168:$D$2636,'Precios Equipos'!C188)</f>
        <v>17</v>
      </c>
      <c r="F188" s="758">
        <f>+Adosado!E64</f>
        <v>466.62</v>
      </c>
      <c r="G188" s="80">
        <f t="shared" ref="G188" si="27">F188*E188</f>
        <v>7932.54</v>
      </c>
    </row>
    <row r="189" spans="2:7" ht="14.25" hidden="1" x14ac:dyDescent="0.2">
      <c r="B189" s="76"/>
      <c r="C189" s="509" t="s">
        <v>882</v>
      </c>
      <c r="D189" s="644"/>
      <c r="E189" s="78"/>
      <c r="F189" s="79"/>
      <c r="G189" s="80"/>
    </row>
    <row r="190" spans="2:7" ht="14.25" hidden="1" x14ac:dyDescent="0.2">
      <c r="B190" s="76"/>
      <c r="C190" s="761" t="str">
        <f>+Autosoportado!C92</f>
        <v>Gabinete Autosoportado 1800x600x450mm. (Alto x ancho x profundidad)</v>
      </c>
      <c r="D190" s="1314"/>
      <c r="E190" s="78"/>
      <c r="F190" s="79">
        <f>+Autosoportado!E92</f>
        <v>2575.73</v>
      </c>
      <c r="G190" s="80"/>
    </row>
    <row r="191" spans="2:7" ht="14.25" hidden="1" x14ac:dyDescent="0.2">
      <c r="B191" s="76"/>
      <c r="C191" s="761" t="str">
        <f>+Autosoportado!C93</f>
        <v>Gabinete Autosoportado 1800x800x450mm. (Alto x ancho x profundidad)</v>
      </c>
      <c r="D191" s="1314"/>
      <c r="E191" s="78"/>
      <c r="F191" s="79">
        <f>+Autosoportado!E93</f>
        <v>2575.73</v>
      </c>
      <c r="G191" s="80"/>
    </row>
    <row r="192" spans="2:7" ht="14.25" hidden="1" x14ac:dyDescent="0.2">
      <c r="B192" s="76"/>
      <c r="C192" s="761" t="str">
        <f>+Autosoportado!C94</f>
        <v>Gabinete Autosoportado 2000x800x450mm. (Alto x ancho x profundidad)</v>
      </c>
      <c r="D192" s="1314"/>
      <c r="E192" s="78"/>
      <c r="F192" s="79">
        <f>+Autosoportado!E94</f>
        <v>2780.86</v>
      </c>
      <c r="G192" s="80"/>
    </row>
    <row r="193" spans="2:8" ht="14.25" hidden="1" x14ac:dyDescent="0.2">
      <c r="B193" s="76">
        <f>+B188+1</f>
        <v>80</v>
      </c>
      <c r="C193" s="761" t="str">
        <f>+Autosoportado!C95</f>
        <v>Gabinete Autosoportado 2100x800x600mm. (Alto x ancho x profundidad)</v>
      </c>
      <c r="D193" s="761"/>
      <c r="E193" s="402">
        <f>SUMIFS(COT!$Q$168:$Q$2636,COT!$D$168:$D$2636,'Precios Equipos'!C193)</f>
        <v>17</v>
      </c>
      <c r="F193" s="79">
        <f>+Autosoportado!E95</f>
        <v>2979.42</v>
      </c>
      <c r="G193" s="80">
        <f t="shared" ref="G193:G200" si="28">F193*E193</f>
        <v>50650.14</v>
      </c>
    </row>
    <row r="194" spans="2:8" s="900" customFormat="1" ht="14.25" hidden="1" x14ac:dyDescent="0.2">
      <c r="B194" s="896">
        <v>84</v>
      </c>
      <c r="C194" s="761" t="str">
        <f>+Autosoportado!C97</f>
        <v>Gabinete Autosoportado 2100x1000(2 Puertas)x700mm. (Alto x ancho x profundidad)</v>
      </c>
      <c r="D194" s="761"/>
      <c r="E194" s="897">
        <f>SUMIFS(COT!$Q$168:$Q$2636,COT!$D$168:$D$2636,'Precios Equipos'!C194)</f>
        <v>13</v>
      </c>
      <c r="F194" s="898">
        <f>+Autosoportado!E97</f>
        <v>3930.25</v>
      </c>
      <c r="G194" s="899">
        <f>F194*E194</f>
        <v>51093.25</v>
      </c>
      <c r="H194" s="901" t="s">
        <v>883</v>
      </c>
    </row>
    <row r="195" spans="2:8" s="900" customFormat="1" ht="14.25" hidden="1" x14ac:dyDescent="0.2">
      <c r="B195" s="896"/>
      <c r="C195" s="761" t="str">
        <f>+Autosoportado!C98</f>
        <v>Gabinete Autosoportado 2200x1000(2 Puertas)x700mm. (Alto x ancho x profundidad)</v>
      </c>
      <c r="D195" s="761"/>
      <c r="E195" s="897">
        <f>SUMIFS(COT!$Q$168:$Q$2636,COT!$D$168:$D$2636,'Precios Equipos'!C195)</f>
        <v>4</v>
      </c>
      <c r="F195" s="898">
        <f>+Autosoportado!E98</f>
        <v>4003.61</v>
      </c>
      <c r="G195" s="899"/>
      <c r="H195" s="901" t="s">
        <v>884</v>
      </c>
    </row>
    <row r="196" spans="2:8" ht="14.25" hidden="1" x14ac:dyDescent="0.2">
      <c r="B196" s="76">
        <f>+B193+1</f>
        <v>81</v>
      </c>
      <c r="C196" s="761" t="str">
        <f>+Autosoportado!C99</f>
        <v>Gabinete Autosoportado 2200x1200(2 Puertas)x700mm. (Alto x ancho x profundidad)</v>
      </c>
      <c r="D196" s="761"/>
      <c r="E196" s="402">
        <f>SUMIFS(COT!$Q$168:$Q$2636,COT!$D$168:$D$2636,'Precios Equipos'!C196)</f>
        <v>20</v>
      </c>
      <c r="F196" s="79">
        <f>+Autosoportado!E99</f>
        <v>4475.92</v>
      </c>
      <c r="G196" s="80">
        <f t="shared" si="28"/>
        <v>89518.399999999994</v>
      </c>
      <c r="H196" s="903" t="s">
        <v>888</v>
      </c>
    </row>
    <row r="197" spans="2:8" ht="14.25" hidden="1" x14ac:dyDescent="0.2">
      <c r="B197" s="76">
        <f>+B194+1</f>
        <v>85</v>
      </c>
      <c r="C197" s="761" t="str">
        <f>+Autosoportado!C100</f>
        <v>Gabinete Autosoportado 2400x1200(2 Puertas)x700mm. (Alto x ancho x profundidad)</v>
      </c>
      <c r="D197" s="761"/>
      <c r="E197" s="402">
        <f>SUMIFS(COT!$Q$168:$Q$2636,COT!$D$168:$D$2636,'Precios Equipos'!C197)</f>
        <v>17</v>
      </c>
      <c r="F197" s="79">
        <f>+Autosoportado!E100</f>
        <v>4242.1383333333333</v>
      </c>
      <c r="G197" s="80">
        <f t="shared" ref="G197" si="29">F197*E197</f>
        <v>72116.351666666669</v>
      </c>
      <c r="H197" s="903" t="s">
        <v>893</v>
      </c>
    </row>
    <row r="198" spans="2:8" ht="14.25" hidden="1" x14ac:dyDescent="0.2">
      <c r="B198" s="76"/>
      <c r="C198" s="509" t="s">
        <v>810</v>
      </c>
      <c r="D198" s="644"/>
      <c r="E198" s="78"/>
      <c r="F198" s="79"/>
      <c r="G198" s="80"/>
    </row>
    <row r="199" spans="2:8" ht="14.25" hidden="1" x14ac:dyDescent="0.2">
      <c r="B199" s="76">
        <v>82</v>
      </c>
      <c r="C199" s="77" t="s">
        <v>691</v>
      </c>
      <c r="D199" s="77"/>
      <c r="E199" s="402">
        <f>SUMIFS(COT!$Q$168:$Q$2636,COT!$D$168:$D$2636,'Precios Equipos'!C199)</f>
        <v>10</v>
      </c>
      <c r="F199" s="79">
        <v>2099.4451418614199</v>
      </c>
      <c r="G199" s="80">
        <f t="shared" si="28"/>
        <v>20994.451418614197</v>
      </c>
    </row>
    <row r="200" spans="2:8" ht="14.25" hidden="1" x14ac:dyDescent="0.2">
      <c r="B200" s="76">
        <v>83</v>
      </c>
      <c r="C200" s="77" t="s">
        <v>699</v>
      </c>
      <c r="D200" s="77"/>
      <c r="E200" s="402">
        <f>SUMIFS(COT!$Q$168:$Q$2636,COT!$D$168:$D$2636,'Precios Equipos'!C200)</f>
        <v>0</v>
      </c>
      <c r="F200" s="79">
        <v>2135.8755938388199</v>
      </c>
      <c r="G200" s="80">
        <f t="shared" si="28"/>
        <v>0</v>
      </c>
    </row>
    <row r="201" spans="2:8" ht="14.25" hidden="1" x14ac:dyDescent="0.2">
      <c r="B201" s="76"/>
      <c r="C201" s="509" t="s">
        <v>675</v>
      </c>
      <c r="D201" s="644"/>
      <c r="E201" s="78"/>
      <c r="F201" s="79"/>
      <c r="G201" s="80"/>
    </row>
    <row r="202" spans="2:8" ht="14.25" hidden="1" x14ac:dyDescent="0.2">
      <c r="B202" s="76"/>
      <c r="C202" s="509" t="s">
        <v>501</v>
      </c>
      <c r="D202" s="644"/>
      <c r="E202" s="78"/>
      <c r="F202" s="79"/>
      <c r="G202" s="80"/>
    </row>
    <row r="203" spans="2:8" ht="14.25" hidden="1" x14ac:dyDescent="0.2">
      <c r="B203" s="76">
        <v>85</v>
      </c>
      <c r="C203" s="77" t="str">
        <f>Materiales!D66</f>
        <v>Diseño Ingenieria Tableros Empotrados</v>
      </c>
      <c r="D203" s="77"/>
      <c r="E203" s="402">
        <f>COUNTIFS(COT!$L$168:$L$2603,'Precios Equipos'!C203)</f>
        <v>0</v>
      </c>
      <c r="F203" s="79">
        <f>Materiales!E66</f>
        <v>10</v>
      </c>
      <c r="G203" s="80">
        <f>F203*E203</f>
        <v>0</v>
      </c>
    </row>
    <row r="204" spans="2:8" ht="14.25" hidden="1" x14ac:dyDescent="0.2">
      <c r="B204" s="76">
        <v>86</v>
      </c>
      <c r="C204" s="77" t="str">
        <f>Materiales!D67</f>
        <v>Diseño Ingenieria Tableros Adosados</v>
      </c>
      <c r="D204" s="77"/>
      <c r="E204" s="402">
        <f>COUNTIFS(COT!$L$168:$L$2603,'Precios Equipos'!C204)</f>
        <v>33</v>
      </c>
      <c r="F204" s="79">
        <f>Materiales!E67</f>
        <v>10</v>
      </c>
      <c r="G204" s="80">
        <f>F204*E204</f>
        <v>330</v>
      </c>
    </row>
    <row r="205" spans="2:8" ht="14.25" hidden="1" x14ac:dyDescent="0.2">
      <c r="B205" s="76">
        <f>+B204+1</f>
        <v>87</v>
      </c>
      <c r="C205" s="77" t="str">
        <f>Materiales!D68</f>
        <v>Diseño Ingenieria Tableros Autosoportados</v>
      </c>
      <c r="D205" s="77"/>
      <c r="E205" s="402">
        <f>COUNTIFS(COT!$L$168:$L$2603,'Precios Equipos'!C205)</f>
        <v>63</v>
      </c>
      <c r="F205" s="79">
        <v>100</v>
      </c>
      <c r="G205" s="80">
        <f>F205*E205</f>
        <v>6300</v>
      </c>
    </row>
    <row r="206" spans="2:8" ht="14.25" hidden="1" x14ac:dyDescent="0.2">
      <c r="B206" s="76"/>
      <c r="C206" s="509" t="s">
        <v>502</v>
      </c>
      <c r="D206" s="644"/>
      <c r="E206" s="78"/>
      <c r="F206" s="79"/>
      <c r="G206" s="80"/>
    </row>
    <row r="207" spans="2:8" ht="14.25" hidden="1" x14ac:dyDescent="0.2">
      <c r="B207" s="76">
        <f>+B205+1</f>
        <v>88</v>
      </c>
      <c r="C207" s="77" t="s">
        <v>106</v>
      </c>
      <c r="D207" s="438"/>
      <c r="E207" s="582">
        <v>0</v>
      </c>
      <c r="F207" s="79">
        <v>0</v>
      </c>
      <c r="G207" s="80">
        <f>F207*E207</f>
        <v>0</v>
      </c>
    </row>
    <row r="208" spans="2:8" ht="15" hidden="1" thickBot="1" x14ac:dyDescent="0.25">
      <c r="B208" s="88">
        <f>+B207+1</f>
        <v>89</v>
      </c>
      <c r="C208" s="82" t="s">
        <v>107</v>
      </c>
      <c r="D208" s="439"/>
      <c r="E208" s="583">
        <v>0</v>
      </c>
      <c r="F208" s="84">
        <v>0</v>
      </c>
      <c r="G208" s="462">
        <f>F208*E208</f>
        <v>0</v>
      </c>
    </row>
    <row r="209" spans="2:8" ht="14.25" hidden="1" x14ac:dyDescent="0.2">
      <c r="B209" s="62"/>
      <c r="C209" s="62"/>
      <c r="D209" s="62"/>
      <c r="E209" s="1150" t="s">
        <v>97</v>
      </c>
      <c r="F209" s="1151"/>
      <c r="G209" s="75">
        <f>SUM(G174:G208)</f>
        <v>363574.55308528087</v>
      </c>
    </row>
    <row r="210" spans="2:8" ht="15" hidden="1" thickBot="1" x14ac:dyDescent="0.25">
      <c r="B210" s="62"/>
      <c r="C210" s="62"/>
      <c r="D210" s="62"/>
      <c r="E210" s="1152" t="s">
        <v>98</v>
      </c>
      <c r="F210" s="1153"/>
      <c r="G210" s="85">
        <f>G209*0.18</f>
        <v>65443.419555350556</v>
      </c>
    </row>
    <row r="211" spans="2:8" ht="15" hidden="1" thickBot="1" x14ac:dyDescent="0.25">
      <c r="B211" s="62"/>
      <c r="C211" s="62"/>
      <c r="D211" s="62"/>
      <c r="E211" s="1148" t="s">
        <v>503</v>
      </c>
      <c r="F211" s="1149"/>
      <c r="G211" s="508">
        <f>G209+G210</f>
        <v>429017.97264063143</v>
      </c>
    </row>
    <row r="212" spans="2:8" ht="15" hidden="1" thickBot="1" x14ac:dyDescent="0.25">
      <c r="B212" s="62"/>
      <c r="C212" s="62"/>
      <c r="D212" s="62"/>
      <c r="E212" s="62"/>
      <c r="F212" s="62"/>
      <c r="G212" s="62"/>
    </row>
    <row r="213" spans="2:8" ht="14.25" hidden="1" x14ac:dyDescent="0.2">
      <c r="B213" s="62"/>
      <c r="C213" s="62"/>
      <c r="D213" s="62"/>
      <c r="E213" s="1146" t="s">
        <v>104</v>
      </c>
      <c r="F213" s="1147"/>
      <c r="G213" s="511">
        <f>G211+G107+G169</f>
        <v>1616535.2047979648</v>
      </c>
    </row>
    <row r="214" spans="2:8" ht="15" hidden="1" thickBot="1" x14ac:dyDescent="0.25">
      <c r="B214" s="62"/>
      <c r="C214" s="62"/>
      <c r="D214" s="62"/>
      <c r="E214" s="314" t="s">
        <v>105</v>
      </c>
      <c r="F214" s="315">
        <f>+G214/G215</f>
        <v>0.54228504458981119</v>
      </c>
      <c r="G214" s="316">
        <f>G215-G213</f>
        <v>1915215.6932020362</v>
      </c>
    </row>
    <row r="215" spans="2:8" ht="15" hidden="1" thickBot="1" x14ac:dyDescent="0.25">
      <c r="B215" s="62"/>
      <c r="C215" s="62"/>
      <c r="D215" s="62"/>
      <c r="E215" s="1148" t="s">
        <v>108</v>
      </c>
      <c r="F215" s="1149"/>
      <c r="G215" s="512">
        <f>COT!F150</f>
        <v>3531750.898000001</v>
      </c>
    </row>
    <row r="216" spans="2:8" ht="14.25" hidden="1" x14ac:dyDescent="0.2">
      <c r="B216" s="62"/>
      <c r="C216" s="62"/>
      <c r="D216" s="62"/>
      <c r="E216" s="62"/>
      <c r="F216" s="62"/>
      <c r="G216" s="62"/>
    </row>
    <row r="217" spans="2:8" ht="15" hidden="1" thickBot="1" x14ac:dyDescent="0.25">
      <c r="B217" s="62"/>
      <c r="C217" s="62"/>
      <c r="D217" s="62"/>
      <c r="E217" s="62"/>
      <c r="F217" s="62"/>
      <c r="G217" s="62"/>
    </row>
    <row r="218" spans="2:8" s="89" customFormat="1" ht="15.75" hidden="1" customHeight="1" thickBot="1" x14ac:dyDescent="0.25">
      <c r="B218" s="1143" t="s">
        <v>428</v>
      </c>
      <c r="C218" s="1144"/>
      <c r="D218" s="1144"/>
      <c r="E218" s="1144"/>
      <c r="F218" s="1144"/>
      <c r="G218" s="1144"/>
      <c r="H218" s="91"/>
    </row>
    <row r="219" spans="2:8" ht="15" hidden="1" thickBot="1" x14ac:dyDescent="0.25">
      <c r="B219" s="62"/>
      <c r="C219" s="62"/>
      <c r="D219" s="62"/>
      <c r="E219" s="62"/>
      <c r="F219" s="62"/>
      <c r="G219" s="62"/>
    </row>
    <row r="220" spans="2:8" ht="29.25" hidden="1" thickBot="1" x14ac:dyDescent="0.25">
      <c r="B220" s="503" t="s">
        <v>6</v>
      </c>
      <c r="C220" s="504" t="s">
        <v>73</v>
      </c>
      <c r="D220" s="505"/>
      <c r="E220" s="513" t="s">
        <v>415</v>
      </c>
      <c r="F220" s="506" t="s">
        <v>427</v>
      </c>
      <c r="G220" s="62"/>
    </row>
    <row r="221" spans="2:8" ht="14.25" hidden="1" x14ac:dyDescent="0.2">
      <c r="B221" s="71">
        <v>67</v>
      </c>
      <c r="C221" s="72" t="s">
        <v>416</v>
      </c>
      <c r="D221" s="437"/>
      <c r="E221" s="437">
        <v>700</v>
      </c>
      <c r="F221" s="72">
        <v>450</v>
      </c>
      <c r="G221" s="62"/>
    </row>
    <row r="222" spans="2:8" ht="14.25" hidden="1" x14ac:dyDescent="0.2">
      <c r="B222" s="76">
        <v>68</v>
      </c>
      <c r="C222" s="77" t="s">
        <v>417</v>
      </c>
      <c r="D222" s="438"/>
      <c r="E222" s="438">
        <v>750</v>
      </c>
      <c r="F222" s="77">
        <v>450</v>
      </c>
      <c r="G222" s="62"/>
    </row>
    <row r="223" spans="2:8" ht="14.25" hidden="1" x14ac:dyDescent="0.2">
      <c r="B223" s="76">
        <v>69</v>
      </c>
      <c r="C223" s="77" t="s">
        <v>418</v>
      </c>
      <c r="D223" s="438"/>
      <c r="E223" s="438">
        <v>900</v>
      </c>
      <c r="F223" s="77">
        <v>450</v>
      </c>
      <c r="G223" s="62"/>
    </row>
    <row r="224" spans="2:8" ht="14.25" hidden="1" x14ac:dyDescent="0.2">
      <c r="B224" s="71">
        <v>70</v>
      </c>
      <c r="C224" s="77" t="s">
        <v>419</v>
      </c>
      <c r="D224" s="438"/>
      <c r="E224" s="438">
        <v>1000</v>
      </c>
      <c r="F224" s="77">
        <v>450</v>
      </c>
      <c r="G224" s="62"/>
    </row>
    <row r="225" spans="2:7" ht="14.25" hidden="1" x14ac:dyDescent="0.2">
      <c r="B225" s="76">
        <v>71</v>
      </c>
      <c r="C225" s="77" t="s">
        <v>420</v>
      </c>
      <c r="D225" s="438"/>
      <c r="E225" s="438">
        <v>1100</v>
      </c>
      <c r="F225" s="77">
        <v>450</v>
      </c>
      <c r="G225" s="62"/>
    </row>
    <row r="226" spans="2:7" ht="14.25" hidden="1" x14ac:dyDescent="0.2">
      <c r="B226" s="76">
        <v>72</v>
      </c>
      <c r="C226" s="77" t="s">
        <v>421</v>
      </c>
      <c r="D226" s="438"/>
      <c r="E226" s="438">
        <v>1100</v>
      </c>
      <c r="F226" s="77">
        <v>450</v>
      </c>
      <c r="G226" s="62"/>
    </row>
    <row r="227" spans="2:7" ht="14.25" hidden="1" x14ac:dyDescent="0.2">
      <c r="B227" s="71">
        <v>73</v>
      </c>
      <c r="C227" s="77" t="s">
        <v>422</v>
      </c>
      <c r="D227" s="438"/>
      <c r="E227" s="438">
        <v>1150</v>
      </c>
      <c r="F227" s="77">
        <v>600</v>
      </c>
      <c r="G227" s="62"/>
    </row>
    <row r="228" spans="2:7" ht="14.25" hidden="1" x14ac:dyDescent="0.2">
      <c r="B228" s="76">
        <v>74</v>
      </c>
      <c r="C228" s="77" t="s">
        <v>423</v>
      </c>
      <c r="D228" s="438"/>
      <c r="E228" s="438">
        <v>1200</v>
      </c>
      <c r="F228" s="77">
        <v>600</v>
      </c>
      <c r="G228" s="62"/>
    </row>
    <row r="229" spans="2:7" ht="14.25" hidden="1" x14ac:dyDescent="0.2">
      <c r="B229" s="76">
        <v>75</v>
      </c>
      <c r="C229" s="77" t="s">
        <v>424</v>
      </c>
      <c r="D229" s="438"/>
      <c r="E229" s="438">
        <v>1200</v>
      </c>
      <c r="F229" s="77">
        <v>600</v>
      </c>
      <c r="G229" s="62"/>
    </row>
    <row r="230" spans="2:7" ht="14.25" hidden="1" x14ac:dyDescent="0.2">
      <c r="B230" s="71">
        <v>76</v>
      </c>
      <c r="C230" s="77" t="s">
        <v>425</v>
      </c>
      <c r="D230" s="438"/>
      <c r="E230" s="438">
        <v>1400</v>
      </c>
      <c r="F230" s="77">
        <v>600</v>
      </c>
      <c r="G230" s="62"/>
    </row>
    <row r="231" spans="2:7" ht="15" hidden="1" thickBot="1" x14ac:dyDescent="0.25">
      <c r="B231" s="88">
        <v>77</v>
      </c>
      <c r="C231" s="82" t="s">
        <v>426</v>
      </c>
      <c r="D231" s="439"/>
      <c r="E231" s="439">
        <v>1400</v>
      </c>
      <c r="F231" s="82">
        <v>600</v>
      </c>
      <c r="G231" s="62"/>
    </row>
    <row r="232" spans="2:7" ht="14.25" hidden="1" x14ac:dyDescent="0.2">
      <c r="B232" s="62"/>
      <c r="C232" s="62"/>
      <c r="D232" s="62"/>
      <c r="E232" s="62"/>
      <c r="F232" s="62"/>
      <c r="G232" s="62"/>
    </row>
    <row r="233" spans="2:7" ht="14.25" hidden="1" x14ac:dyDescent="0.2">
      <c r="B233" s="62"/>
      <c r="C233" s="62"/>
      <c r="D233" s="62"/>
      <c r="E233" s="62"/>
      <c r="F233" s="62"/>
      <c r="G233" s="62"/>
    </row>
    <row r="234" spans="2:7" ht="14.25" x14ac:dyDescent="0.2">
      <c r="B234" s="62"/>
      <c r="C234" s="62"/>
      <c r="D234" s="62"/>
      <c r="E234" s="62"/>
      <c r="F234" s="62"/>
      <c r="G234" s="62"/>
    </row>
    <row r="235" spans="2:7" ht="14.25" x14ac:dyDescent="0.2">
      <c r="B235" s="62"/>
      <c r="C235" s="62"/>
      <c r="D235" s="62"/>
      <c r="E235" s="62"/>
      <c r="F235" s="62"/>
      <c r="G235" s="62"/>
    </row>
    <row r="236" spans="2:7" ht="14.25" x14ac:dyDescent="0.2">
      <c r="B236" s="62"/>
      <c r="C236" s="62"/>
      <c r="D236" s="62"/>
      <c r="E236" s="62"/>
      <c r="F236" s="62"/>
      <c r="G236" s="62"/>
    </row>
    <row r="237" spans="2:7" ht="14.25" x14ac:dyDescent="0.2">
      <c r="B237" s="62"/>
      <c r="C237" s="62"/>
      <c r="D237" s="62"/>
      <c r="E237" s="62"/>
      <c r="F237" s="62"/>
      <c r="G237" s="62"/>
    </row>
  </sheetData>
  <mergeCells count="17">
    <mergeCell ref="B218:G218"/>
    <mergeCell ref="E213:F213"/>
    <mergeCell ref="E215:F215"/>
    <mergeCell ref="E105:F105"/>
    <mergeCell ref="E106:F106"/>
    <mergeCell ref="E107:F107"/>
    <mergeCell ref="E209:F209"/>
    <mergeCell ref="E210:F210"/>
    <mergeCell ref="E211:F211"/>
    <mergeCell ref="E167:F167"/>
    <mergeCell ref="E168:F168"/>
    <mergeCell ref="E169:F169"/>
    <mergeCell ref="E7:E8"/>
    <mergeCell ref="K105:L105"/>
    <mergeCell ref="K106:L106"/>
    <mergeCell ref="K107:L107"/>
    <mergeCell ref="B2:G2"/>
  </mergeCells>
  <pageMargins left="0.47" right="0.39" top="0.75" bottom="0.75" header="0.3" footer="0.3"/>
  <pageSetup paperSize="9" scale="54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64"/>
  <sheetViews>
    <sheetView view="pageBreakPreview" topLeftCell="A70" zoomScaleNormal="100" zoomScaleSheetLayoutView="100" workbookViewId="0">
      <selection activeCell="A88" sqref="A88:XFD88"/>
    </sheetView>
  </sheetViews>
  <sheetFormatPr baseColWidth="10" defaultColWidth="11.42578125" defaultRowHeight="12.75" x14ac:dyDescent="0.2"/>
  <cols>
    <col min="1" max="1" width="11.42578125" style="89"/>
    <col min="2" max="2" width="10" style="89" customWidth="1"/>
    <col min="3" max="3" width="6.42578125" style="89" customWidth="1"/>
    <col min="4" max="4" width="72.28515625" style="89" customWidth="1"/>
    <col min="5" max="5" width="11.28515625" style="89" customWidth="1"/>
    <col min="6" max="6" width="11" style="89" customWidth="1"/>
    <col min="7" max="7" width="13" style="89" customWidth="1"/>
    <col min="8" max="8" width="16" style="89" customWidth="1"/>
    <col min="9" max="9" width="35.5703125" style="89" customWidth="1"/>
    <col min="10" max="10" width="11.85546875" style="89" customWidth="1"/>
    <col min="11" max="11" width="15.5703125" style="89" customWidth="1"/>
    <col min="12" max="12" width="11.42578125" style="89"/>
    <col min="13" max="13" width="11.5703125" style="89" bestFit="1" customWidth="1"/>
    <col min="14" max="14" width="13.7109375" style="89" bestFit="1" customWidth="1"/>
    <col min="15" max="16384" width="11.42578125" style="89"/>
  </cols>
  <sheetData>
    <row r="1" spans="2:10" ht="13.5" thickBot="1" x14ac:dyDescent="0.25"/>
    <row r="2" spans="2:10" ht="16.5" customHeight="1" thickBot="1" x14ac:dyDescent="0.3">
      <c r="B2" s="1165" t="s">
        <v>411</v>
      </c>
      <c r="C2" s="1166"/>
      <c r="D2" s="1166"/>
      <c r="E2" s="1166"/>
      <c r="F2" s="1166"/>
      <c r="G2" s="1167"/>
      <c r="H2" s="90"/>
      <c r="I2" s="90"/>
      <c r="J2" s="90"/>
    </row>
    <row r="3" spans="2:10" ht="13.5" thickBot="1" x14ac:dyDescent="0.25">
      <c r="C3" s="91"/>
      <c r="D3" s="136"/>
      <c r="E3" s="94"/>
      <c r="F3" s="94"/>
      <c r="G3" s="94"/>
    </row>
    <row r="4" spans="2:10" ht="16.5" thickBot="1" x14ac:dyDescent="0.3">
      <c r="C4" s="192" t="s">
        <v>6</v>
      </c>
      <c r="D4" s="155" t="s">
        <v>281</v>
      </c>
      <c r="E4" s="158" t="s">
        <v>111</v>
      </c>
      <c r="F4" s="135" t="s">
        <v>72</v>
      </c>
      <c r="G4" s="135" t="s">
        <v>97</v>
      </c>
    </row>
    <row r="5" spans="2:10" ht="14.25" x14ac:dyDescent="0.2">
      <c r="B5" s="1171" t="s">
        <v>435</v>
      </c>
      <c r="C5" s="189">
        <v>1</v>
      </c>
      <c r="D5" s="187" t="s">
        <v>282</v>
      </c>
      <c r="E5" s="159">
        <f>70*0.75</f>
        <v>52.5</v>
      </c>
      <c r="F5" s="132">
        <f>'Precios Equipos'!E140</f>
        <v>17</v>
      </c>
      <c r="G5" s="148">
        <f>F5*E5</f>
        <v>892.5</v>
      </c>
    </row>
    <row r="6" spans="2:10" ht="14.25" x14ac:dyDescent="0.2">
      <c r="B6" s="1172"/>
      <c r="C6" s="190">
        <v>2</v>
      </c>
      <c r="D6" s="143" t="s">
        <v>283</v>
      </c>
      <c r="E6" s="160">
        <f>100*0.75</f>
        <v>75</v>
      </c>
      <c r="F6" s="110">
        <f>'Precios Equipos'!E141</f>
        <v>16</v>
      </c>
      <c r="G6" s="149">
        <f>F6*E6</f>
        <v>1200</v>
      </c>
    </row>
    <row r="7" spans="2:10" ht="14.25" x14ac:dyDescent="0.2">
      <c r="B7" s="1172"/>
      <c r="C7" s="190">
        <v>3</v>
      </c>
      <c r="D7" s="187" t="s">
        <v>284</v>
      </c>
      <c r="E7" s="159">
        <f>120*0.75</f>
        <v>90</v>
      </c>
      <c r="F7" s="132">
        <v>0</v>
      </c>
      <c r="G7" s="148">
        <f>F7*E7</f>
        <v>0</v>
      </c>
    </row>
    <row r="8" spans="2:10" ht="14.25" x14ac:dyDescent="0.2">
      <c r="B8" s="1172"/>
      <c r="C8" s="190">
        <v>4</v>
      </c>
      <c r="D8" s="143" t="s">
        <v>285</v>
      </c>
      <c r="E8" s="160">
        <f>140*0.75</f>
        <v>105</v>
      </c>
      <c r="F8" s="110" t="e">
        <f>'Precios Equipos'!#REF!</f>
        <v>#REF!</v>
      </c>
      <c r="G8" s="149" t="e">
        <f>F8*E8</f>
        <v>#REF!</v>
      </c>
    </row>
    <row r="9" spans="2:10" ht="15" thickBot="1" x14ac:dyDescent="0.25">
      <c r="B9" s="1173"/>
      <c r="C9" s="191">
        <v>5</v>
      </c>
      <c r="D9" s="188" t="s">
        <v>286</v>
      </c>
      <c r="E9" s="161">
        <f>160*0.75</f>
        <v>120</v>
      </c>
      <c r="F9" s="134" t="e">
        <f>'Precios Equipos'!#REF!</f>
        <v>#REF!</v>
      </c>
      <c r="G9" s="150" t="e">
        <f>F9*E9</f>
        <v>#REF!</v>
      </c>
    </row>
    <row r="10" spans="2:10" ht="15" thickBot="1" x14ac:dyDescent="0.25">
      <c r="C10" s="91"/>
      <c r="E10" s="131"/>
      <c r="F10" s="94"/>
      <c r="G10" s="249" t="e">
        <f>SUM(G5:G9)</f>
        <v>#REF!</v>
      </c>
    </row>
    <row r="11" spans="2:10" ht="13.5" thickBot="1" x14ac:dyDescent="0.25">
      <c r="C11" s="91"/>
      <c r="E11" s="131"/>
      <c r="F11" s="94"/>
      <c r="G11" s="94"/>
    </row>
    <row r="12" spans="2:10" ht="16.5" thickBot="1" x14ac:dyDescent="0.3">
      <c r="C12" s="192" t="s">
        <v>6</v>
      </c>
      <c r="D12" s="155" t="s">
        <v>275</v>
      </c>
      <c r="E12" s="158" t="s">
        <v>111</v>
      </c>
      <c r="F12" s="135" t="s">
        <v>72</v>
      </c>
      <c r="G12" s="135" t="s">
        <v>97</v>
      </c>
    </row>
    <row r="13" spans="2:10" ht="15" thickBot="1" x14ac:dyDescent="0.25">
      <c r="C13" s="189">
        <v>6</v>
      </c>
      <c r="D13" s="187" t="s">
        <v>455</v>
      </c>
      <c r="E13" s="196">
        <f>20*0.75</f>
        <v>15</v>
      </c>
      <c r="F13" s="132" t="e">
        <f>'Precios Equipos'!#REF!</f>
        <v>#REF!</v>
      </c>
      <c r="G13" s="148" t="e">
        <f t="shared" ref="G13:G18" si="0">F13*E13</f>
        <v>#REF!</v>
      </c>
    </row>
    <row r="14" spans="2:10" ht="14.25" x14ac:dyDescent="0.2">
      <c r="B14" s="1174" t="s">
        <v>436</v>
      </c>
      <c r="C14" s="189">
        <v>6</v>
      </c>
      <c r="D14" s="187" t="s">
        <v>280</v>
      </c>
      <c r="E14" s="159">
        <f>40*0.75</f>
        <v>30</v>
      </c>
      <c r="F14" s="132" t="e">
        <f>'Precios Equipos'!#REF!</f>
        <v>#REF!</v>
      </c>
      <c r="G14" s="148" t="e">
        <f t="shared" si="0"/>
        <v>#REF!</v>
      </c>
    </row>
    <row r="15" spans="2:10" ht="14.25" x14ac:dyDescent="0.2">
      <c r="B15" s="1175"/>
      <c r="C15" s="190">
        <v>7</v>
      </c>
      <c r="D15" s="143" t="s">
        <v>276</v>
      </c>
      <c r="E15" s="160">
        <f>60*0.75</f>
        <v>45</v>
      </c>
      <c r="F15" s="110" t="e">
        <f>'Precios Equipos'!#REF!</f>
        <v>#REF!</v>
      </c>
      <c r="G15" s="148" t="e">
        <f t="shared" si="0"/>
        <v>#REF!</v>
      </c>
    </row>
    <row r="16" spans="2:10" ht="14.25" x14ac:dyDescent="0.2">
      <c r="B16" s="1175"/>
      <c r="C16" s="190">
        <v>8</v>
      </c>
      <c r="D16" s="187" t="s">
        <v>277</v>
      </c>
      <c r="E16" s="160">
        <f>80*0.75</f>
        <v>60</v>
      </c>
      <c r="F16" s="132">
        <v>0</v>
      </c>
      <c r="G16" s="148">
        <f t="shared" si="0"/>
        <v>0</v>
      </c>
    </row>
    <row r="17" spans="2:7" ht="14.25" x14ac:dyDescent="0.2">
      <c r="B17" s="1175"/>
      <c r="C17" s="190">
        <v>9</v>
      </c>
      <c r="D17" s="143" t="s">
        <v>278</v>
      </c>
      <c r="E17" s="160">
        <f>100*0.75</f>
        <v>75</v>
      </c>
      <c r="F17" s="110" t="e">
        <f>'Precios Equipos'!#REF!</f>
        <v>#REF!</v>
      </c>
      <c r="G17" s="148" t="e">
        <f t="shared" si="0"/>
        <v>#REF!</v>
      </c>
    </row>
    <row r="18" spans="2:7" ht="15" thickBot="1" x14ac:dyDescent="0.25">
      <c r="B18" s="1176"/>
      <c r="C18" s="191">
        <v>10</v>
      </c>
      <c r="D18" s="188" t="s">
        <v>279</v>
      </c>
      <c r="E18" s="197">
        <f>120*0.75</f>
        <v>90</v>
      </c>
      <c r="F18" s="134" t="e">
        <f>'Precios Equipos'!#REF!</f>
        <v>#REF!</v>
      </c>
      <c r="G18" s="152" t="e">
        <f t="shared" si="0"/>
        <v>#REF!</v>
      </c>
    </row>
    <row r="19" spans="2:7" ht="15" thickBot="1" x14ac:dyDescent="0.25">
      <c r="C19" s="91"/>
      <c r="D19" s="98"/>
      <c r="E19" s="151"/>
      <c r="F19" s="151"/>
      <c r="G19" s="249" t="e">
        <f>SUM(G14:G18)</f>
        <v>#REF!</v>
      </c>
    </row>
    <row r="20" spans="2:7" ht="15" thickBot="1" x14ac:dyDescent="0.25">
      <c r="C20" s="91"/>
      <c r="D20" s="98"/>
      <c r="E20" s="151"/>
      <c r="F20" s="151"/>
      <c r="G20" s="105"/>
    </row>
    <row r="21" spans="2:7" ht="16.5" thickBot="1" x14ac:dyDescent="0.3">
      <c r="C21" s="192" t="s">
        <v>6</v>
      </c>
      <c r="D21" s="155" t="s">
        <v>341</v>
      </c>
      <c r="E21" s="158" t="s">
        <v>111</v>
      </c>
      <c r="F21" s="135" t="s">
        <v>72</v>
      </c>
      <c r="G21" s="135" t="s">
        <v>97</v>
      </c>
    </row>
    <row r="22" spans="2:7" ht="15" thickBot="1" x14ac:dyDescent="0.25">
      <c r="B22" s="1174" t="s">
        <v>437</v>
      </c>
      <c r="C22" s="189">
        <v>11</v>
      </c>
      <c r="D22" s="187" t="s">
        <v>574</v>
      </c>
      <c r="E22" s="196">
        <v>1000</v>
      </c>
      <c r="F22" s="132">
        <v>1</v>
      </c>
      <c r="G22" s="148">
        <f t="shared" ref="G22:G28" si="1">F22*E22</f>
        <v>1000</v>
      </c>
    </row>
    <row r="23" spans="2:7" ht="15" thickBot="1" x14ac:dyDescent="0.25">
      <c r="B23" s="1175"/>
      <c r="C23" s="189">
        <v>11</v>
      </c>
      <c r="D23" s="187" t="s">
        <v>576</v>
      </c>
      <c r="E23" s="159">
        <v>1000</v>
      </c>
      <c r="F23" s="132">
        <v>1</v>
      </c>
      <c r="G23" s="148">
        <f t="shared" si="1"/>
        <v>1000</v>
      </c>
    </row>
    <row r="24" spans="2:7" ht="15" thickBot="1" x14ac:dyDescent="0.25">
      <c r="B24" s="1175"/>
      <c r="C24" s="189">
        <v>11</v>
      </c>
      <c r="D24" s="187" t="s">
        <v>466</v>
      </c>
      <c r="E24" s="159">
        <v>1500</v>
      </c>
      <c r="F24" s="132">
        <v>1</v>
      </c>
      <c r="G24" s="148">
        <f t="shared" si="1"/>
        <v>1500</v>
      </c>
    </row>
    <row r="25" spans="2:7" ht="15" thickBot="1" x14ac:dyDescent="0.25">
      <c r="B25" s="1175"/>
      <c r="C25" s="189">
        <v>11</v>
      </c>
      <c r="D25" s="187" t="s">
        <v>580</v>
      </c>
      <c r="E25" s="159">
        <v>700</v>
      </c>
      <c r="F25" s="132">
        <v>1</v>
      </c>
      <c r="G25" s="148">
        <f t="shared" si="1"/>
        <v>700</v>
      </c>
    </row>
    <row r="26" spans="2:7" ht="15" thickBot="1" x14ac:dyDescent="0.25">
      <c r="B26" s="1175"/>
      <c r="C26" s="189">
        <v>11</v>
      </c>
      <c r="D26" s="187" t="s">
        <v>467</v>
      </c>
      <c r="E26" s="159">
        <v>1000</v>
      </c>
      <c r="F26" s="132">
        <v>1</v>
      </c>
      <c r="G26" s="148">
        <f t="shared" si="1"/>
        <v>1000</v>
      </c>
    </row>
    <row r="27" spans="2:7" ht="15" thickBot="1" x14ac:dyDescent="0.25">
      <c r="B27" s="1175"/>
      <c r="C27" s="189">
        <v>11</v>
      </c>
      <c r="D27" s="187" t="s">
        <v>468</v>
      </c>
      <c r="E27" s="159">
        <v>350</v>
      </c>
      <c r="F27" s="132">
        <v>1</v>
      </c>
      <c r="G27" s="148">
        <f t="shared" si="1"/>
        <v>350</v>
      </c>
    </row>
    <row r="28" spans="2:7" ht="14.25" x14ac:dyDescent="0.2">
      <c r="B28" s="1175"/>
      <c r="C28" s="189">
        <v>11</v>
      </c>
      <c r="D28" s="187" t="s">
        <v>469</v>
      </c>
      <c r="E28" s="159">
        <v>350</v>
      </c>
      <c r="F28" s="132">
        <v>1</v>
      </c>
      <c r="G28" s="148">
        <f t="shared" si="1"/>
        <v>350</v>
      </c>
    </row>
    <row r="29" spans="2:7" ht="14.25" x14ac:dyDescent="0.2">
      <c r="B29" s="1175"/>
      <c r="C29" s="190">
        <v>12</v>
      </c>
      <c r="D29" s="187" t="s">
        <v>342</v>
      </c>
      <c r="E29" s="160">
        <v>600</v>
      </c>
      <c r="F29" s="110">
        <v>1</v>
      </c>
      <c r="G29" s="148">
        <f>F29*E29</f>
        <v>600</v>
      </c>
    </row>
    <row r="30" spans="2:7" ht="14.25" x14ac:dyDescent="0.2">
      <c r="B30" s="1175"/>
      <c r="C30" s="190">
        <v>13</v>
      </c>
      <c r="D30" s="187" t="s">
        <v>343</v>
      </c>
      <c r="E30" s="160">
        <v>500</v>
      </c>
      <c r="F30" s="132">
        <v>1</v>
      </c>
      <c r="G30" s="148">
        <f>F30*E30</f>
        <v>500</v>
      </c>
    </row>
    <row r="31" spans="2:7" ht="15" thickBot="1" x14ac:dyDescent="0.25">
      <c r="B31" s="1176"/>
      <c r="C31" s="190">
        <v>14</v>
      </c>
      <c r="D31" s="187" t="s">
        <v>344</v>
      </c>
      <c r="E31" s="160">
        <v>450</v>
      </c>
      <c r="F31" s="110">
        <v>1</v>
      </c>
      <c r="G31" s="148">
        <f>F31*E31</f>
        <v>450</v>
      </c>
    </row>
    <row r="32" spans="2:7" ht="15" thickBot="1" x14ac:dyDescent="0.25">
      <c r="C32" s="91"/>
      <c r="D32" s="98"/>
      <c r="E32" s="151"/>
      <c r="F32" s="151"/>
      <c r="G32" s="249">
        <f>SUM(G22:G31)</f>
        <v>7450</v>
      </c>
    </row>
    <row r="33" spans="2:7" ht="14.25" x14ac:dyDescent="0.2">
      <c r="C33" s="91"/>
      <c r="D33" s="98"/>
      <c r="E33" s="151"/>
      <c r="F33" s="151"/>
      <c r="G33" s="105"/>
    </row>
    <row r="34" spans="2:7" ht="13.5" thickBot="1" x14ac:dyDescent="0.25">
      <c r="C34" s="91"/>
      <c r="D34" s="136"/>
      <c r="E34" s="94"/>
      <c r="F34" s="94"/>
      <c r="G34" s="94"/>
    </row>
    <row r="35" spans="2:7" ht="16.5" thickBot="1" x14ac:dyDescent="0.3">
      <c r="C35" s="192" t="s">
        <v>6</v>
      </c>
      <c r="D35" s="155" t="s">
        <v>287</v>
      </c>
      <c r="E35" s="158" t="s">
        <v>111</v>
      </c>
      <c r="F35" s="135" t="s">
        <v>72</v>
      </c>
      <c r="G35" s="135" t="s">
        <v>97</v>
      </c>
    </row>
    <row r="36" spans="2:7" ht="14.25" x14ac:dyDescent="0.2">
      <c r="B36" s="1177" t="s">
        <v>438</v>
      </c>
      <c r="C36" s="189">
        <v>15</v>
      </c>
      <c r="D36" s="186" t="s">
        <v>288</v>
      </c>
      <c r="E36" s="196">
        <f>40*4*0.75</f>
        <v>120</v>
      </c>
      <c r="F36" s="153">
        <v>6</v>
      </c>
      <c r="G36" s="154">
        <f t="shared" ref="G36:G42" si="2">F36*E36</f>
        <v>720</v>
      </c>
    </row>
    <row r="37" spans="2:7" ht="14.25" x14ac:dyDescent="0.2">
      <c r="B37" s="1178"/>
      <c r="C37" s="190">
        <v>16</v>
      </c>
      <c r="D37" s="187" t="s">
        <v>289</v>
      </c>
      <c r="E37" s="160">
        <f>50*4*0.75</f>
        <v>150</v>
      </c>
      <c r="F37" s="110">
        <v>29</v>
      </c>
      <c r="G37" s="148">
        <f t="shared" si="2"/>
        <v>4350</v>
      </c>
    </row>
    <row r="38" spans="2:7" ht="14.25" x14ac:dyDescent="0.2">
      <c r="B38" s="1178"/>
      <c r="C38" s="190">
        <v>16</v>
      </c>
      <c r="D38" s="187" t="s">
        <v>457</v>
      </c>
      <c r="E38" s="160">
        <f>250*0.75</f>
        <v>187.5</v>
      </c>
      <c r="F38" s="110">
        <v>29</v>
      </c>
      <c r="G38" s="148">
        <f t="shared" si="2"/>
        <v>5437.5</v>
      </c>
    </row>
    <row r="39" spans="2:7" ht="14.25" x14ac:dyDescent="0.2">
      <c r="B39" s="1178"/>
      <c r="C39" s="190">
        <v>17</v>
      </c>
      <c r="D39" s="187" t="s">
        <v>290</v>
      </c>
      <c r="E39" s="160">
        <f>75*4*0.75</f>
        <v>225</v>
      </c>
      <c r="F39" s="132">
        <v>19</v>
      </c>
      <c r="G39" s="148">
        <f t="shared" si="2"/>
        <v>4275</v>
      </c>
    </row>
    <row r="40" spans="2:7" ht="14.25" x14ac:dyDescent="0.2">
      <c r="B40" s="1178"/>
      <c r="C40" s="440">
        <v>18</v>
      </c>
      <c r="D40" s="142" t="s">
        <v>429</v>
      </c>
      <c r="E40" s="441">
        <f>350*0.75</f>
        <v>262.5</v>
      </c>
      <c r="F40" s="442">
        <v>0</v>
      </c>
      <c r="G40" s="443">
        <f t="shared" si="2"/>
        <v>0</v>
      </c>
    </row>
    <row r="41" spans="2:7" ht="15" thickBot="1" x14ac:dyDescent="0.25">
      <c r="B41" s="1179"/>
      <c r="C41" s="191">
        <v>19</v>
      </c>
      <c r="D41" s="188" t="s">
        <v>291</v>
      </c>
      <c r="E41" s="197">
        <f>400*0.75</f>
        <v>300</v>
      </c>
      <c r="F41" s="113" t="e">
        <f>'Precios Equipos'!#REF!</f>
        <v>#REF!</v>
      </c>
      <c r="G41" s="150" t="e">
        <f t="shared" si="2"/>
        <v>#REF!</v>
      </c>
    </row>
    <row r="42" spans="2:7" ht="15" thickBot="1" x14ac:dyDescent="0.25">
      <c r="B42" s="461"/>
      <c r="C42" s="191">
        <v>19</v>
      </c>
      <c r="D42" s="188" t="s">
        <v>461</v>
      </c>
      <c r="E42" s="197">
        <f>500*0.75</f>
        <v>375</v>
      </c>
      <c r="F42" s="113" t="e">
        <f>'Precios Equipos'!#REF!</f>
        <v>#REF!</v>
      </c>
      <c r="G42" s="150" t="e">
        <f t="shared" si="2"/>
        <v>#REF!</v>
      </c>
    </row>
    <row r="43" spans="2:7" ht="15" thickBot="1" x14ac:dyDescent="0.25">
      <c r="C43" s="91"/>
      <c r="D43" s="98"/>
      <c r="E43" s="151"/>
      <c r="F43" s="151"/>
      <c r="G43" s="250" t="e">
        <f>SUM(G36:G41)</f>
        <v>#REF!</v>
      </c>
    </row>
    <row r="44" spans="2:7" ht="15" thickBot="1" x14ac:dyDescent="0.25">
      <c r="C44" s="91"/>
      <c r="D44" s="98"/>
      <c r="E44" s="151"/>
      <c r="F44" s="151"/>
      <c r="G44" s="105"/>
    </row>
    <row r="45" spans="2:7" ht="16.5" thickBot="1" x14ac:dyDescent="0.3">
      <c r="C45" s="192" t="s">
        <v>6</v>
      </c>
      <c r="D45" s="155" t="s">
        <v>406</v>
      </c>
      <c r="E45" s="158" t="s">
        <v>111</v>
      </c>
      <c r="F45" s="135" t="s">
        <v>72</v>
      </c>
      <c r="G45" s="135" t="s">
        <v>97</v>
      </c>
    </row>
    <row r="46" spans="2:7" ht="14.25" x14ac:dyDescent="0.2">
      <c r="B46" s="1177" t="s">
        <v>439</v>
      </c>
      <c r="C46" s="189">
        <v>20</v>
      </c>
      <c r="D46" s="186" t="s">
        <v>430</v>
      </c>
      <c r="E46" s="196">
        <f>40*4*0.75</f>
        <v>120</v>
      </c>
      <c r="F46" s="153">
        <v>0</v>
      </c>
      <c r="G46" s="154">
        <f t="shared" ref="G46:G52" si="3">F46*E46</f>
        <v>0</v>
      </c>
    </row>
    <row r="47" spans="2:7" ht="14.25" x14ac:dyDescent="0.2">
      <c r="B47" s="1178"/>
      <c r="C47" s="190">
        <v>21</v>
      </c>
      <c r="D47" s="187" t="s">
        <v>431</v>
      </c>
      <c r="E47" s="160">
        <f>50*4*0.75</f>
        <v>150</v>
      </c>
      <c r="F47" s="110">
        <v>0</v>
      </c>
      <c r="G47" s="148">
        <f t="shared" si="3"/>
        <v>0</v>
      </c>
    </row>
    <row r="48" spans="2:7" ht="14.25" x14ac:dyDescent="0.2">
      <c r="B48" s="1178"/>
      <c r="C48" s="190">
        <v>22</v>
      </c>
      <c r="D48" s="187" t="s">
        <v>470</v>
      </c>
      <c r="E48" s="160">
        <f>300*0.75</f>
        <v>225</v>
      </c>
      <c r="F48" s="132">
        <v>0</v>
      </c>
      <c r="G48" s="148">
        <f t="shared" si="3"/>
        <v>0</v>
      </c>
    </row>
    <row r="49" spans="2:7" ht="14.25" x14ac:dyDescent="0.2">
      <c r="B49" s="1178"/>
      <c r="C49" s="190">
        <v>22</v>
      </c>
      <c r="D49" s="187" t="s">
        <v>432</v>
      </c>
      <c r="E49" s="160">
        <f>320*0.75</f>
        <v>240</v>
      </c>
      <c r="F49" s="132">
        <v>0</v>
      </c>
      <c r="G49" s="148">
        <f t="shared" si="3"/>
        <v>0</v>
      </c>
    </row>
    <row r="50" spans="2:7" ht="14.25" x14ac:dyDescent="0.2">
      <c r="B50" s="1178"/>
      <c r="C50" s="440">
        <v>23</v>
      </c>
      <c r="D50" s="187" t="s">
        <v>433</v>
      </c>
      <c r="E50" s="441">
        <f>370*0.75</f>
        <v>277.5</v>
      </c>
      <c r="F50" s="442">
        <v>0</v>
      </c>
      <c r="G50" s="443">
        <f t="shared" si="3"/>
        <v>0</v>
      </c>
    </row>
    <row r="51" spans="2:7" ht="15" thickBot="1" x14ac:dyDescent="0.25">
      <c r="B51" s="1179"/>
      <c r="C51" s="191">
        <v>24</v>
      </c>
      <c r="D51" s="188" t="s">
        <v>434</v>
      </c>
      <c r="E51" s="197">
        <f>420*0.75</f>
        <v>315</v>
      </c>
      <c r="F51" s="113">
        <v>0</v>
      </c>
      <c r="G51" s="150">
        <f t="shared" si="3"/>
        <v>0</v>
      </c>
    </row>
    <row r="52" spans="2:7" ht="15" thickBot="1" x14ac:dyDescent="0.25">
      <c r="B52" s="461"/>
      <c r="C52" s="191">
        <v>24</v>
      </c>
      <c r="D52" s="188" t="s">
        <v>459</v>
      </c>
      <c r="E52" s="197">
        <f>500*0.75</f>
        <v>375</v>
      </c>
      <c r="F52" s="113">
        <v>0</v>
      </c>
      <c r="G52" s="150">
        <f t="shared" si="3"/>
        <v>0</v>
      </c>
    </row>
    <row r="53" spans="2:7" ht="15" thickBot="1" x14ac:dyDescent="0.25">
      <c r="C53" s="91"/>
      <c r="D53" s="98"/>
      <c r="E53" s="151"/>
      <c r="F53" s="151"/>
      <c r="G53" s="250">
        <f>SUM(G46:G51)</f>
        <v>0</v>
      </c>
    </row>
    <row r="54" spans="2:7" ht="14.25" x14ac:dyDescent="0.2">
      <c r="C54" s="91"/>
      <c r="D54" s="98"/>
      <c r="E54" s="151"/>
      <c r="F54" s="151"/>
      <c r="G54" s="105"/>
    </row>
    <row r="55" spans="2:7" ht="15" thickBot="1" x14ac:dyDescent="0.25">
      <c r="C55" s="91"/>
      <c r="D55" s="98"/>
      <c r="E55" s="151"/>
      <c r="F55" s="151"/>
      <c r="G55" s="105"/>
    </row>
    <row r="56" spans="2:7" ht="16.5" thickBot="1" x14ac:dyDescent="0.3">
      <c r="C56" s="193" t="s">
        <v>6</v>
      </c>
      <c r="D56" s="155" t="s">
        <v>292</v>
      </c>
      <c r="E56" s="158" t="s">
        <v>111</v>
      </c>
      <c r="F56" s="158" t="s">
        <v>72</v>
      </c>
      <c r="G56" s="135" t="s">
        <v>97</v>
      </c>
    </row>
    <row r="57" spans="2:7" ht="14.25" x14ac:dyDescent="0.2">
      <c r="B57" s="1177" t="s">
        <v>441</v>
      </c>
      <c r="C57" s="189">
        <v>25</v>
      </c>
      <c r="D57" s="208" t="s">
        <v>293</v>
      </c>
      <c r="E57" s="141">
        <v>500</v>
      </c>
      <c r="F57" s="141">
        <v>4</v>
      </c>
      <c r="G57" s="458">
        <f t="shared" ref="G57:G62" si="4">F57*E57</f>
        <v>2000</v>
      </c>
    </row>
    <row r="58" spans="2:7" ht="15" thickBot="1" x14ac:dyDescent="0.25">
      <c r="B58" s="1179"/>
      <c r="C58" s="455">
        <v>26</v>
      </c>
      <c r="D58" s="456" t="s">
        <v>440</v>
      </c>
      <c r="E58" s="386">
        <v>600</v>
      </c>
      <c r="F58" s="386">
        <v>0</v>
      </c>
      <c r="G58" s="457">
        <f t="shared" si="4"/>
        <v>0</v>
      </c>
    </row>
    <row r="59" spans="2:7" ht="15" thickBot="1" x14ac:dyDescent="0.25">
      <c r="B59" s="461"/>
      <c r="C59" s="455">
        <v>26</v>
      </c>
      <c r="D59" s="456" t="s">
        <v>465</v>
      </c>
      <c r="E59" s="386">
        <v>700</v>
      </c>
      <c r="F59" s="386">
        <v>0</v>
      </c>
      <c r="G59" s="457">
        <f t="shared" si="4"/>
        <v>0</v>
      </c>
    </row>
    <row r="60" spans="2:7" ht="15" thickBot="1" x14ac:dyDescent="0.25">
      <c r="B60" s="461"/>
      <c r="C60" s="455">
        <v>26</v>
      </c>
      <c r="D60" s="456" t="s">
        <v>464</v>
      </c>
      <c r="E60" s="386">
        <v>600</v>
      </c>
      <c r="F60" s="386">
        <v>0</v>
      </c>
      <c r="G60" s="457">
        <f t="shared" si="4"/>
        <v>0</v>
      </c>
    </row>
    <row r="61" spans="2:7" ht="15" thickBot="1" x14ac:dyDescent="0.25">
      <c r="B61" s="461"/>
      <c r="C61" s="455">
        <v>26</v>
      </c>
      <c r="D61" s="456" t="s">
        <v>462</v>
      </c>
      <c r="E61" s="386">
        <v>600</v>
      </c>
      <c r="F61" s="386">
        <v>0</v>
      </c>
      <c r="G61" s="457">
        <f t="shared" si="4"/>
        <v>0</v>
      </c>
    </row>
    <row r="62" spans="2:7" ht="15" thickBot="1" x14ac:dyDescent="0.25">
      <c r="B62" s="461"/>
      <c r="C62" s="455"/>
      <c r="D62" s="456" t="s">
        <v>570</v>
      </c>
      <c r="E62" s="386">
        <v>1100</v>
      </c>
      <c r="F62" s="386">
        <v>0</v>
      </c>
      <c r="G62" s="457">
        <f t="shared" si="4"/>
        <v>0</v>
      </c>
    </row>
    <row r="63" spans="2:7" ht="15" thickBot="1" x14ac:dyDescent="0.25">
      <c r="C63" s="91"/>
      <c r="D63" s="98"/>
      <c r="E63" s="151"/>
      <c r="F63" s="151"/>
      <c r="G63" s="250">
        <f>SUM(G57:G57)</f>
        <v>2000</v>
      </c>
    </row>
    <row r="64" spans="2:7" ht="13.5" thickBot="1" x14ac:dyDescent="0.25">
      <c r="C64" s="91"/>
      <c r="D64" s="136"/>
      <c r="E64" s="94"/>
      <c r="F64" s="94"/>
      <c r="G64" s="94"/>
    </row>
    <row r="65" spans="2:15" ht="16.5" thickBot="1" x14ac:dyDescent="0.3">
      <c r="C65" s="192" t="s">
        <v>6</v>
      </c>
      <c r="D65" s="448" t="s">
        <v>442</v>
      </c>
      <c r="E65" s="158" t="s">
        <v>111</v>
      </c>
      <c r="F65" s="135" t="s">
        <v>72</v>
      </c>
      <c r="G65" s="135" t="s">
        <v>97</v>
      </c>
    </row>
    <row r="66" spans="2:15" ht="14.25" x14ac:dyDescent="0.2">
      <c r="B66" s="1177" t="s">
        <v>442</v>
      </c>
      <c r="C66" s="444">
        <v>27</v>
      </c>
      <c r="D66" s="208" t="s">
        <v>444</v>
      </c>
      <c r="E66" s="446">
        <v>10</v>
      </c>
      <c r="F66" s="153">
        <v>58</v>
      </c>
      <c r="G66" s="154">
        <f>F66*E66</f>
        <v>580</v>
      </c>
    </row>
    <row r="67" spans="2:15" ht="14.25" x14ac:dyDescent="0.2">
      <c r="B67" s="1178"/>
      <c r="C67" s="445">
        <v>28</v>
      </c>
      <c r="D67" s="142" t="s">
        <v>443</v>
      </c>
      <c r="E67" s="447">
        <v>10</v>
      </c>
      <c r="F67" s="110">
        <v>0</v>
      </c>
      <c r="G67" s="148">
        <f>F67*E67</f>
        <v>0</v>
      </c>
    </row>
    <row r="68" spans="2:15" ht="15" thickBot="1" x14ac:dyDescent="0.25">
      <c r="B68" s="1179"/>
      <c r="C68" s="449">
        <v>29</v>
      </c>
      <c r="D68" s="164" t="s">
        <v>445</v>
      </c>
      <c r="E68" s="450">
        <v>100</v>
      </c>
      <c r="F68" s="134">
        <v>4</v>
      </c>
      <c r="G68" s="150">
        <f>F68*E68</f>
        <v>400</v>
      </c>
    </row>
    <row r="69" spans="2:15" ht="15" thickBot="1" x14ac:dyDescent="0.25">
      <c r="C69" s="91"/>
      <c r="D69" s="98"/>
      <c r="E69" s="151"/>
      <c r="F69" s="151"/>
      <c r="G69" s="250">
        <f>SUM(G66:G68)</f>
        <v>980</v>
      </c>
    </row>
    <row r="70" spans="2:15" ht="15" thickBot="1" x14ac:dyDescent="0.25">
      <c r="C70" s="91"/>
      <c r="D70" s="98"/>
      <c r="E70" s="151"/>
      <c r="F70" s="151"/>
      <c r="G70" s="387"/>
    </row>
    <row r="71" spans="2:15" ht="15" thickBot="1" x14ac:dyDescent="0.25">
      <c r="C71" s="91"/>
      <c r="D71" s="1168" t="s">
        <v>294</v>
      </c>
      <c r="E71" s="1169"/>
      <c r="F71" s="1170"/>
      <c r="G71" s="251" t="e">
        <f>G10+G19+G43+G63+G32+G69</f>
        <v>#REF!</v>
      </c>
    </row>
    <row r="72" spans="2:15" ht="13.5" thickBot="1" x14ac:dyDescent="0.25">
      <c r="C72" s="91"/>
      <c r="D72" s="136"/>
      <c r="E72" s="94"/>
      <c r="F72" s="94"/>
      <c r="G72" s="94"/>
    </row>
    <row r="73" spans="2:15" ht="15" thickBot="1" x14ac:dyDescent="0.25">
      <c r="C73" s="91"/>
      <c r="D73" s="92"/>
      <c r="F73" s="252" t="s">
        <v>103</v>
      </c>
      <c r="G73" s="253">
        <v>3.8</v>
      </c>
    </row>
    <row r="74" spans="2:15" ht="9.75" customHeight="1" thickBot="1" x14ac:dyDescent="0.25">
      <c r="C74" s="91"/>
      <c r="D74" s="92"/>
      <c r="F74" s="256"/>
      <c r="G74" s="257"/>
    </row>
    <row r="75" spans="2:15" ht="15.75" customHeight="1" thickBot="1" x14ac:dyDescent="0.25">
      <c r="B75" s="1180" t="s">
        <v>410</v>
      </c>
      <c r="C75" s="1181"/>
      <c r="D75" s="1181"/>
      <c r="E75" s="1181"/>
      <c r="F75" s="1181"/>
      <c r="G75" s="1182"/>
      <c r="H75" s="93"/>
    </row>
    <row r="76" spans="2:15" ht="16.5" thickBot="1" x14ac:dyDescent="0.25">
      <c r="C76" s="254"/>
      <c r="D76" s="258"/>
      <c r="E76" s="258"/>
      <c r="F76" s="258"/>
      <c r="G76" s="258"/>
      <c r="H76" s="255"/>
    </row>
    <row r="77" spans="2:15" ht="16.5" thickBot="1" x14ac:dyDescent="0.3">
      <c r="C77" s="192" t="s">
        <v>6</v>
      </c>
      <c r="D77" s="434" t="s">
        <v>119</v>
      </c>
      <c r="E77" s="435" t="s">
        <v>72</v>
      </c>
      <c r="F77" s="193" t="s">
        <v>110</v>
      </c>
      <c r="G77" s="435" t="s">
        <v>111</v>
      </c>
    </row>
    <row r="78" spans="2:15" ht="14.25" x14ac:dyDescent="0.2">
      <c r="B78" s="1159" t="s">
        <v>273</v>
      </c>
      <c r="C78" s="141">
        <v>30</v>
      </c>
      <c r="D78" s="186" t="s">
        <v>446</v>
      </c>
      <c r="E78" s="141">
        <v>1</v>
      </c>
      <c r="F78" s="141" t="s">
        <v>312</v>
      </c>
      <c r="G78" s="194">
        <f>30.2*G73</f>
        <v>114.75999999999999</v>
      </c>
    </row>
    <row r="79" spans="2:15" ht="14.25" customHeight="1" x14ac:dyDescent="0.2">
      <c r="B79" s="1160"/>
      <c r="C79" s="96">
        <v>31</v>
      </c>
      <c r="D79" s="187" t="s">
        <v>447</v>
      </c>
      <c r="E79" s="103">
        <v>1</v>
      </c>
      <c r="F79" s="103" t="s">
        <v>312</v>
      </c>
      <c r="G79" s="140">
        <f>40.24*G73</f>
        <v>152.91200000000001</v>
      </c>
      <c r="I79" s="91"/>
      <c r="K79" s="91"/>
      <c r="L79" s="91"/>
      <c r="M79" s="94"/>
      <c r="O79" s="97"/>
    </row>
    <row r="80" spans="2:15" ht="14.25" customHeight="1" x14ac:dyDescent="0.2">
      <c r="B80" s="1160"/>
      <c r="C80" s="96">
        <v>32</v>
      </c>
      <c r="D80" s="187" t="s">
        <v>448</v>
      </c>
      <c r="E80" s="103">
        <v>1</v>
      </c>
      <c r="F80" s="103" t="s">
        <v>312</v>
      </c>
      <c r="G80" s="140">
        <f>53.5*G73</f>
        <v>203.29999999999998</v>
      </c>
      <c r="I80" s="91"/>
      <c r="K80" s="91"/>
      <c r="L80" s="91"/>
      <c r="M80" s="94"/>
      <c r="O80" s="97"/>
    </row>
    <row r="81" spans="2:15" ht="14.25" customHeight="1" x14ac:dyDescent="0.2">
      <c r="B81" s="1160"/>
      <c r="C81" s="96"/>
      <c r="D81" s="187" t="s">
        <v>674</v>
      </c>
      <c r="E81" s="103">
        <v>1</v>
      </c>
      <c r="F81" s="103" t="s">
        <v>312</v>
      </c>
      <c r="G81" s="140">
        <f>245/1.18</f>
        <v>207.62711864406782</v>
      </c>
      <c r="I81" s="91"/>
      <c r="K81" s="91"/>
      <c r="L81" s="91"/>
      <c r="M81" s="94"/>
      <c r="O81" s="97"/>
    </row>
    <row r="82" spans="2:15" ht="14.25" customHeight="1" x14ac:dyDescent="0.2">
      <c r="B82" s="1160"/>
      <c r="C82" s="96">
        <v>33</v>
      </c>
      <c r="D82" s="187" t="s">
        <v>449</v>
      </c>
      <c r="E82" s="103">
        <v>1</v>
      </c>
      <c r="F82" s="103" t="s">
        <v>312</v>
      </c>
      <c r="G82" s="140">
        <f>34.31*G73</f>
        <v>130.37800000000001</v>
      </c>
      <c r="I82" s="91"/>
      <c r="K82" s="91"/>
      <c r="L82" s="91"/>
      <c r="M82" s="94"/>
      <c r="O82" s="97"/>
    </row>
    <row r="83" spans="2:15" ht="14.25" x14ac:dyDescent="0.2">
      <c r="B83" s="1160"/>
      <c r="C83" s="96">
        <v>34</v>
      </c>
      <c r="D83" s="143" t="s">
        <v>120</v>
      </c>
      <c r="E83" s="96">
        <v>8</v>
      </c>
      <c r="F83" s="96" t="s">
        <v>121</v>
      </c>
      <c r="G83" s="138">
        <v>19</v>
      </c>
      <c r="I83" s="91"/>
      <c r="K83" s="91"/>
      <c r="L83" s="91"/>
      <c r="M83" s="94"/>
      <c r="O83" s="95"/>
    </row>
    <row r="84" spans="2:15" ht="14.25" x14ac:dyDescent="0.2">
      <c r="B84" s="1160"/>
      <c r="C84" s="96">
        <v>35</v>
      </c>
      <c r="D84" s="143" t="s">
        <v>81</v>
      </c>
      <c r="E84" s="96">
        <v>1</v>
      </c>
      <c r="F84" s="96" t="s">
        <v>312</v>
      </c>
      <c r="G84" s="138">
        <v>6</v>
      </c>
      <c r="I84" s="91"/>
      <c r="K84" s="91"/>
      <c r="L84" s="91"/>
      <c r="M84" s="94"/>
      <c r="O84" s="97"/>
    </row>
    <row r="85" spans="2:15" ht="14.25" x14ac:dyDescent="0.2">
      <c r="B85" s="1160"/>
      <c r="C85" s="96">
        <v>36</v>
      </c>
      <c r="D85" s="143" t="s">
        <v>389</v>
      </c>
      <c r="E85" s="96">
        <v>1</v>
      </c>
      <c r="F85" s="96" t="s">
        <v>10</v>
      </c>
      <c r="G85" s="138">
        <v>6.5</v>
      </c>
      <c r="H85" s="89" t="s">
        <v>390</v>
      </c>
      <c r="I85" s="91"/>
      <c r="J85" s="90"/>
      <c r="K85" s="91"/>
      <c r="L85" s="91"/>
      <c r="M85" s="94"/>
      <c r="O85" s="97"/>
    </row>
    <row r="86" spans="2:15" ht="14.25" x14ac:dyDescent="0.2">
      <c r="B86" s="1160"/>
      <c r="C86" s="96">
        <v>37</v>
      </c>
      <c r="D86" s="143" t="s">
        <v>333</v>
      </c>
      <c r="E86" s="96">
        <v>1</v>
      </c>
      <c r="F86" s="96" t="s">
        <v>10</v>
      </c>
      <c r="G86" s="138">
        <v>88</v>
      </c>
      <c r="I86" s="91"/>
      <c r="J86" s="90"/>
      <c r="K86" s="91"/>
      <c r="L86" s="91"/>
      <c r="M86" s="94"/>
      <c r="O86" s="97"/>
    </row>
    <row r="87" spans="2:15" ht="14.25" x14ac:dyDescent="0.2">
      <c r="B87" s="1160"/>
      <c r="C87" s="96">
        <v>38</v>
      </c>
      <c r="D87" s="143" t="s">
        <v>122</v>
      </c>
      <c r="E87" s="96">
        <v>1</v>
      </c>
      <c r="F87" s="96" t="s">
        <v>10</v>
      </c>
      <c r="G87" s="138">
        <v>1.86</v>
      </c>
      <c r="I87" s="91"/>
      <c r="J87" s="90"/>
      <c r="K87" s="91"/>
      <c r="L87" s="91"/>
      <c r="M87" s="94"/>
      <c r="O87" s="97"/>
    </row>
    <row r="88" spans="2:15" ht="14.25" x14ac:dyDescent="0.2">
      <c r="B88" s="1160"/>
      <c r="C88" s="96">
        <v>39</v>
      </c>
      <c r="D88" s="143" t="s">
        <v>123</v>
      </c>
      <c r="E88" s="96">
        <v>1</v>
      </c>
      <c r="F88" s="96" t="s">
        <v>10</v>
      </c>
      <c r="G88" s="138">
        <v>3.81</v>
      </c>
      <c r="I88" s="91"/>
      <c r="J88" s="90"/>
      <c r="K88" s="91"/>
      <c r="L88" s="91"/>
      <c r="M88" s="94"/>
      <c r="O88" s="97"/>
    </row>
    <row r="89" spans="2:15" ht="15" thickBot="1" x14ac:dyDescent="0.25">
      <c r="B89" s="1161"/>
      <c r="C89" s="96">
        <v>40</v>
      </c>
      <c r="D89" s="144" t="s">
        <v>124</v>
      </c>
      <c r="E89" s="96">
        <v>1</v>
      </c>
      <c r="F89" s="96" t="s">
        <v>10</v>
      </c>
      <c r="G89" s="138">
        <v>7.5</v>
      </c>
      <c r="I89" s="91"/>
      <c r="J89" s="90"/>
      <c r="K89" s="91"/>
      <c r="L89" s="91"/>
      <c r="M89" s="94"/>
      <c r="O89" s="97"/>
    </row>
    <row r="90" spans="2:15" ht="14.25" x14ac:dyDescent="0.2">
      <c r="B90" s="1159" t="s">
        <v>125</v>
      </c>
      <c r="C90" s="96">
        <v>41</v>
      </c>
      <c r="D90" s="144" t="s">
        <v>126</v>
      </c>
      <c r="E90" s="96">
        <v>1</v>
      </c>
      <c r="F90" s="96" t="s">
        <v>44</v>
      </c>
      <c r="G90" s="138">
        <f>500/6</f>
        <v>83.333333333333329</v>
      </c>
      <c r="H90" s="89">
        <v>573</v>
      </c>
      <c r="I90" s="91"/>
      <c r="J90" s="90"/>
      <c r="K90" s="91"/>
      <c r="L90" s="91"/>
      <c r="M90" s="94"/>
      <c r="O90" s="97"/>
    </row>
    <row r="91" spans="2:15" ht="14.25" x14ac:dyDescent="0.2">
      <c r="B91" s="1160"/>
      <c r="C91" s="96">
        <v>42</v>
      </c>
      <c r="D91" s="144" t="s">
        <v>127</v>
      </c>
      <c r="E91" s="96">
        <v>1</v>
      </c>
      <c r="F91" s="96" t="s">
        <v>44</v>
      </c>
      <c r="G91" s="138">
        <f>338.625/6</f>
        <v>56.4375</v>
      </c>
      <c r="H91" s="89">
        <v>447</v>
      </c>
      <c r="I91" s="91"/>
      <c r="J91" s="90"/>
      <c r="K91" s="91"/>
      <c r="L91" s="91"/>
      <c r="M91" s="94"/>
      <c r="O91" s="97"/>
    </row>
    <row r="92" spans="2:15" ht="14.25" x14ac:dyDescent="0.2">
      <c r="B92" s="1160"/>
      <c r="C92" s="96">
        <v>43</v>
      </c>
      <c r="D92" s="144" t="s">
        <v>128</v>
      </c>
      <c r="E92" s="96">
        <v>1</v>
      </c>
      <c r="F92" s="96" t="s">
        <v>44</v>
      </c>
      <c r="G92" s="138">
        <f>246.98/6</f>
        <v>41.163333333333334</v>
      </c>
      <c r="H92" s="89">
        <v>319</v>
      </c>
      <c r="I92" s="91"/>
      <c r="J92" s="90"/>
      <c r="K92" s="91"/>
      <c r="L92" s="91"/>
      <c r="M92" s="94"/>
      <c r="O92" s="97"/>
    </row>
    <row r="93" spans="2:15" ht="14.25" x14ac:dyDescent="0.2">
      <c r="B93" s="1160"/>
      <c r="C93" s="96">
        <v>44</v>
      </c>
      <c r="D93" s="144" t="s">
        <v>129</v>
      </c>
      <c r="E93" s="96">
        <v>1</v>
      </c>
      <c r="F93" s="96" t="s">
        <v>44</v>
      </c>
      <c r="G93" s="138">
        <f>191.43/6</f>
        <v>31.905000000000001</v>
      </c>
      <c r="H93" s="89">
        <v>287</v>
      </c>
      <c r="I93" s="91"/>
      <c r="J93" s="90"/>
      <c r="K93" s="91"/>
      <c r="L93" s="91"/>
      <c r="M93" s="94"/>
      <c r="O93" s="97"/>
    </row>
    <row r="94" spans="2:15" ht="14.25" x14ac:dyDescent="0.2">
      <c r="B94" s="1160"/>
      <c r="C94" s="96">
        <v>45</v>
      </c>
      <c r="D94" s="144" t="s">
        <v>130</v>
      </c>
      <c r="E94" s="96">
        <v>1</v>
      </c>
      <c r="F94" s="96" t="s">
        <v>44</v>
      </c>
      <c r="G94" s="138">
        <f>153.3375/6</f>
        <v>25.556250000000002</v>
      </c>
      <c r="H94" s="89">
        <v>237</v>
      </c>
      <c r="I94" s="91"/>
      <c r="J94" s="90"/>
      <c r="K94" s="91"/>
      <c r="L94" s="91"/>
      <c r="M94" s="94"/>
      <c r="O94" s="97"/>
    </row>
    <row r="95" spans="2:15" ht="14.25" x14ac:dyDescent="0.2">
      <c r="B95" s="1160"/>
      <c r="C95" s="96">
        <v>46</v>
      </c>
      <c r="D95" s="144" t="s">
        <v>131</v>
      </c>
      <c r="E95" s="96">
        <v>1</v>
      </c>
      <c r="F95" s="96" t="s">
        <v>44</v>
      </c>
      <c r="G95" s="138">
        <f>114.86/6</f>
        <v>19.143333333333334</v>
      </c>
      <c r="H95" s="89">
        <v>187</v>
      </c>
      <c r="I95" s="91"/>
      <c r="J95" s="90"/>
      <c r="K95" s="91"/>
      <c r="L95" s="91"/>
      <c r="M95" s="94"/>
      <c r="O95" s="97"/>
    </row>
    <row r="96" spans="2:15" ht="14.25" x14ac:dyDescent="0.2">
      <c r="B96" s="1160"/>
      <c r="C96" s="96">
        <v>47</v>
      </c>
      <c r="D96" s="145" t="s">
        <v>132</v>
      </c>
      <c r="E96" s="96">
        <v>1</v>
      </c>
      <c r="F96" s="96" t="s">
        <v>133</v>
      </c>
      <c r="G96" s="139">
        <f>110/1.18</f>
        <v>93.220338983050851</v>
      </c>
      <c r="H96" s="89" t="s">
        <v>134</v>
      </c>
      <c r="I96" s="91"/>
      <c r="J96" s="90"/>
      <c r="K96" s="91"/>
      <c r="L96" s="91"/>
      <c r="M96" s="94"/>
      <c r="O96" s="97"/>
    </row>
    <row r="97" spans="2:15" ht="14.25" x14ac:dyDescent="0.2">
      <c r="B97" s="1160"/>
      <c r="C97" s="96">
        <v>48</v>
      </c>
      <c r="D97" s="145" t="s">
        <v>135</v>
      </c>
      <c r="E97" s="96">
        <v>1</v>
      </c>
      <c r="F97" s="96" t="s">
        <v>133</v>
      </c>
      <c r="G97" s="139">
        <f>130/1.18</f>
        <v>110.16949152542374</v>
      </c>
      <c r="I97" s="91"/>
      <c r="J97" s="90"/>
      <c r="K97" s="91"/>
      <c r="L97" s="91"/>
      <c r="M97" s="94"/>
      <c r="O97" s="97"/>
    </row>
    <row r="98" spans="2:15" ht="14.25" x14ac:dyDescent="0.2">
      <c r="B98" s="1160"/>
      <c r="C98" s="96">
        <v>49</v>
      </c>
      <c r="D98" s="145" t="s">
        <v>136</v>
      </c>
      <c r="E98" s="96">
        <v>1</v>
      </c>
      <c r="F98" s="96" t="s">
        <v>133</v>
      </c>
      <c r="G98" s="139">
        <f>150/1.18</f>
        <v>127.11864406779662</v>
      </c>
      <c r="I98" s="91"/>
      <c r="J98" s="90"/>
      <c r="K98" s="91"/>
      <c r="L98" s="91"/>
      <c r="M98" s="94"/>
      <c r="O98" s="97"/>
    </row>
    <row r="99" spans="2:15" ht="14.25" x14ac:dyDescent="0.2">
      <c r="B99" s="1160"/>
      <c r="C99" s="96">
        <v>50</v>
      </c>
      <c r="D99" s="145" t="s">
        <v>137</v>
      </c>
      <c r="E99" s="96">
        <v>1</v>
      </c>
      <c r="F99" s="96" t="s">
        <v>133</v>
      </c>
      <c r="G99" s="139">
        <f>170/1.18</f>
        <v>144.06779661016949</v>
      </c>
      <c r="I99" s="91"/>
      <c r="J99" s="90"/>
      <c r="K99" s="91"/>
      <c r="L99" s="91"/>
      <c r="M99" s="94"/>
      <c r="O99" s="97"/>
    </row>
    <row r="100" spans="2:15" ht="14.25" x14ac:dyDescent="0.2">
      <c r="B100" s="1160"/>
      <c r="C100" s="96">
        <v>51</v>
      </c>
      <c r="D100" s="145" t="s">
        <v>138</v>
      </c>
      <c r="E100" s="96">
        <v>1</v>
      </c>
      <c r="F100" s="96" t="s">
        <v>133</v>
      </c>
      <c r="G100" s="139">
        <f>190/1.18</f>
        <v>161.0169491525424</v>
      </c>
      <c r="I100" s="91"/>
      <c r="J100" s="90"/>
      <c r="K100" s="91"/>
      <c r="L100" s="91"/>
      <c r="M100" s="94"/>
      <c r="O100" s="97"/>
    </row>
    <row r="101" spans="2:15" ht="14.25" x14ac:dyDescent="0.2">
      <c r="B101" s="1160"/>
      <c r="C101" s="96">
        <v>52</v>
      </c>
      <c r="D101" s="145" t="s">
        <v>139</v>
      </c>
      <c r="E101" s="96">
        <v>1</v>
      </c>
      <c r="F101" s="96" t="s">
        <v>133</v>
      </c>
      <c r="G101" s="139">
        <f>210/1.18</f>
        <v>177.96610169491527</v>
      </c>
      <c r="I101" s="91"/>
      <c r="J101" s="90"/>
      <c r="K101" s="91"/>
      <c r="L101" s="91"/>
      <c r="M101" s="94"/>
      <c r="O101" s="97"/>
    </row>
    <row r="102" spans="2:15" ht="14.25" x14ac:dyDescent="0.2">
      <c r="B102" s="1160"/>
      <c r="C102" s="96">
        <v>53</v>
      </c>
      <c r="D102" s="145" t="s">
        <v>140</v>
      </c>
      <c r="E102" s="96">
        <v>1</v>
      </c>
      <c r="F102" s="96" t="s">
        <v>133</v>
      </c>
      <c r="G102" s="139">
        <f>230/1.18</f>
        <v>194.91525423728814</v>
      </c>
      <c r="I102" s="91"/>
      <c r="J102" s="90"/>
      <c r="K102" s="91"/>
      <c r="L102" s="91"/>
      <c r="M102" s="94"/>
      <c r="O102" s="97"/>
    </row>
    <row r="103" spans="2:15" ht="14.25" x14ac:dyDescent="0.2">
      <c r="B103" s="1160"/>
      <c r="C103" s="96">
        <v>54</v>
      </c>
      <c r="D103" s="145" t="s">
        <v>141</v>
      </c>
      <c r="E103" s="96">
        <v>1</v>
      </c>
      <c r="F103" s="96" t="s">
        <v>133</v>
      </c>
      <c r="G103" s="139">
        <f>250/1.18</f>
        <v>211.86440677966104</v>
      </c>
      <c r="I103" s="91"/>
      <c r="J103" s="90"/>
      <c r="K103" s="91"/>
      <c r="L103" s="91"/>
      <c r="M103" s="94"/>
      <c r="O103" s="97"/>
    </row>
    <row r="104" spans="2:15" ht="14.25" x14ac:dyDescent="0.2">
      <c r="B104" s="1160"/>
      <c r="C104" s="96">
        <v>55</v>
      </c>
      <c r="D104" s="145" t="s">
        <v>142</v>
      </c>
      <c r="E104" s="96">
        <v>1</v>
      </c>
      <c r="F104" s="96" t="s">
        <v>133</v>
      </c>
      <c r="G104" s="139">
        <f>270/1.18</f>
        <v>228.81355932203391</v>
      </c>
      <c r="I104" s="91"/>
      <c r="J104" s="90"/>
      <c r="K104" s="91"/>
      <c r="L104" s="91"/>
      <c r="M104" s="94"/>
      <c r="O104" s="97"/>
    </row>
    <row r="105" spans="2:15" ht="14.25" x14ac:dyDescent="0.2">
      <c r="B105" s="1160"/>
      <c r="C105" s="96">
        <v>56</v>
      </c>
      <c r="D105" s="145" t="s">
        <v>143</v>
      </c>
      <c r="E105" s="96">
        <v>1</v>
      </c>
      <c r="F105" s="96" t="s">
        <v>133</v>
      </c>
      <c r="G105" s="139">
        <f>290/1.18</f>
        <v>245.76271186440678</v>
      </c>
      <c r="I105" s="91"/>
      <c r="J105" s="90"/>
      <c r="K105" s="91"/>
      <c r="L105" s="91"/>
      <c r="M105" s="94"/>
      <c r="O105" s="97"/>
    </row>
    <row r="106" spans="2:15" ht="14.25" x14ac:dyDescent="0.2">
      <c r="B106" s="1160"/>
      <c r="C106" s="96">
        <v>57</v>
      </c>
      <c r="D106" s="145" t="s">
        <v>144</v>
      </c>
      <c r="E106" s="96">
        <v>1</v>
      </c>
      <c r="F106" s="96" t="s">
        <v>133</v>
      </c>
      <c r="G106" s="139">
        <f>320/1.18</f>
        <v>271.18644067796612</v>
      </c>
      <c r="I106" s="91"/>
      <c r="J106" s="90"/>
      <c r="K106" s="91"/>
      <c r="L106" s="91"/>
      <c r="M106" s="94"/>
      <c r="O106" s="97"/>
    </row>
    <row r="107" spans="2:15" ht="14.25" x14ac:dyDescent="0.2">
      <c r="B107" s="1160"/>
      <c r="C107" s="96">
        <v>58</v>
      </c>
      <c r="D107" s="145" t="s">
        <v>145</v>
      </c>
      <c r="E107" s="96">
        <v>1</v>
      </c>
      <c r="F107" s="96" t="s">
        <v>133</v>
      </c>
      <c r="G107" s="139">
        <f>350/1.18</f>
        <v>296.61016949152543</v>
      </c>
      <c r="I107" s="91"/>
      <c r="J107" s="90"/>
      <c r="K107" s="91"/>
      <c r="L107" s="91"/>
      <c r="M107" s="94"/>
      <c r="O107" s="97"/>
    </row>
    <row r="108" spans="2:15" ht="14.25" x14ac:dyDescent="0.2">
      <c r="B108" s="1160"/>
      <c r="C108" s="96">
        <v>59</v>
      </c>
      <c r="D108" s="145" t="s">
        <v>146</v>
      </c>
      <c r="E108" s="96">
        <v>1</v>
      </c>
      <c r="F108" s="96" t="s">
        <v>133</v>
      </c>
      <c r="G108" s="139">
        <f>360/1.18</f>
        <v>305.08474576271186</v>
      </c>
      <c r="I108" s="91"/>
      <c r="J108" s="90"/>
      <c r="K108" s="91"/>
      <c r="L108" s="91"/>
      <c r="M108" s="94"/>
      <c r="O108" s="97"/>
    </row>
    <row r="109" spans="2:15" ht="15" thickBot="1" x14ac:dyDescent="0.25">
      <c r="B109" s="1161"/>
      <c r="C109" s="96">
        <v>60</v>
      </c>
      <c r="D109" s="145" t="s">
        <v>147</v>
      </c>
      <c r="E109" s="96">
        <v>1</v>
      </c>
      <c r="F109" s="96" t="s">
        <v>133</v>
      </c>
      <c r="G109" s="139">
        <f>380/1.18</f>
        <v>322.03389830508479</v>
      </c>
      <c r="I109" s="91"/>
      <c r="J109" s="90"/>
      <c r="K109" s="91"/>
      <c r="L109" s="91"/>
      <c r="M109" s="94"/>
      <c r="O109" s="97"/>
    </row>
    <row r="110" spans="2:15" ht="14.25" x14ac:dyDescent="0.2">
      <c r="B110" s="1159" t="s">
        <v>148</v>
      </c>
      <c r="C110" s="96">
        <v>61</v>
      </c>
      <c r="D110" s="143" t="s">
        <v>149</v>
      </c>
      <c r="E110" s="96">
        <v>1</v>
      </c>
      <c r="F110" s="96" t="s">
        <v>44</v>
      </c>
      <c r="G110" s="138">
        <f>165/1.18/100</f>
        <v>1.3983050847457628</v>
      </c>
      <c r="H110" s="98"/>
      <c r="I110" s="99"/>
      <c r="J110" s="91"/>
      <c r="K110" s="91"/>
      <c r="L110" s="94"/>
      <c r="M110" s="94"/>
      <c r="O110" s="97"/>
    </row>
    <row r="111" spans="2:15" ht="14.25" x14ac:dyDescent="0.2">
      <c r="B111" s="1160"/>
      <c r="C111" s="96">
        <v>62</v>
      </c>
      <c r="D111" s="143" t="s">
        <v>205</v>
      </c>
      <c r="E111" s="96">
        <v>1</v>
      </c>
      <c r="F111" s="96" t="s">
        <v>44</v>
      </c>
      <c r="G111" s="138">
        <f>245/1.18/100</f>
        <v>2.0762711864406782</v>
      </c>
      <c r="H111" s="98"/>
      <c r="I111" s="90"/>
      <c r="J111" s="91"/>
      <c r="K111" s="91"/>
      <c r="L111" s="94"/>
      <c r="M111" s="94"/>
      <c r="O111" s="97"/>
    </row>
    <row r="112" spans="2:15" ht="14.25" x14ac:dyDescent="0.2">
      <c r="B112" s="1160"/>
      <c r="C112" s="96">
        <v>63</v>
      </c>
      <c r="D112" s="143" t="s">
        <v>206</v>
      </c>
      <c r="E112" s="96">
        <v>1</v>
      </c>
      <c r="F112" s="96" t="s">
        <v>44</v>
      </c>
      <c r="G112" s="138">
        <f>378.78/1.18/100</f>
        <v>3.21</v>
      </c>
      <c r="H112" s="98"/>
      <c r="I112" s="90"/>
      <c r="J112" s="91"/>
      <c r="K112" s="91"/>
      <c r="L112" s="94"/>
      <c r="M112" s="94"/>
      <c r="O112" s="97"/>
    </row>
    <row r="113" spans="2:15" ht="14.25" x14ac:dyDescent="0.2">
      <c r="B113" s="1160"/>
      <c r="C113" s="96">
        <v>64</v>
      </c>
      <c r="D113" s="143" t="s">
        <v>207</v>
      </c>
      <c r="E113" s="96">
        <v>1</v>
      </c>
      <c r="F113" s="96" t="s">
        <v>44</v>
      </c>
      <c r="G113" s="138">
        <v>5.0999999999999996</v>
      </c>
      <c r="H113" s="98"/>
      <c r="I113" s="90"/>
      <c r="J113" s="91"/>
      <c r="K113" s="91"/>
      <c r="L113" s="94"/>
      <c r="M113" s="94"/>
      <c r="N113" s="91"/>
      <c r="O113" s="95"/>
    </row>
    <row r="114" spans="2:15" ht="14.25" x14ac:dyDescent="0.2">
      <c r="B114" s="1160"/>
      <c r="C114" s="96">
        <v>65</v>
      </c>
      <c r="D114" s="143" t="s">
        <v>208</v>
      </c>
      <c r="E114" s="96">
        <v>1</v>
      </c>
      <c r="F114" s="96" t="s">
        <v>44</v>
      </c>
      <c r="G114" s="138">
        <v>8.5</v>
      </c>
      <c r="H114" s="98"/>
      <c r="I114" s="90"/>
      <c r="J114" s="91"/>
      <c r="K114" s="91"/>
      <c r="L114" s="94"/>
      <c r="M114" s="94"/>
      <c r="N114" s="91"/>
      <c r="O114" s="95"/>
    </row>
    <row r="115" spans="2:15" ht="15" thickBot="1" x14ac:dyDescent="0.25">
      <c r="B115" s="1161"/>
      <c r="C115" s="96">
        <v>66</v>
      </c>
      <c r="D115" s="143" t="s">
        <v>209</v>
      </c>
      <c r="E115" s="96">
        <v>1</v>
      </c>
      <c r="F115" s="96" t="s">
        <v>44</v>
      </c>
      <c r="G115" s="138">
        <v>15.3</v>
      </c>
      <c r="H115" s="98"/>
      <c r="I115" s="90"/>
      <c r="J115" s="91"/>
      <c r="K115" s="91"/>
      <c r="L115" s="94"/>
      <c r="M115" s="94"/>
      <c r="N115" s="91"/>
      <c r="O115" s="95"/>
    </row>
    <row r="116" spans="2:15" ht="14.25" x14ac:dyDescent="0.2">
      <c r="B116" s="1162" t="s">
        <v>150</v>
      </c>
      <c r="C116" s="96">
        <v>67</v>
      </c>
      <c r="D116" s="143" t="s">
        <v>151</v>
      </c>
      <c r="E116" s="96">
        <v>1</v>
      </c>
      <c r="F116" s="96" t="s">
        <v>312</v>
      </c>
      <c r="G116" s="138">
        <f>1.7/1.18</f>
        <v>1.4406779661016949</v>
      </c>
      <c r="H116" s="98"/>
      <c r="I116" s="90"/>
      <c r="J116" s="91"/>
      <c r="K116" s="91"/>
      <c r="L116" s="94"/>
      <c r="M116" s="94"/>
      <c r="N116" s="91"/>
      <c r="O116" s="95"/>
    </row>
    <row r="117" spans="2:15" ht="14.25" x14ac:dyDescent="0.2">
      <c r="B117" s="1163"/>
      <c r="C117" s="96">
        <v>68</v>
      </c>
      <c r="D117" s="143" t="s">
        <v>152</v>
      </c>
      <c r="E117" s="96">
        <v>1</v>
      </c>
      <c r="F117" s="96" t="s">
        <v>312</v>
      </c>
      <c r="G117" s="138">
        <f>2.2/1.18</f>
        <v>1.8644067796610171</v>
      </c>
      <c r="H117" s="98"/>
      <c r="I117" s="90"/>
      <c r="J117" s="91"/>
      <c r="K117" s="91"/>
      <c r="L117" s="94"/>
      <c r="M117" s="94"/>
      <c r="N117" s="91"/>
      <c r="O117" s="95"/>
    </row>
    <row r="118" spans="2:15" ht="14.25" x14ac:dyDescent="0.2">
      <c r="B118" s="1163"/>
      <c r="C118" s="96">
        <v>69</v>
      </c>
      <c r="D118" s="143" t="s">
        <v>153</v>
      </c>
      <c r="E118" s="96">
        <v>1</v>
      </c>
      <c r="F118" s="96" t="s">
        <v>312</v>
      </c>
      <c r="G118" s="138">
        <f>2.8/1.18</f>
        <v>2.3728813559322033</v>
      </c>
      <c r="H118" s="98"/>
      <c r="I118" s="90"/>
      <c r="J118" s="91"/>
      <c r="K118" s="91"/>
      <c r="L118" s="94"/>
      <c r="M118" s="94"/>
      <c r="N118" s="91"/>
      <c r="O118" s="95"/>
    </row>
    <row r="119" spans="2:15" ht="14.25" x14ac:dyDescent="0.2">
      <c r="B119" s="1163"/>
      <c r="C119" s="96">
        <v>70</v>
      </c>
      <c r="D119" s="143" t="s">
        <v>154</v>
      </c>
      <c r="E119" s="96">
        <v>1</v>
      </c>
      <c r="F119" s="96" t="s">
        <v>312</v>
      </c>
      <c r="G119" s="138">
        <f>3.3/1.18</f>
        <v>2.7966101694915255</v>
      </c>
      <c r="H119" s="98"/>
      <c r="I119" s="90"/>
      <c r="J119" s="91"/>
      <c r="K119" s="91"/>
      <c r="L119" s="94"/>
      <c r="M119" s="94"/>
      <c r="N119" s="91"/>
      <c r="O119" s="95"/>
    </row>
    <row r="120" spans="2:15" ht="14.25" x14ac:dyDescent="0.2">
      <c r="B120" s="1163"/>
      <c r="C120" s="96">
        <v>71</v>
      </c>
      <c r="D120" s="143" t="s">
        <v>155</v>
      </c>
      <c r="E120" s="96">
        <v>1</v>
      </c>
      <c r="F120" s="96" t="s">
        <v>312</v>
      </c>
      <c r="G120" s="138">
        <f>5/1.18</f>
        <v>4.2372881355932206</v>
      </c>
      <c r="H120" s="98"/>
      <c r="I120" s="90"/>
      <c r="J120" s="91"/>
      <c r="K120" s="91"/>
      <c r="L120" s="94"/>
      <c r="M120" s="94"/>
      <c r="N120" s="91"/>
      <c r="O120" s="95"/>
    </row>
    <row r="121" spans="2:15" ht="15" thickBot="1" x14ac:dyDescent="0.25">
      <c r="B121" s="1164"/>
      <c r="C121" s="96">
        <v>72</v>
      </c>
      <c r="D121" s="143" t="s">
        <v>156</v>
      </c>
      <c r="E121" s="96">
        <v>1</v>
      </c>
      <c r="F121" s="96" t="s">
        <v>312</v>
      </c>
      <c r="G121" s="138">
        <f>7.7/1.18</f>
        <v>6.5254237288135597</v>
      </c>
      <c r="H121" s="98"/>
      <c r="I121" s="90"/>
      <c r="J121" s="91"/>
      <c r="K121" s="91"/>
      <c r="L121" s="94"/>
      <c r="M121" s="94"/>
      <c r="N121" s="91"/>
      <c r="O121" s="95"/>
    </row>
    <row r="122" spans="2:15" s="101" customFormat="1" ht="14.25" x14ac:dyDescent="0.2">
      <c r="B122" s="1162" t="s">
        <v>157</v>
      </c>
      <c r="C122" s="96">
        <v>73</v>
      </c>
      <c r="D122" s="147" t="s">
        <v>158</v>
      </c>
      <c r="E122" s="96">
        <v>1</v>
      </c>
      <c r="F122" s="407" t="s">
        <v>133</v>
      </c>
      <c r="G122" s="195">
        <v>10</v>
      </c>
      <c r="H122" s="100"/>
    </row>
    <row r="123" spans="2:15" ht="14.25" x14ac:dyDescent="0.2">
      <c r="B123" s="1163"/>
      <c r="C123" s="96">
        <v>74</v>
      </c>
      <c r="D123" s="143" t="s">
        <v>159</v>
      </c>
      <c r="E123" s="96">
        <v>1</v>
      </c>
      <c r="F123" s="96" t="s">
        <v>133</v>
      </c>
      <c r="G123" s="138">
        <v>15</v>
      </c>
      <c r="H123" s="98"/>
    </row>
    <row r="124" spans="2:15" ht="14.25" x14ac:dyDescent="0.2">
      <c r="B124" s="1163"/>
      <c r="C124" s="96">
        <v>75</v>
      </c>
      <c r="D124" s="143" t="s">
        <v>160</v>
      </c>
      <c r="E124" s="96">
        <v>1</v>
      </c>
      <c r="F124" s="96" t="s">
        <v>133</v>
      </c>
      <c r="G124" s="183">
        <v>20</v>
      </c>
      <c r="H124" s="98"/>
    </row>
    <row r="125" spans="2:15" ht="14.25" x14ac:dyDescent="0.2">
      <c r="B125" s="1163"/>
      <c r="C125" s="96">
        <v>76</v>
      </c>
      <c r="D125" s="143" t="s">
        <v>161</v>
      </c>
      <c r="E125" s="96">
        <v>1</v>
      </c>
      <c r="F125" s="96" t="s">
        <v>133</v>
      </c>
      <c r="G125" s="183">
        <v>25</v>
      </c>
      <c r="H125" s="98"/>
    </row>
    <row r="126" spans="2:15" ht="14.25" x14ac:dyDescent="0.2">
      <c r="B126" s="1163"/>
      <c r="C126" s="96">
        <v>77</v>
      </c>
      <c r="D126" s="143" t="s">
        <v>162</v>
      </c>
      <c r="E126" s="96">
        <v>1</v>
      </c>
      <c r="F126" s="96" t="s">
        <v>133</v>
      </c>
      <c r="G126" s="183">
        <v>30</v>
      </c>
      <c r="H126" s="98"/>
    </row>
    <row r="127" spans="2:15" ht="14.25" x14ac:dyDescent="0.2">
      <c r="B127" s="1163"/>
      <c r="C127" s="96">
        <v>78</v>
      </c>
      <c r="D127" s="143" t="s">
        <v>163</v>
      </c>
      <c r="E127" s="96">
        <v>1</v>
      </c>
      <c r="F127" s="96" t="s">
        <v>133</v>
      </c>
      <c r="G127" s="183">
        <v>35</v>
      </c>
      <c r="H127" s="98"/>
    </row>
    <row r="128" spans="2:15" ht="15" thickBot="1" x14ac:dyDescent="0.25">
      <c r="B128" s="1164"/>
      <c r="C128" s="96">
        <v>79</v>
      </c>
      <c r="D128" s="143" t="s">
        <v>164</v>
      </c>
      <c r="E128" s="96">
        <v>1</v>
      </c>
      <c r="F128" s="96" t="s">
        <v>133</v>
      </c>
      <c r="G128" s="183">
        <v>40</v>
      </c>
      <c r="H128" s="98"/>
    </row>
    <row r="129" spans="2:15" ht="14.25" x14ac:dyDescent="0.2">
      <c r="B129" s="1162" t="s">
        <v>295</v>
      </c>
      <c r="C129" s="96">
        <v>80</v>
      </c>
      <c r="D129" s="143" t="s">
        <v>165</v>
      </c>
      <c r="E129" s="96">
        <v>1</v>
      </c>
      <c r="F129" s="96" t="s">
        <v>310</v>
      </c>
      <c r="G129" s="138">
        <v>15</v>
      </c>
      <c r="H129" s="98"/>
    </row>
    <row r="130" spans="2:15" ht="14.25" x14ac:dyDescent="0.2">
      <c r="B130" s="1163"/>
      <c r="C130" s="96">
        <v>81</v>
      </c>
      <c r="D130" s="143" t="s">
        <v>166</v>
      </c>
      <c r="E130" s="96">
        <v>1</v>
      </c>
      <c r="F130" s="96" t="s">
        <v>310</v>
      </c>
      <c r="G130" s="138">
        <v>20</v>
      </c>
      <c r="H130" s="98"/>
    </row>
    <row r="131" spans="2:15" ht="14.25" x14ac:dyDescent="0.2">
      <c r="B131" s="1163"/>
      <c r="C131" s="96">
        <v>82</v>
      </c>
      <c r="D131" s="143" t="s">
        <v>167</v>
      </c>
      <c r="E131" s="96">
        <v>1</v>
      </c>
      <c r="F131" s="96" t="s">
        <v>310</v>
      </c>
      <c r="G131" s="138">
        <v>25</v>
      </c>
      <c r="H131" s="98"/>
    </row>
    <row r="132" spans="2:15" ht="14.25" x14ac:dyDescent="0.2">
      <c r="B132" s="1163"/>
      <c r="C132" s="96">
        <v>83</v>
      </c>
      <c r="D132" s="143" t="s">
        <v>168</v>
      </c>
      <c r="E132" s="96">
        <v>1</v>
      </c>
      <c r="F132" s="96" t="s">
        <v>310</v>
      </c>
      <c r="G132" s="138">
        <v>30</v>
      </c>
      <c r="H132" s="98"/>
    </row>
    <row r="133" spans="2:15" ht="14.25" x14ac:dyDescent="0.2">
      <c r="B133" s="1163"/>
      <c r="C133" s="96">
        <v>84</v>
      </c>
      <c r="D133" s="143" t="s">
        <v>169</v>
      </c>
      <c r="E133" s="96">
        <v>1</v>
      </c>
      <c r="F133" s="96" t="s">
        <v>310</v>
      </c>
      <c r="G133" s="138">
        <v>35</v>
      </c>
      <c r="H133" s="98"/>
    </row>
    <row r="134" spans="2:15" ht="14.25" x14ac:dyDescent="0.2">
      <c r="B134" s="1163"/>
      <c r="C134" s="96">
        <v>85</v>
      </c>
      <c r="D134" s="143" t="s">
        <v>170</v>
      </c>
      <c r="E134" s="96">
        <v>1</v>
      </c>
      <c r="F134" s="96" t="s">
        <v>310</v>
      </c>
      <c r="G134" s="138">
        <v>40</v>
      </c>
      <c r="H134" s="98"/>
    </row>
    <row r="135" spans="2:15" ht="14.25" x14ac:dyDescent="0.2">
      <c r="B135" s="1163"/>
      <c r="C135" s="96">
        <v>86</v>
      </c>
      <c r="D135" s="143" t="s">
        <v>171</v>
      </c>
      <c r="E135" s="96">
        <v>1</v>
      </c>
      <c r="F135" s="96" t="s">
        <v>310</v>
      </c>
      <c r="G135" s="138">
        <v>45</v>
      </c>
      <c r="H135" s="98"/>
    </row>
    <row r="136" spans="2:15" ht="14.25" x14ac:dyDescent="0.2">
      <c r="B136" s="1163"/>
      <c r="C136" s="96">
        <v>87</v>
      </c>
      <c r="D136" s="146" t="s">
        <v>335</v>
      </c>
      <c r="E136" s="96">
        <v>1</v>
      </c>
      <c r="F136" s="103" t="s">
        <v>44</v>
      </c>
      <c r="G136" s="140">
        <v>2.12</v>
      </c>
      <c r="H136" s="98"/>
      <c r="I136" s="90"/>
      <c r="J136" s="91"/>
      <c r="K136" s="91"/>
      <c r="L136" s="94"/>
      <c r="M136" s="94"/>
      <c r="N136" s="91"/>
      <c r="O136" s="95"/>
    </row>
    <row r="137" spans="2:15" ht="14.25" x14ac:dyDescent="0.2">
      <c r="B137" s="1163"/>
      <c r="C137" s="96">
        <v>88</v>
      </c>
      <c r="D137" s="144" t="s">
        <v>336</v>
      </c>
      <c r="E137" s="96">
        <v>1</v>
      </c>
      <c r="F137" s="96" t="s">
        <v>44</v>
      </c>
      <c r="G137" s="138">
        <v>1.53</v>
      </c>
      <c r="H137" s="98"/>
      <c r="I137" s="90"/>
      <c r="J137" s="91"/>
      <c r="K137" s="91"/>
      <c r="L137" s="94"/>
      <c r="M137" s="94"/>
      <c r="N137" s="91"/>
      <c r="O137" s="95"/>
    </row>
    <row r="138" spans="2:15" ht="14.25" x14ac:dyDescent="0.2">
      <c r="B138" s="1163"/>
      <c r="C138" s="96">
        <v>89</v>
      </c>
      <c r="D138" s="144" t="s">
        <v>309</v>
      </c>
      <c r="E138" s="96">
        <v>1</v>
      </c>
      <c r="F138" s="96" t="s">
        <v>312</v>
      </c>
      <c r="G138" s="138">
        <v>2.5</v>
      </c>
      <c r="H138" s="98"/>
      <c r="I138" s="90"/>
      <c r="J138" s="91"/>
      <c r="K138" s="91"/>
      <c r="L138" s="94"/>
      <c r="M138" s="94"/>
      <c r="N138" s="91"/>
      <c r="O138" s="95"/>
    </row>
    <row r="139" spans="2:15" ht="14.25" x14ac:dyDescent="0.2">
      <c r="B139" s="1163"/>
      <c r="C139" s="96">
        <v>90</v>
      </c>
      <c r="D139" s="144" t="s">
        <v>311</v>
      </c>
      <c r="E139" s="96">
        <v>1</v>
      </c>
      <c r="F139" s="96" t="s">
        <v>310</v>
      </c>
      <c r="G139" s="138">
        <v>20</v>
      </c>
      <c r="H139" s="98"/>
      <c r="I139" s="90"/>
      <c r="J139" s="91"/>
      <c r="K139" s="91"/>
      <c r="L139" s="94"/>
      <c r="M139" s="94"/>
      <c r="N139" s="91"/>
      <c r="O139" s="95"/>
    </row>
    <row r="140" spans="2:15" ht="14.25" x14ac:dyDescent="0.2">
      <c r="B140" s="1163"/>
      <c r="C140" s="96">
        <v>91</v>
      </c>
      <c r="D140" s="144" t="s">
        <v>391</v>
      </c>
      <c r="E140" s="96">
        <v>1</v>
      </c>
      <c r="F140" s="96" t="s">
        <v>310</v>
      </c>
      <c r="G140" s="138">
        <v>20</v>
      </c>
      <c r="H140" s="98"/>
      <c r="I140" s="90"/>
      <c r="J140" s="91"/>
      <c r="K140" s="91"/>
      <c r="L140" s="94"/>
      <c r="M140" s="94"/>
      <c r="N140" s="91"/>
      <c r="O140" s="95"/>
    </row>
    <row r="141" spans="2:15" ht="14.25" x14ac:dyDescent="0.2">
      <c r="B141" s="1163"/>
      <c r="C141" s="96">
        <v>92</v>
      </c>
      <c r="D141" s="144" t="s">
        <v>334</v>
      </c>
      <c r="E141" s="96">
        <v>1</v>
      </c>
      <c r="F141" s="96" t="s">
        <v>310</v>
      </c>
      <c r="G141" s="138">
        <v>40</v>
      </c>
      <c r="H141" s="98"/>
      <c r="I141" s="90"/>
      <c r="J141" s="91"/>
      <c r="K141" s="91"/>
      <c r="L141" s="94"/>
      <c r="M141" s="94"/>
      <c r="N141" s="91"/>
      <c r="O141" s="95"/>
    </row>
    <row r="142" spans="2:15" ht="14.25" x14ac:dyDescent="0.2">
      <c r="B142" s="1163"/>
      <c r="C142" s="96">
        <v>93</v>
      </c>
      <c r="D142" s="144" t="s">
        <v>387</v>
      </c>
      <c r="E142" s="96">
        <v>1</v>
      </c>
      <c r="F142" s="96" t="s">
        <v>312</v>
      </c>
      <c r="G142" s="138">
        <v>20</v>
      </c>
      <c r="H142" s="98"/>
      <c r="I142" s="90"/>
      <c r="J142" s="91"/>
      <c r="K142" s="91"/>
      <c r="L142" s="94"/>
      <c r="M142" s="94"/>
      <c r="N142" s="91"/>
      <c r="O142" s="95"/>
    </row>
    <row r="143" spans="2:15" ht="14.25" x14ac:dyDescent="0.2">
      <c r="B143" s="1163"/>
      <c r="C143" s="96">
        <v>94</v>
      </c>
      <c r="D143" s="144" t="s">
        <v>388</v>
      </c>
      <c r="E143" s="96">
        <v>1</v>
      </c>
      <c r="F143" s="96" t="s">
        <v>312</v>
      </c>
      <c r="G143" s="138">
        <v>5</v>
      </c>
      <c r="H143" s="98"/>
      <c r="I143" s="90"/>
      <c r="J143" s="91"/>
      <c r="K143" s="91"/>
      <c r="L143" s="94"/>
      <c r="M143" s="94"/>
      <c r="N143" s="91"/>
      <c r="O143" s="95"/>
    </row>
    <row r="144" spans="2:15" ht="14.25" x14ac:dyDescent="0.2">
      <c r="B144" s="1163"/>
      <c r="C144" s="96">
        <v>95</v>
      </c>
      <c r="D144" s="144" t="s">
        <v>332</v>
      </c>
      <c r="E144" s="96">
        <v>1</v>
      </c>
      <c r="F144" s="96" t="s">
        <v>312</v>
      </c>
      <c r="G144" s="138">
        <v>20</v>
      </c>
      <c r="H144" s="98"/>
      <c r="I144" s="90"/>
      <c r="J144" s="91"/>
      <c r="K144" s="91"/>
      <c r="L144" s="94"/>
      <c r="M144" s="94"/>
      <c r="N144" s="91"/>
      <c r="O144" s="95"/>
    </row>
    <row r="145" spans="2:15" ht="14.25" x14ac:dyDescent="0.2">
      <c r="B145" s="1163"/>
      <c r="C145" s="96">
        <v>96</v>
      </c>
      <c r="D145" s="144" t="s">
        <v>339</v>
      </c>
      <c r="E145" s="96">
        <v>1</v>
      </c>
      <c r="F145" s="96" t="s">
        <v>312</v>
      </c>
      <c r="G145" s="138">
        <v>10</v>
      </c>
      <c r="H145" s="98"/>
      <c r="I145" s="90"/>
      <c r="J145" s="91"/>
      <c r="K145" s="91"/>
      <c r="L145" s="94"/>
      <c r="M145" s="94"/>
      <c r="N145" s="91"/>
      <c r="O145" s="95"/>
    </row>
    <row r="146" spans="2:15" ht="14.25" x14ac:dyDescent="0.2">
      <c r="B146" s="1163"/>
      <c r="C146" s="96">
        <v>97</v>
      </c>
      <c r="D146" s="144" t="s">
        <v>392</v>
      </c>
      <c r="E146" s="96">
        <v>1</v>
      </c>
      <c r="F146" s="96" t="s">
        <v>312</v>
      </c>
      <c r="G146" s="138">
        <v>10</v>
      </c>
      <c r="H146" s="98"/>
      <c r="I146" s="90"/>
      <c r="J146" s="91"/>
      <c r="K146" s="91"/>
      <c r="L146" s="94"/>
      <c r="M146" s="94"/>
      <c r="N146" s="91"/>
      <c r="O146" s="95"/>
    </row>
    <row r="147" spans="2:15" ht="14.25" x14ac:dyDescent="0.2">
      <c r="B147" s="1163"/>
      <c r="C147" s="96">
        <v>98</v>
      </c>
      <c r="D147" s="144" t="s">
        <v>340</v>
      </c>
      <c r="E147" s="96">
        <v>1</v>
      </c>
      <c r="F147" s="96" t="s">
        <v>312</v>
      </c>
      <c r="G147" s="138">
        <v>45</v>
      </c>
      <c r="H147" s="98"/>
      <c r="I147" s="90"/>
      <c r="J147" s="91"/>
      <c r="K147" s="91"/>
      <c r="L147" s="94"/>
      <c r="M147" s="94"/>
      <c r="N147" s="91"/>
      <c r="O147" s="95"/>
    </row>
    <row r="148" spans="2:15" ht="14.25" x14ac:dyDescent="0.2">
      <c r="B148" s="1163"/>
      <c r="C148" s="96">
        <v>99</v>
      </c>
      <c r="D148" s="144" t="s">
        <v>337</v>
      </c>
      <c r="E148" s="96">
        <v>1</v>
      </c>
      <c r="F148" s="96" t="s">
        <v>312</v>
      </c>
      <c r="G148" s="138">
        <v>25</v>
      </c>
      <c r="H148" s="98"/>
      <c r="I148" s="90"/>
      <c r="J148" s="91"/>
      <c r="K148" s="91"/>
      <c r="L148" s="94"/>
      <c r="M148" s="94"/>
      <c r="N148" s="91"/>
      <c r="O148" s="95"/>
    </row>
    <row r="149" spans="2:15" ht="14.25" x14ac:dyDescent="0.2">
      <c r="B149" s="1163"/>
      <c r="C149" s="96">
        <v>100</v>
      </c>
      <c r="D149" s="144" t="s">
        <v>313</v>
      </c>
      <c r="E149" s="96">
        <v>1</v>
      </c>
      <c r="F149" s="96" t="s">
        <v>312</v>
      </c>
      <c r="G149" s="138">
        <v>10</v>
      </c>
      <c r="H149" s="98"/>
      <c r="I149" s="90"/>
      <c r="J149" s="91"/>
      <c r="K149" s="91"/>
      <c r="L149" s="94"/>
      <c r="M149" s="94"/>
      <c r="N149" s="91"/>
      <c r="O149" s="95"/>
    </row>
    <row r="150" spans="2:15" ht="14.25" x14ac:dyDescent="0.2">
      <c r="B150" s="1163"/>
      <c r="C150" s="96">
        <v>101</v>
      </c>
      <c r="D150" s="144" t="s">
        <v>398</v>
      </c>
      <c r="E150" s="96">
        <v>1</v>
      </c>
      <c r="F150" s="96" t="s">
        <v>312</v>
      </c>
      <c r="G150" s="138">
        <v>5.5</v>
      </c>
      <c r="H150" s="98"/>
      <c r="I150" s="90"/>
      <c r="J150" s="91"/>
      <c r="K150" s="91"/>
      <c r="L150" s="94"/>
      <c r="M150" s="94"/>
      <c r="O150" s="97"/>
    </row>
    <row r="151" spans="2:15" ht="14.25" x14ac:dyDescent="0.2">
      <c r="B151" s="1163"/>
      <c r="C151" s="96">
        <v>102</v>
      </c>
      <c r="D151" s="144" t="s">
        <v>314</v>
      </c>
      <c r="E151" s="96">
        <v>1</v>
      </c>
      <c r="F151" s="96" t="s">
        <v>312</v>
      </c>
      <c r="G151" s="138">
        <v>1.5</v>
      </c>
      <c r="H151" s="98"/>
      <c r="I151" s="90"/>
      <c r="J151" s="91"/>
      <c r="K151" s="91"/>
      <c r="L151" s="94"/>
      <c r="M151" s="94"/>
      <c r="O151" s="97"/>
    </row>
    <row r="152" spans="2:15" ht="14.25" x14ac:dyDescent="0.2">
      <c r="B152" s="1163"/>
      <c r="C152" s="96">
        <v>103</v>
      </c>
      <c r="D152" s="384" t="s">
        <v>395</v>
      </c>
      <c r="E152" s="96">
        <v>1</v>
      </c>
      <c r="F152" s="383" t="s">
        <v>312</v>
      </c>
      <c r="G152" s="195">
        <v>10</v>
      </c>
      <c r="H152" s="98"/>
      <c r="I152" s="90"/>
      <c r="J152" s="91"/>
      <c r="K152" s="91"/>
      <c r="L152" s="94"/>
      <c r="M152" s="94"/>
      <c r="O152" s="97"/>
    </row>
    <row r="153" spans="2:15" ht="14.25" x14ac:dyDescent="0.2">
      <c r="B153" s="1163"/>
      <c r="C153" s="96">
        <v>104</v>
      </c>
      <c r="D153" s="384" t="s">
        <v>393</v>
      </c>
      <c r="E153" s="96">
        <v>1</v>
      </c>
      <c r="F153" s="383" t="s">
        <v>312</v>
      </c>
      <c r="G153" s="195">
        <v>10</v>
      </c>
      <c r="H153" s="98"/>
      <c r="I153" s="90"/>
      <c r="J153" s="91"/>
      <c r="K153" s="91"/>
      <c r="L153" s="94"/>
      <c r="M153" s="94"/>
      <c r="O153" s="97"/>
    </row>
    <row r="154" spans="2:15" ht="14.25" x14ac:dyDescent="0.2">
      <c r="B154" s="1163"/>
      <c r="C154" s="96">
        <v>105</v>
      </c>
      <c r="D154" s="384" t="s">
        <v>394</v>
      </c>
      <c r="E154" s="96">
        <v>1</v>
      </c>
      <c r="F154" s="383" t="s">
        <v>312</v>
      </c>
      <c r="G154" s="195">
        <v>50</v>
      </c>
      <c r="H154" s="98"/>
      <c r="I154" s="90"/>
      <c r="J154" s="91"/>
      <c r="K154" s="91"/>
      <c r="L154" s="94"/>
      <c r="M154" s="94"/>
      <c r="O154" s="97"/>
    </row>
    <row r="155" spans="2:15" ht="14.25" x14ac:dyDescent="0.2">
      <c r="B155" s="1163"/>
      <c r="C155" s="96">
        <v>106</v>
      </c>
      <c r="D155" s="384" t="s">
        <v>399</v>
      </c>
      <c r="E155" s="96">
        <v>1</v>
      </c>
      <c r="F155" s="383" t="s">
        <v>310</v>
      </c>
      <c r="G155" s="195">
        <v>10</v>
      </c>
      <c r="H155" s="98"/>
      <c r="I155" s="90"/>
      <c r="J155" s="91"/>
      <c r="K155" s="91"/>
      <c r="L155" s="94"/>
      <c r="M155" s="94"/>
      <c r="O155" s="97"/>
    </row>
    <row r="156" spans="2:15" ht="14.25" x14ac:dyDescent="0.2">
      <c r="B156" s="1163"/>
      <c r="C156" s="96">
        <v>107</v>
      </c>
      <c r="D156" s="384" t="s">
        <v>400</v>
      </c>
      <c r="E156" s="96">
        <v>1</v>
      </c>
      <c r="F156" s="383" t="s">
        <v>310</v>
      </c>
      <c r="G156" s="195">
        <v>50</v>
      </c>
      <c r="H156" s="98"/>
      <c r="I156" s="90"/>
      <c r="J156" s="91"/>
      <c r="K156" s="91"/>
      <c r="L156" s="94"/>
      <c r="M156" s="94"/>
      <c r="O156" s="97"/>
    </row>
    <row r="157" spans="2:15" ht="14.25" x14ac:dyDescent="0.2">
      <c r="B157" s="1163"/>
      <c r="C157" s="96">
        <v>108</v>
      </c>
      <c r="D157" s="144" t="s">
        <v>396</v>
      </c>
      <c r="E157" s="96">
        <v>1</v>
      </c>
      <c r="F157" s="96" t="s">
        <v>310</v>
      </c>
      <c r="G157" s="138">
        <v>50</v>
      </c>
      <c r="H157" s="98"/>
      <c r="I157" s="90"/>
      <c r="J157" s="91"/>
      <c r="K157" s="91"/>
      <c r="L157" s="94"/>
      <c r="M157" s="94"/>
      <c r="O157" s="97"/>
    </row>
    <row r="158" spans="2:15" ht="15" thickBot="1" x14ac:dyDescent="0.25">
      <c r="B158" s="1164"/>
      <c r="C158" s="104">
        <v>109</v>
      </c>
      <c r="D158" s="385" t="s">
        <v>397</v>
      </c>
      <c r="E158" s="104">
        <v>1</v>
      </c>
      <c r="F158" s="386" t="s">
        <v>310</v>
      </c>
      <c r="G158" s="387">
        <v>100</v>
      </c>
      <c r="H158" s="98"/>
      <c r="I158" s="90"/>
      <c r="J158" s="91"/>
      <c r="K158" s="91"/>
      <c r="L158" s="94"/>
      <c r="M158" s="94"/>
      <c r="O158" s="97"/>
    </row>
    <row r="159" spans="2:15" ht="14.25" x14ac:dyDescent="0.2">
      <c r="B159" s="162"/>
      <c r="C159" s="98"/>
      <c r="D159" s="98"/>
      <c r="E159" s="98"/>
      <c r="F159" s="98"/>
      <c r="G159" s="105"/>
      <c r="H159" s="98"/>
    </row>
    <row r="160" spans="2:15" ht="14.25" x14ac:dyDescent="0.2">
      <c r="B160" s="98"/>
      <c r="C160" s="98"/>
      <c r="D160" s="98"/>
      <c r="E160" s="98"/>
      <c r="F160" s="98"/>
      <c r="G160" s="98"/>
      <c r="H160" s="98"/>
    </row>
    <row r="161" spans="2:8" ht="14.25" x14ac:dyDescent="0.2">
      <c r="B161" s="98"/>
      <c r="C161" s="98"/>
      <c r="D161" s="98"/>
      <c r="E161" s="98"/>
      <c r="F161" s="98"/>
      <c r="G161" s="98"/>
      <c r="H161" s="98"/>
    </row>
    <row r="162" spans="2:8" ht="14.25" x14ac:dyDescent="0.2">
      <c r="B162" s="98"/>
      <c r="C162" s="98"/>
      <c r="D162" s="98"/>
      <c r="E162" s="98"/>
      <c r="F162" s="98"/>
      <c r="G162" s="98"/>
      <c r="H162" s="98"/>
    </row>
    <row r="163" spans="2:8" ht="14.25" x14ac:dyDescent="0.2">
      <c r="B163" s="98"/>
      <c r="C163" s="98"/>
      <c r="D163" s="98"/>
      <c r="E163" s="98"/>
      <c r="F163" s="98"/>
      <c r="G163" s="98"/>
      <c r="H163" s="98"/>
    </row>
    <row r="164" spans="2:8" ht="14.25" x14ac:dyDescent="0.2">
      <c r="B164" s="98"/>
      <c r="C164" s="98"/>
      <c r="D164" s="98"/>
      <c r="E164" s="98"/>
      <c r="F164" s="98"/>
      <c r="G164" s="98"/>
      <c r="H164" s="98"/>
    </row>
  </sheetData>
  <mergeCells count="16">
    <mergeCell ref="B78:B89"/>
    <mergeCell ref="B129:B158"/>
    <mergeCell ref="B2:G2"/>
    <mergeCell ref="D71:F71"/>
    <mergeCell ref="B5:B9"/>
    <mergeCell ref="B14:B18"/>
    <mergeCell ref="B36:B41"/>
    <mergeCell ref="B90:B109"/>
    <mergeCell ref="B110:B115"/>
    <mergeCell ref="B116:B121"/>
    <mergeCell ref="B122:B128"/>
    <mergeCell ref="B75:G75"/>
    <mergeCell ref="B22:B31"/>
    <mergeCell ref="B46:B51"/>
    <mergeCell ref="B66:B68"/>
    <mergeCell ref="B57:B58"/>
  </mergeCells>
  <pageMargins left="0.39370078740157483" right="0.19685039370078741" top="0.47244094488188981" bottom="0.51181102362204722" header="0.19685039370078741" footer="0.31496062992125984"/>
  <pageSetup paperSize="9" scale="80" orientation="portrait" r:id="rId1"/>
  <rowBreaks count="2" manualBreakCount="2">
    <brk id="64" min="1" max="6" man="1"/>
    <brk id="142" min="1" max="6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03"/>
  <sheetViews>
    <sheetView view="pageBreakPreview" zoomScaleNormal="100" zoomScaleSheetLayoutView="100" workbookViewId="0">
      <selection activeCell="C31" sqref="C31"/>
    </sheetView>
  </sheetViews>
  <sheetFormatPr baseColWidth="10" defaultRowHeight="12.75" x14ac:dyDescent="0.2"/>
  <cols>
    <col min="1" max="1" width="11.42578125" style="89"/>
    <col min="2" max="2" width="7.42578125" style="89" customWidth="1"/>
    <col min="3" max="3" width="71.140625" style="89" customWidth="1"/>
    <col min="4" max="4" width="8.7109375" style="89" customWidth="1"/>
    <col min="5" max="5" width="10.28515625" style="89" customWidth="1"/>
    <col min="6" max="6" width="8.5703125" style="89" customWidth="1"/>
    <col min="7" max="7" width="12" style="89" customWidth="1"/>
    <col min="8" max="16384" width="11.42578125" style="89"/>
  </cols>
  <sheetData>
    <row r="1" spans="2:8" ht="8.25" customHeight="1" thickBot="1" x14ac:dyDescent="0.25"/>
    <row r="2" spans="2:8" ht="15.75" customHeight="1" thickBot="1" x14ac:dyDescent="0.25">
      <c r="B2" s="1183" t="s">
        <v>409</v>
      </c>
      <c r="C2" s="1184"/>
      <c r="D2" s="1184"/>
      <c r="E2" s="1184"/>
      <c r="F2" s="1184"/>
      <c r="G2" s="1185"/>
      <c r="H2" s="98"/>
    </row>
    <row r="3" spans="2:8" ht="12" customHeight="1" thickBot="1" x14ac:dyDescent="0.25">
      <c r="B3" s="98"/>
      <c r="C3" s="98"/>
      <c r="D3" s="98"/>
      <c r="E3" s="98"/>
      <c r="F3" s="98"/>
      <c r="G3" s="98"/>
      <c r="H3" s="98"/>
    </row>
    <row r="4" spans="2:8" ht="29.25" thickBot="1" x14ac:dyDescent="0.25">
      <c r="B4" s="166" t="s">
        <v>6</v>
      </c>
      <c r="C4" s="167" t="s">
        <v>172</v>
      </c>
      <c r="D4" s="168" t="s">
        <v>110</v>
      </c>
      <c r="E4" s="167" t="s">
        <v>72</v>
      </c>
      <c r="F4" s="172" t="s">
        <v>74</v>
      </c>
      <c r="G4" s="176" t="s">
        <v>99</v>
      </c>
      <c r="H4" s="98"/>
    </row>
    <row r="5" spans="2:8" ht="14.25" x14ac:dyDescent="0.2">
      <c r="B5" s="1186" t="s">
        <v>173</v>
      </c>
      <c r="C5" s="165" t="str">
        <f>Materiales!D96</f>
        <v>Panel de barras de cobre 06-08 polos, R, S, T, Princ. 3x20mm/Derivac. 2x10mm.</v>
      </c>
      <c r="D5" s="169" t="s">
        <v>133</v>
      </c>
      <c r="E5" s="103">
        <v>1</v>
      </c>
      <c r="F5" s="173">
        <f>Materiales!G96</f>
        <v>93.220338983050851</v>
      </c>
      <c r="G5" s="177">
        <f>E5*F5</f>
        <v>93.220338983050851</v>
      </c>
      <c r="H5" s="102"/>
    </row>
    <row r="6" spans="2:8" ht="14.25" x14ac:dyDescent="0.2">
      <c r="B6" s="1186"/>
      <c r="C6" s="142" t="s">
        <v>174</v>
      </c>
      <c r="D6" s="170" t="s">
        <v>44</v>
      </c>
      <c r="E6" s="96">
        <f>0.2*3</f>
        <v>0.60000000000000009</v>
      </c>
      <c r="F6" s="174">
        <v>25.556250000000002</v>
      </c>
      <c r="G6" s="178">
        <f>E6*F6</f>
        <v>15.333750000000004</v>
      </c>
      <c r="H6" s="102"/>
    </row>
    <row r="7" spans="2:8" ht="14.25" x14ac:dyDescent="0.2">
      <c r="B7" s="1186"/>
      <c r="C7" s="142" t="s">
        <v>130</v>
      </c>
      <c r="D7" s="170" t="s">
        <v>175</v>
      </c>
      <c r="E7" s="96">
        <f>0.2</f>
        <v>0.2</v>
      </c>
      <c r="F7" s="174">
        <v>25.556250000000002</v>
      </c>
      <c r="G7" s="178">
        <f>E7*F7</f>
        <v>5.111250000000001</v>
      </c>
      <c r="H7" s="102"/>
    </row>
    <row r="8" spans="2:8" ht="15" thickBot="1" x14ac:dyDescent="0.25">
      <c r="B8" s="1187"/>
      <c r="C8" s="164" t="s">
        <v>158</v>
      </c>
      <c r="D8" s="171" t="s">
        <v>133</v>
      </c>
      <c r="E8" s="104">
        <v>1</v>
      </c>
      <c r="F8" s="175">
        <v>10</v>
      </c>
      <c r="G8" s="179">
        <f>E8*F8</f>
        <v>10</v>
      </c>
      <c r="H8" s="102"/>
    </row>
    <row r="9" spans="2:8" ht="15" thickBot="1" x14ac:dyDescent="0.25">
      <c r="B9" s="98"/>
      <c r="C9" s="180" t="s">
        <v>176</v>
      </c>
      <c r="D9" s="98"/>
      <c r="E9" s="98"/>
      <c r="F9" s="98"/>
      <c r="G9" s="163">
        <f>SUM(G5:G8)</f>
        <v>123.66533898305086</v>
      </c>
      <c r="H9" s="102"/>
    </row>
    <row r="10" spans="2:8" ht="14.25" customHeight="1" thickBot="1" x14ac:dyDescent="0.25">
      <c r="B10" s="98"/>
      <c r="C10" s="98"/>
      <c r="D10" s="98"/>
      <c r="E10" s="98"/>
      <c r="F10" s="98"/>
      <c r="G10" s="102"/>
      <c r="H10" s="102"/>
    </row>
    <row r="11" spans="2:8" ht="29.25" thickBot="1" x14ac:dyDescent="0.25">
      <c r="B11" s="166" t="s">
        <v>6</v>
      </c>
      <c r="C11" s="167" t="s">
        <v>177</v>
      </c>
      <c r="D11" s="168" t="s">
        <v>110</v>
      </c>
      <c r="E11" s="167" t="s">
        <v>72</v>
      </c>
      <c r="F11" s="185" t="s">
        <v>74</v>
      </c>
      <c r="G11" s="181" t="s">
        <v>99</v>
      </c>
      <c r="H11" s="98"/>
    </row>
    <row r="12" spans="2:8" ht="14.25" x14ac:dyDescent="0.2">
      <c r="B12" s="1186" t="s">
        <v>178</v>
      </c>
      <c r="C12" s="165" t="s">
        <v>135</v>
      </c>
      <c r="D12" s="169" t="s">
        <v>133</v>
      </c>
      <c r="E12" s="103">
        <v>1</v>
      </c>
      <c r="F12" s="177">
        <v>110.16949152542374</v>
      </c>
      <c r="G12" s="182">
        <f>E12*F12</f>
        <v>110.16949152542374</v>
      </c>
      <c r="H12" s="102"/>
    </row>
    <row r="13" spans="2:8" ht="14.25" x14ac:dyDescent="0.2">
      <c r="B13" s="1186"/>
      <c r="C13" s="142" t="s">
        <v>174</v>
      </c>
      <c r="D13" s="170" t="s">
        <v>44</v>
      </c>
      <c r="E13" s="96">
        <f>0.2*3</f>
        <v>0.60000000000000009</v>
      </c>
      <c r="F13" s="178">
        <v>25.556250000000002</v>
      </c>
      <c r="G13" s="183">
        <f>E13*F13</f>
        <v>15.333750000000004</v>
      </c>
      <c r="H13" s="102"/>
    </row>
    <row r="14" spans="2:8" ht="14.25" x14ac:dyDescent="0.2">
      <c r="B14" s="1186"/>
      <c r="C14" s="142" t="s">
        <v>130</v>
      </c>
      <c r="D14" s="170" t="s">
        <v>175</v>
      </c>
      <c r="E14" s="96">
        <f>0.2</f>
        <v>0.2</v>
      </c>
      <c r="F14" s="178">
        <v>25.556250000000002</v>
      </c>
      <c r="G14" s="183">
        <f>E14*F14</f>
        <v>5.111250000000001</v>
      </c>
      <c r="H14" s="102"/>
    </row>
    <row r="15" spans="2:8" ht="15" thickBot="1" x14ac:dyDescent="0.25">
      <c r="B15" s="1187"/>
      <c r="C15" s="164" t="s">
        <v>158</v>
      </c>
      <c r="D15" s="171" t="s">
        <v>133</v>
      </c>
      <c r="E15" s="104">
        <v>1</v>
      </c>
      <c r="F15" s="179">
        <v>10</v>
      </c>
      <c r="G15" s="184">
        <f>E15*F15</f>
        <v>10</v>
      </c>
      <c r="H15" s="102"/>
    </row>
    <row r="16" spans="2:8" ht="15" thickBot="1" x14ac:dyDescent="0.25">
      <c r="B16" s="98"/>
      <c r="C16" s="180" t="str">
        <f>C11</f>
        <v>SISTEMA DE BARRAS 10-12 POLOS</v>
      </c>
      <c r="D16" s="98"/>
      <c r="E16" s="98"/>
      <c r="F16" s="98"/>
      <c r="G16" s="163">
        <f>SUM(G12:G15)</f>
        <v>140.61449152542374</v>
      </c>
      <c r="H16" s="102"/>
    </row>
    <row r="17" spans="2:8" ht="14.25" customHeight="1" thickBot="1" x14ac:dyDescent="0.25">
      <c r="B17" s="98"/>
      <c r="C17" s="98"/>
      <c r="D17" s="98"/>
      <c r="E17" s="98"/>
      <c r="F17" s="98"/>
      <c r="G17" s="102"/>
      <c r="H17" s="102"/>
    </row>
    <row r="18" spans="2:8" ht="29.25" thickBot="1" x14ac:dyDescent="0.25">
      <c r="B18" s="166" t="s">
        <v>6</v>
      </c>
      <c r="C18" s="167" t="s">
        <v>179</v>
      </c>
      <c r="D18" s="168" t="s">
        <v>110</v>
      </c>
      <c r="E18" s="167" t="s">
        <v>72</v>
      </c>
      <c r="F18" s="172" t="s">
        <v>74</v>
      </c>
      <c r="G18" s="176" t="s">
        <v>99</v>
      </c>
      <c r="H18" s="98"/>
    </row>
    <row r="19" spans="2:8" ht="14.25" x14ac:dyDescent="0.2">
      <c r="B19" s="1186" t="s">
        <v>180</v>
      </c>
      <c r="C19" s="165" t="s">
        <v>136</v>
      </c>
      <c r="D19" s="169" t="s">
        <v>133</v>
      </c>
      <c r="E19" s="103">
        <v>1</v>
      </c>
      <c r="F19" s="173">
        <v>127.11864406779662</v>
      </c>
      <c r="G19" s="177">
        <f>E19*F19</f>
        <v>127.11864406779662</v>
      </c>
      <c r="H19" s="102"/>
    </row>
    <row r="20" spans="2:8" ht="14.25" x14ac:dyDescent="0.2">
      <c r="B20" s="1186"/>
      <c r="C20" s="142" t="s">
        <v>174</v>
      </c>
      <c r="D20" s="170" t="s">
        <v>44</v>
      </c>
      <c r="E20" s="96">
        <f>0.2*3</f>
        <v>0.60000000000000009</v>
      </c>
      <c r="F20" s="174">
        <v>25.556250000000002</v>
      </c>
      <c r="G20" s="178">
        <f>E20*F20</f>
        <v>15.333750000000004</v>
      </c>
      <c r="H20" s="102"/>
    </row>
    <row r="21" spans="2:8" ht="14.25" x14ac:dyDescent="0.2">
      <c r="B21" s="1186"/>
      <c r="C21" s="142" t="s">
        <v>130</v>
      </c>
      <c r="D21" s="170" t="s">
        <v>175</v>
      </c>
      <c r="E21" s="96">
        <f>0.2</f>
        <v>0.2</v>
      </c>
      <c r="F21" s="174">
        <v>25.556250000000002</v>
      </c>
      <c r="G21" s="178">
        <f>E21*F21</f>
        <v>5.111250000000001</v>
      </c>
      <c r="H21" s="102"/>
    </row>
    <row r="22" spans="2:8" ht="15" thickBot="1" x14ac:dyDescent="0.25">
      <c r="B22" s="1187"/>
      <c r="C22" s="164" t="s">
        <v>158</v>
      </c>
      <c r="D22" s="171" t="s">
        <v>133</v>
      </c>
      <c r="E22" s="104">
        <v>1</v>
      </c>
      <c r="F22" s="175">
        <v>10</v>
      </c>
      <c r="G22" s="179">
        <f>E22*F22</f>
        <v>10</v>
      </c>
      <c r="H22" s="102"/>
    </row>
    <row r="23" spans="2:8" ht="15" thickBot="1" x14ac:dyDescent="0.25">
      <c r="B23" s="98"/>
      <c r="C23" s="180" t="s">
        <v>179</v>
      </c>
      <c r="D23" s="98"/>
      <c r="E23" s="98"/>
      <c r="F23" s="98"/>
      <c r="G23" s="163">
        <f>SUM(G19:G22)</f>
        <v>157.56364406779664</v>
      </c>
      <c r="H23" s="102"/>
    </row>
    <row r="24" spans="2:8" ht="14.25" customHeight="1" thickBot="1" x14ac:dyDescent="0.25">
      <c r="B24" s="98"/>
      <c r="C24" s="98"/>
      <c r="D24" s="98"/>
      <c r="E24" s="98"/>
      <c r="F24" s="98"/>
      <c r="G24" s="102"/>
      <c r="H24" s="102"/>
    </row>
    <row r="25" spans="2:8" ht="29.25" thickBot="1" x14ac:dyDescent="0.25">
      <c r="B25" s="166" t="s">
        <v>6</v>
      </c>
      <c r="C25" s="167" t="s">
        <v>181</v>
      </c>
      <c r="D25" s="168" t="s">
        <v>110</v>
      </c>
      <c r="E25" s="167" t="s">
        <v>72</v>
      </c>
      <c r="F25" s="172" t="s">
        <v>74</v>
      </c>
      <c r="G25" s="176" t="s">
        <v>99</v>
      </c>
      <c r="H25" s="98"/>
    </row>
    <row r="26" spans="2:8" ht="14.25" x14ac:dyDescent="0.2">
      <c r="B26" s="1186" t="s">
        <v>182</v>
      </c>
      <c r="C26" s="165" t="s">
        <v>137</v>
      </c>
      <c r="D26" s="169" t="s">
        <v>133</v>
      </c>
      <c r="E26" s="103">
        <v>1</v>
      </c>
      <c r="F26" s="173">
        <v>144.06779661016949</v>
      </c>
      <c r="G26" s="177">
        <f>E26*F26</f>
        <v>144.06779661016949</v>
      </c>
      <c r="H26" s="102"/>
    </row>
    <row r="27" spans="2:8" ht="14.25" x14ac:dyDescent="0.2">
      <c r="B27" s="1186"/>
      <c r="C27" s="142" t="s">
        <v>174</v>
      </c>
      <c r="D27" s="170" t="s">
        <v>44</v>
      </c>
      <c r="E27" s="96">
        <f>0.2*3</f>
        <v>0.60000000000000009</v>
      </c>
      <c r="F27" s="174">
        <v>25.556250000000002</v>
      </c>
      <c r="G27" s="178">
        <f>E27*F27</f>
        <v>15.333750000000004</v>
      </c>
      <c r="H27" s="102"/>
    </row>
    <row r="28" spans="2:8" ht="14.25" x14ac:dyDescent="0.2">
      <c r="B28" s="1186"/>
      <c r="C28" s="142" t="s">
        <v>130</v>
      </c>
      <c r="D28" s="170" t="s">
        <v>175</v>
      </c>
      <c r="E28" s="96">
        <f>0.2</f>
        <v>0.2</v>
      </c>
      <c r="F28" s="174">
        <v>25.556250000000002</v>
      </c>
      <c r="G28" s="178">
        <f>E28*F28</f>
        <v>5.111250000000001</v>
      </c>
      <c r="H28" s="102"/>
    </row>
    <row r="29" spans="2:8" ht="15" thickBot="1" x14ac:dyDescent="0.25">
      <c r="B29" s="1187"/>
      <c r="C29" s="164" t="s">
        <v>159</v>
      </c>
      <c r="D29" s="171" t="s">
        <v>133</v>
      </c>
      <c r="E29" s="104">
        <v>1</v>
      </c>
      <c r="F29" s="175">
        <v>15</v>
      </c>
      <c r="G29" s="179">
        <f>E29*F29</f>
        <v>15</v>
      </c>
      <c r="H29" s="102"/>
    </row>
    <row r="30" spans="2:8" ht="15" thickBot="1" x14ac:dyDescent="0.25">
      <c r="B30" s="98"/>
      <c r="C30" s="180" t="s">
        <v>181</v>
      </c>
      <c r="D30" s="98"/>
      <c r="E30" s="98"/>
      <c r="F30" s="98"/>
      <c r="G30" s="163">
        <f>SUM(G26:G29)</f>
        <v>179.51279661016952</v>
      </c>
      <c r="H30" s="102"/>
    </row>
    <row r="31" spans="2:8" ht="14.25" customHeight="1" thickBot="1" x14ac:dyDescent="0.25">
      <c r="B31" s="98"/>
      <c r="C31" s="98"/>
      <c r="D31" s="98"/>
      <c r="E31" s="98"/>
      <c r="F31" s="98"/>
      <c r="G31" s="102"/>
      <c r="H31" s="102"/>
    </row>
    <row r="32" spans="2:8" ht="29.25" thickBot="1" x14ac:dyDescent="0.25">
      <c r="B32" s="166" t="s">
        <v>6</v>
      </c>
      <c r="C32" s="167" t="s">
        <v>183</v>
      </c>
      <c r="D32" s="168" t="s">
        <v>110</v>
      </c>
      <c r="E32" s="167" t="s">
        <v>72</v>
      </c>
      <c r="F32" s="172" t="s">
        <v>74</v>
      </c>
      <c r="G32" s="176" t="s">
        <v>99</v>
      </c>
      <c r="H32" s="98"/>
    </row>
    <row r="33" spans="2:8" ht="14.25" x14ac:dyDescent="0.2">
      <c r="B33" s="1186" t="s">
        <v>184</v>
      </c>
      <c r="C33" s="165" t="s">
        <v>138</v>
      </c>
      <c r="D33" s="169" t="s">
        <v>133</v>
      </c>
      <c r="E33" s="103">
        <v>1</v>
      </c>
      <c r="F33" s="173">
        <v>161.0169491525424</v>
      </c>
      <c r="G33" s="177">
        <f>E33*F33</f>
        <v>161.0169491525424</v>
      </c>
      <c r="H33" s="102"/>
    </row>
    <row r="34" spans="2:8" ht="14.25" x14ac:dyDescent="0.2">
      <c r="B34" s="1186"/>
      <c r="C34" s="142" t="s">
        <v>174</v>
      </c>
      <c r="D34" s="170" t="s">
        <v>44</v>
      </c>
      <c r="E34" s="96">
        <f>0.2*3</f>
        <v>0.60000000000000009</v>
      </c>
      <c r="F34" s="174">
        <v>25.556250000000002</v>
      </c>
      <c r="G34" s="178">
        <f>E34*F34</f>
        <v>15.333750000000004</v>
      </c>
      <c r="H34" s="102"/>
    </row>
    <row r="35" spans="2:8" ht="14.25" x14ac:dyDescent="0.2">
      <c r="B35" s="1186"/>
      <c r="C35" s="142" t="s">
        <v>130</v>
      </c>
      <c r="D35" s="170" t="s">
        <v>175</v>
      </c>
      <c r="E35" s="96">
        <f>0.2</f>
        <v>0.2</v>
      </c>
      <c r="F35" s="174">
        <v>25.556250000000002</v>
      </c>
      <c r="G35" s="178">
        <f>E35*F35</f>
        <v>5.111250000000001</v>
      </c>
      <c r="H35" s="102"/>
    </row>
    <row r="36" spans="2:8" ht="15" thickBot="1" x14ac:dyDescent="0.25">
      <c r="B36" s="1187"/>
      <c r="C36" s="164" t="s">
        <v>159</v>
      </c>
      <c r="D36" s="171" t="s">
        <v>133</v>
      </c>
      <c r="E36" s="104">
        <v>1</v>
      </c>
      <c r="F36" s="175">
        <v>15</v>
      </c>
      <c r="G36" s="179">
        <f>E36*F36</f>
        <v>15</v>
      </c>
      <c r="H36" s="102"/>
    </row>
    <row r="37" spans="2:8" ht="15" thickBot="1" x14ac:dyDescent="0.25">
      <c r="B37" s="98"/>
      <c r="C37" s="180" t="s">
        <v>183</v>
      </c>
      <c r="D37" s="98"/>
      <c r="E37" s="98"/>
      <c r="F37" s="98"/>
      <c r="G37" s="229">
        <f>SUM(G33:G36)</f>
        <v>196.46194915254242</v>
      </c>
      <c r="H37" s="102"/>
    </row>
    <row r="38" spans="2:8" ht="15" thickBot="1" x14ac:dyDescent="0.25">
      <c r="B38" s="98"/>
      <c r="C38" s="98"/>
      <c r="D38" s="98"/>
      <c r="E38" s="98"/>
      <c r="F38" s="98"/>
      <c r="G38" s="102"/>
      <c r="H38" s="102"/>
    </row>
    <row r="39" spans="2:8" ht="29.25" thickBot="1" x14ac:dyDescent="0.25">
      <c r="B39" s="166" t="s">
        <v>6</v>
      </c>
      <c r="C39" s="167" t="s">
        <v>185</v>
      </c>
      <c r="D39" s="168" t="s">
        <v>110</v>
      </c>
      <c r="E39" s="167" t="s">
        <v>72</v>
      </c>
      <c r="F39" s="185" t="s">
        <v>74</v>
      </c>
      <c r="G39" s="181" t="s">
        <v>99</v>
      </c>
      <c r="H39" s="98"/>
    </row>
    <row r="40" spans="2:8" ht="14.25" x14ac:dyDescent="0.2">
      <c r="B40" s="1186" t="s">
        <v>186</v>
      </c>
      <c r="C40" s="165" t="s">
        <v>139</v>
      </c>
      <c r="D40" s="169" t="s">
        <v>133</v>
      </c>
      <c r="E40" s="103">
        <v>1</v>
      </c>
      <c r="F40" s="177">
        <v>177.96610169491527</v>
      </c>
      <c r="G40" s="182">
        <f>E40*F40</f>
        <v>177.96610169491527</v>
      </c>
      <c r="H40" s="102"/>
    </row>
    <row r="41" spans="2:8" ht="14.25" x14ac:dyDescent="0.2">
      <c r="B41" s="1186"/>
      <c r="C41" s="142" t="s">
        <v>174</v>
      </c>
      <c r="D41" s="170" t="s">
        <v>44</v>
      </c>
      <c r="E41" s="96">
        <f>0.2*3</f>
        <v>0.60000000000000009</v>
      </c>
      <c r="F41" s="178">
        <v>25.556250000000002</v>
      </c>
      <c r="G41" s="183">
        <f>E41*F41</f>
        <v>15.333750000000004</v>
      </c>
      <c r="H41" s="102"/>
    </row>
    <row r="42" spans="2:8" ht="14.25" x14ac:dyDescent="0.2">
      <c r="B42" s="1186"/>
      <c r="C42" s="142" t="s">
        <v>130</v>
      </c>
      <c r="D42" s="170" t="s">
        <v>175</v>
      </c>
      <c r="E42" s="96">
        <f>0.2</f>
        <v>0.2</v>
      </c>
      <c r="F42" s="178">
        <v>25.556250000000002</v>
      </c>
      <c r="G42" s="183">
        <f>E42*F42</f>
        <v>5.111250000000001</v>
      </c>
      <c r="H42" s="102"/>
    </row>
    <row r="43" spans="2:8" ht="15" thickBot="1" x14ac:dyDescent="0.25">
      <c r="B43" s="1187"/>
      <c r="C43" s="164" t="s">
        <v>160</v>
      </c>
      <c r="D43" s="171" t="s">
        <v>133</v>
      </c>
      <c r="E43" s="104">
        <v>1</v>
      </c>
      <c r="F43" s="179">
        <v>20</v>
      </c>
      <c r="G43" s="184">
        <f>E43*F43</f>
        <v>20</v>
      </c>
      <c r="H43" s="102"/>
    </row>
    <row r="44" spans="2:8" ht="15" thickBot="1" x14ac:dyDescent="0.25">
      <c r="B44" s="98"/>
      <c r="C44" s="180" t="s">
        <v>185</v>
      </c>
      <c r="D44" s="98"/>
      <c r="E44" s="98"/>
      <c r="F44" s="98"/>
      <c r="G44" s="163">
        <f>SUM(G40:G43)</f>
        <v>218.41110169491529</v>
      </c>
      <c r="H44" s="102"/>
    </row>
    <row r="45" spans="2:8" ht="14.25" customHeight="1" thickBot="1" x14ac:dyDescent="0.25">
      <c r="B45" s="98"/>
      <c r="C45" s="98"/>
      <c r="D45" s="98"/>
      <c r="E45" s="98"/>
      <c r="F45" s="98"/>
      <c r="G45" s="102"/>
      <c r="H45" s="102"/>
    </row>
    <row r="46" spans="2:8" ht="29.25" thickBot="1" x14ac:dyDescent="0.25">
      <c r="B46" s="166" t="s">
        <v>6</v>
      </c>
      <c r="C46" s="167" t="s">
        <v>187</v>
      </c>
      <c r="D46" s="168" t="s">
        <v>110</v>
      </c>
      <c r="E46" s="167" t="s">
        <v>72</v>
      </c>
      <c r="F46" s="172" t="s">
        <v>74</v>
      </c>
      <c r="G46" s="176" t="s">
        <v>99</v>
      </c>
      <c r="H46" s="98"/>
    </row>
    <row r="47" spans="2:8" ht="14.25" x14ac:dyDescent="0.2">
      <c r="B47" s="1186" t="s">
        <v>188</v>
      </c>
      <c r="C47" s="165" t="s">
        <v>140</v>
      </c>
      <c r="D47" s="169" t="s">
        <v>133</v>
      </c>
      <c r="E47" s="103">
        <v>1</v>
      </c>
      <c r="F47" s="173">
        <v>194.91525423728814</v>
      </c>
      <c r="G47" s="177">
        <f>E47*F47</f>
        <v>194.91525423728814</v>
      </c>
      <c r="H47" s="102"/>
    </row>
    <row r="48" spans="2:8" ht="14.25" x14ac:dyDescent="0.2">
      <c r="B48" s="1186"/>
      <c r="C48" s="142" t="s">
        <v>174</v>
      </c>
      <c r="D48" s="170" t="s">
        <v>44</v>
      </c>
      <c r="E48" s="96">
        <f>0.2*3</f>
        <v>0.60000000000000009</v>
      </c>
      <c r="F48" s="174">
        <v>25.556250000000002</v>
      </c>
      <c r="G48" s="178">
        <f>E48*F48</f>
        <v>15.333750000000004</v>
      </c>
      <c r="H48" s="102"/>
    </row>
    <row r="49" spans="2:8" ht="14.25" x14ac:dyDescent="0.2">
      <c r="B49" s="1186"/>
      <c r="C49" s="142" t="s">
        <v>130</v>
      </c>
      <c r="D49" s="170" t="s">
        <v>175</v>
      </c>
      <c r="E49" s="96">
        <f>0.2</f>
        <v>0.2</v>
      </c>
      <c r="F49" s="174">
        <v>25.556250000000002</v>
      </c>
      <c r="G49" s="178">
        <f>E49*F49</f>
        <v>5.111250000000001</v>
      </c>
      <c r="H49" s="102"/>
    </row>
    <row r="50" spans="2:8" ht="15" thickBot="1" x14ac:dyDescent="0.25">
      <c r="B50" s="1187"/>
      <c r="C50" s="164" t="s">
        <v>160</v>
      </c>
      <c r="D50" s="171" t="s">
        <v>133</v>
      </c>
      <c r="E50" s="104">
        <v>1</v>
      </c>
      <c r="F50" s="175">
        <v>20</v>
      </c>
      <c r="G50" s="179">
        <f>E50*F50</f>
        <v>20</v>
      </c>
      <c r="H50" s="102"/>
    </row>
    <row r="51" spans="2:8" ht="15" thickBot="1" x14ac:dyDescent="0.25">
      <c r="B51" s="98"/>
      <c r="C51" s="207" t="s">
        <v>187</v>
      </c>
      <c r="D51" s="98"/>
      <c r="E51" s="98"/>
      <c r="F51" s="98"/>
      <c r="G51" s="229">
        <f>SUM(G47:G50)</f>
        <v>235.36025423728816</v>
      </c>
      <c r="H51" s="102"/>
    </row>
    <row r="52" spans="2:8" ht="14.25" customHeight="1" thickBot="1" x14ac:dyDescent="0.25">
      <c r="B52" s="98"/>
      <c r="C52" s="98"/>
      <c r="D52" s="98"/>
      <c r="E52" s="98"/>
      <c r="F52" s="98"/>
      <c r="G52" s="102"/>
      <c r="H52" s="102"/>
    </row>
    <row r="53" spans="2:8" ht="29.25" thickBot="1" x14ac:dyDescent="0.25">
      <c r="B53" s="166" t="s">
        <v>6</v>
      </c>
      <c r="C53" s="167" t="s">
        <v>189</v>
      </c>
      <c r="D53" s="168" t="s">
        <v>110</v>
      </c>
      <c r="E53" s="167" t="s">
        <v>72</v>
      </c>
      <c r="F53" s="172" t="s">
        <v>74</v>
      </c>
      <c r="G53" s="176" t="s">
        <v>99</v>
      </c>
      <c r="H53" s="98"/>
    </row>
    <row r="54" spans="2:8" ht="14.25" x14ac:dyDescent="0.2">
      <c r="B54" s="1186" t="s">
        <v>190</v>
      </c>
      <c r="C54" s="165" t="s">
        <v>141</v>
      </c>
      <c r="D54" s="169" t="s">
        <v>133</v>
      </c>
      <c r="E54" s="103">
        <v>1</v>
      </c>
      <c r="F54" s="173">
        <v>211.86440677966104</v>
      </c>
      <c r="G54" s="177">
        <f>E54*F54</f>
        <v>211.86440677966104</v>
      </c>
      <c r="H54" s="102"/>
    </row>
    <row r="55" spans="2:8" ht="14.25" x14ac:dyDescent="0.2">
      <c r="B55" s="1186"/>
      <c r="C55" s="142" t="s">
        <v>174</v>
      </c>
      <c r="D55" s="170" t="s">
        <v>44</v>
      </c>
      <c r="E55" s="96">
        <f>0.2*3</f>
        <v>0.60000000000000009</v>
      </c>
      <c r="F55" s="174">
        <v>25.556250000000002</v>
      </c>
      <c r="G55" s="178">
        <f>E55*F55</f>
        <v>15.333750000000004</v>
      </c>
      <c r="H55" s="102"/>
    </row>
    <row r="56" spans="2:8" ht="14.25" x14ac:dyDescent="0.2">
      <c r="B56" s="1186"/>
      <c r="C56" s="142" t="s">
        <v>130</v>
      </c>
      <c r="D56" s="170" t="s">
        <v>175</v>
      </c>
      <c r="E56" s="96">
        <f>0.2</f>
        <v>0.2</v>
      </c>
      <c r="F56" s="174">
        <v>25.556250000000002</v>
      </c>
      <c r="G56" s="178">
        <f>E56*F56</f>
        <v>5.111250000000001</v>
      </c>
      <c r="H56" s="102"/>
    </row>
    <row r="57" spans="2:8" ht="15" thickBot="1" x14ac:dyDescent="0.25">
      <c r="B57" s="1187"/>
      <c r="C57" s="164" t="s">
        <v>161</v>
      </c>
      <c r="D57" s="171" t="s">
        <v>133</v>
      </c>
      <c r="E57" s="104">
        <v>1</v>
      </c>
      <c r="F57" s="175">
        <v>25</v>
      </c>
      <c r="G57" s="179">
        <f>E57*F57</f>
        <v>25</v>
      </c>
      <c r="H57" s="102"/>
    </row>
    <row r="58" spans="2:8" ht="15" thickBot="1" x14ac:dyDescent="0.25">
      <c r="B58" s="98"/>
      <c r="C58" s="180" t="s">
        <v>189</v>
      </c>
      <c r="D58" s="98"/>
      <c r="E58" s="98"/>
      <c r="F58" s="98"/>
      <c r="G58" s="229">
        <f>SUM(G54:G57)</f>
        <v>257.30940677966106</v>
      </c>
      <c r="H58" s="102"/>
    </row>
    <row r="59" spans="2:8" ht="14.25" customHeight="1" thickBot="1" x14ac:dyDescent="0.25">
      <c r="B59" s="98"/>
      <c r="C59" s="98"/>
      <c r="D59" s="98"/>
      <c r="E59" s="98"/>
      <c r="F59" s="98"/>
      <c r="G59" s="102"/>
      <c r="H59" s="102"/>
    </row>
    <row r="60" spans="2:8" ht="29.25" thickBot="1" x14ac:dyDescent="0.25">
      <c r="B60" s="166" t="s">
        <v>6</v>
      </c>
      <c r="C60" s="167" t="s">
        <v>191</v>
      </c>
      <c r="D60" s="168" t="s">
        <v>110</v>
      </c>
      <c r="E60" s="167" t="s">
        <v>72</v>
      </c>
      <c r="F60" s="172" t="s">
        <v>74</v>
      </c>
      <c r="G60" s="176" t="s">
        <v>99</v>
      </c>
      <c r="H60" s="98"/>
    </row>
    <row r="61" spans="2:8" ht="14.25" x14ac:dyDescent="0.2">
      <c r="B61" s="1186" t="s">
        <v>192</v>
      </c>
      <c r="C61" s="165" t="s">
        <v>142</v>
      </c>
      <c r="D61" s="169" t="s">
        <v>133</v>
      </c>
      <c r="E61" s="103">
        <v>1</v>
      </c>
      <c r="F61" s="173">
        <v>228.81355932203391</v>
      </c>
      <c r="G61" s="177">
        <f>E61*F61</f>
        <v>228.81355932203391</v>
      </c>
      <c r="H61" s="102"/>
    </row>
    <row r="62" spans="2:8" ht="14.25" x14ac:dyDescent="0.2">
      <c r="B62" s="1186"/>
      <c r="C62" s="142" t="s">
        <v>174</v>
      </c>
      <c r="D62" s="170" t="s">
        <v>44</v>
      </c>
      <c r="E62" s="96">
        <f>0.2*3</f>
        <v>0.60000000000000009</v>
      </c>
      <c r="F62" s="174">
        <v>25.556250000000002</v>
      </c>
      <c r="G62" s="178">
        <f>E62*F62</f>
        <v>15.333750000000004</v>
      </c>
      <c r="H62" s="102"/>
    </row>
    <row r="63" spans="2:8" ht="14.25" x14ac:dyDescent="0.2">
      <c r="B63" s="1186"/>
      <c r="C63" s="142" t="s">
        <v>130</v>
      </c>
      <c r="D63" s="170" t="s">
        <v>175</v>
      </c>
      <c r="E63" s="96">
        <f>0.2</f>
        <v>0.2</v>
      </c>
      <c r="F63" s="174">
        <v>25.556250000000002</v>
      </c>
      <c r="G63" s="178">
        <f>E63*F63</f>
        <v>5.111250000000001</v>
      </c>
      <c r="H63" s="102"/>
    </row>
    <row r="64" spans="2:8" ht="15" thickBot="1" x14ac:dyDescent="0.25">
      <c r="B64" s="1187"/>
      <c r="C64" s="164" t="s">
        <v>161</v>
      </c>
      <c r="D64" s="171" t="s">
        <v>133</v>
      </c>
      <c r="E64" s="104">
        <v>1</v>
      </c>
      <c r="F64" s="175">
        <v>25</v>
      </c>
      <c r="G64" s="179">
        <f>E64*F64</f>
        <v>25</v>
      </c>
      <c r="H64" s="102"/>
    </row>
    <row r="65" spans="2:8" ht="15" thickBot="1" x14ac:dyDescent="0.25">
      <c r="B65" s="98"/>
      <c r="C65" s="180" t="str">
        <f>C60</f>
        <v>SISTEMA DE BARRAS 38-40 POLOS</v>
      </c>
      <c r="D65" s="98"/>
      <c r="E65" s="98"/>
      <c r="F65" s="98"/>
      <c r="G65" s="229">
        <f>SUM(G61:G64)</f>
        <v>274.25855932203393</v>
      </c>
      <c r="H65" s="102"/>
    </row>
    <row r="66" spans="2:8" ht="14.25" customHeight="1" thickBot="1" x14ac:dyDescent="0.25">
      <c r="B66" s="98"/>
      <c r="C66" s="98"/>
      <c r="D66" s="98"/>
      <c r="E66" s="98"/>
      <c r="F66" s="98"/>
      <c r="G66" s="102"/>
      <c r="H66" s="102"/>
    </row>
    <row r="67" spans="2:8" ht="29.25" thickBot="1" x14ac:dyDescent="0.25">
      <c r="B67" s="166" t="s">
        <v>6</v>
      </c>
      <c r="C67" s="167" t="s">
        <v>193</v>
      </c>
      <c r="D67" s="168" t="s">
        <v>110</v>
      </c>
      <c r="E67" s="167" t="s">
        <v>72</v>
      </c>
      <c r="F67" s="230" t="s">
        <v>74</v>
      </c>
      <c r="G67" s="176" t="s">
        <v>99</v>
      </c>
      <c r="H67" s="98"/>
    </row>
    <row r="68" spans="2:8" ht="14.25" x14ac:dyDescent="0.2">
      <c r="B68" s="1186" t="s">
        <v>194</v>
      </c>
      <c r="C68" s="165" t="s">
        <v>143</v>
      </c>
      <c r="D68" s="169" t="s">
        <v>133</v>
      </c>
      <c r="E68" s="103">
        <v>1</v>
      </c>
      <c r="F68" s="231">
        <v>245.76271186440678</v>
      </c>
      <c r="G68" s="177">
        <f>E68*F68</f>
        <v>245.76271186440678</v>
      </c>
      <c r="H68" s="102"/>
    </row>
    <row r="69" spans="2:8" ht="14.25" x14ac:dyDescent="0.2">
      <c r="B69" s="1186"/>
      <c r="C69" s="142" t="s">
        <v>174</v>
      </c>
      <c r="D69" s="170" t="s">
        <v>44</v>
      </c>
      <c r="E69" s="96">
        <f>0.2*3</f>
        <v>0.60000000000000009</v>
      </c>
      <c r="F69" s="232">
        <v>25.556250000000002</v>
      </c>
      <c r="G69" s="178">
        <f>E69*F69</f>
        <v>15.333750000000004</v>
      </c>
      <c r="H69" s="102"/>
    </row>
    <row r="70" spans="2:8" ht="14.25" x14ac:dyDescent="0.2">
      <c r="B70" s="1186"/>
      <c r="C70" s="142" t="s">
        <v>130</v>
      </c>
      <c r="D70" s="170" t="s">
        <v>175</v>
      </c>
      <c r="E70" s="96">
        <f>0.2</f>
        <v>0.2</v>
      </c>
      <c r="F70" s="232">
        <v>25.556250000000002</v>
      </c>
      <c r="G70" s="178">
        <f>E70*F70</f>
        <v>5.111250000000001</v>
      </c>
      <c r="H70" s="102"/>
    </row>
    <row r="71" spans="2:8" ht="15" thickBot="1" x14ac:dyDescent="0.25">
      <c r="B71" s="1187"/>
      <c r="C71" s="164" t="s">
        <v>162</v>
      </c>
      <c r="D71" s="171" t="s">
        <v>133</v>
      </c>
      <c r="E71" s="104">
        <v>1</v>
      </c>
      <c r="F71" s="233">
        <v>30</v>
      </c>
      <c r="G71" s="179">
        <f>E71*F71</f>
        <v>30</v>
      </c>
      <c r="H71" s="102"/>
    </row>
    <row r="72" spans="2:8" ht="15" thickBot="1" x14ac:dyDescent="0.25">
      <c r="B72" s="98"/>
      <c r="C72" s="180" t="str">
        <f>C67</f>
        <v>SISTEMA DE BARRAS 42-44 POLOS</v>
      </c>
      <c r="D72" s="98"/>
      <c r="E72" s="98"/>
      <c r="F72" s="98"/>
      <c r="G72" s="229">
        <f>SUM(G68:G71)</f>
        <v>296.20771186440675</v>
      </c>
      <c r="H72" s="102"/>
    </row>
    <row r="73" spans="2:8" ht="14.25" customHeight="1" thickBot="1" x14ac:dyDescent="0.25">
      <c r="B73" s="98"/>
      <c r="C73" s="98"/>
      <c r="D73" s="98"/>
      <c r="E73" s="98"/>
      <c r="F73" s="98"/>
      <c r="G73" s="102"/>
      <c r="H73" s="102"/>
    </row>
    <row r="74" spans="2:8" ht="29.25" thickBot="1" x14ac:dyDescent="0.25">
      <c r="B74" s="166" t="s">
        <v>6</v>
      </c>
      <c r="C74" s="167" t="s">
        <v>195</v>
      </c>
      <c r="D74" s="168" t="s">
        <v>110</v>
      </c>
      <c r="E74" s="167" t="s">
        <v>72</v>
      </c>
      <c r="F74" s="172" t="s">
        <v>74</v>
      </c>
      <c r="G74" s="176" t="s">
        <v>99</v>
      </c>
      <c r="H74" s="98"/>
    </row>
    <row r="75" spans="2:8" ht="14.25" x14ac:dyDescent="0.2">
      <c r="B75" s="1186" t="s">
        <v>196</v>
      </c>
      <c r="C75" s="165" t="s">
        <v>144</v>
      </c>
      <c r="D75" s="169" t="s">
        <v>133</v>
      </c>
      <c r="E75" s="103">
        <v>1</v>
      </c>
      <c r="F75" s="173">
        <v>271.18644067796612</v>
      </c>
      <c r="G75" s="177">
        <f>E75*F75</f>
        <v>271.18644067796612</v>
      </c>
      <c r="H75" s="102"/>
    </row>
    <row r="76" spans="2:8" ht="14.25" x14ac:dyDescent="0.2">
      <c r="B76" s="1186"/>
      <c r="C76" s="142" t="s">
        <v>174</v>
      </c>
      <c r="D76" s="170" t="s">
        <v>44</v>
      </c>
      <c r="E76" s="96">
        <f>0.2*3</f>
        <v>0.60000000000000009</v>
      </c>
      <c r="F76" s="174">
        <v>25.556250000000002</v>
      </c>
      <c r="G76" s="178">
        <f>E76*F76</f>
        <v>15.333750000000004</v>
      </c>
      <c r="H76" s="102"/>
    </row>
    <row r="77" spans="2:8" ht="14.25" x14ac:dyDescent="0.2">
      <c r="B77" s="1186"/>
      <c r="C77" s="142" t="s">
        <v>130</v>
      </c>
      <c r="D77" s="170" t="s">
        <v>175</v>
      </c>
      <c r="E77" s="96">
        <f>0.2</f>
        <v>0.2</v>
      </c>
      <c r="F77" s="174">
        <v>25.556250000000002</v>
      </c>
      <c r="G77" s="178">
        <f>E77*F77</f>
        <v>5.111250000000001</v>
      </c>
      <c r="H77" s="102"/>
    </row>
    <row r="78" spans="2:8" ht="15" thickBot="1" x14ac:dyDescent="0.25">
      <c r="B78" s="1187"/>
      <c r="C78" s="164" t="s">
        <v>162</v>
      </c>
      <c r="D78" s="171" t="s">
        <v>133</v>
      </c>
      <c r="E78" s="104">
        <v>1</v>
      </c>
      <c r="F78" s="175">
        <v>30</v>
      </c>
      <c r="G78" s="179">
        <f>E78*F78</f>
        <v>30</v>
      </c>
      <c r="H78" s="102"/>
    </row>
    <row r="79" spans="2:8" ht="15" thickBot="1" x14ac:dyDescent="0.25">
      <c r="B79" s="98"/>
      <c r="C79" s="180" t="str">
        <f>C74</f>
        <v>SISTEMA DE BARRAS 46-48 POLOS</v>
      </c>
      <c r="D79" s="98"/>
      <c r="E79" s="98"/>
      <c r="F79" s="98"/>
      <c r="G79" s="163">
        <f>SUM(G75:G78)</f>
        <v>321.63144067796611</v>
      </c>
      <c r="H79" s="102"/>
    </row>
    <row r="80" spans="2:8" ht="14.25" customHeight="1" thickBot="1" x14ac:dyDescent="0.25">
      <c r="B80" s="98"/>
      <c r="C80" s="98"/>
      <c r="D80" s="98"/>
      <c r="E80" s="98"/>
      <c r="F80" s="98"/>
      <c r="G80" s="102"/>
      <c r="H80" s="102"/>
    </row>
    <row r="81" spans="2:8" ht="29.25" thickBot="1" x14ac:dyDescent="0.25">
      <c r="B81" s="166" t="s">
        <v>6</v>
      </c>
      <c r="C81" s="167" t="s">
        <v>197</v>
      </c>
      <c r="D81" s="168" t="s">
        <v>110</v>
      </c>
      <c r="E81" s="167" t="s">
        <v>72</v>
      </c>
      <c r="F81" s="230" t="s">
        <v>74</v>
      </c>
      <c r="G81" s="176" t="s">
        <v>99</v>
      </c>
      <c r="H81" s="98"/>
    </row>
    <row r="82" spans="2:8" ht="14.25" x14ac:dyDescent="0.2">
      <c r="B82" s="1186" t="s">
        <v>198</v>
      </c>
      <c r="C82" s="165" t="s">
        <v>145</v>
      </c>
      <c r="D82" s="169" t="s">
        <v>133</v>
      </c>
      <c r="E82" s="103">
        <v>1</v>
      </c>
      <c r="F82" s="231">
        <v>296.61016949152543</v>
      </c>
      <c r="G82" s="177">
        <f>E82*F82</f>
        <v>296.61016949152543</v>
      </c>
      <c r="H82" s="102"/>
    </row>
    <row r="83" spans="2:8" ht="14.25" x14ac:dyDescent="0.2">
      <c r="B83" s="1186"/>
      <c r="C83" s="142" t="s">
        <v>174</v>
      </c>
      <c r="D83" s="170" t="s">
        <v>44</v>
      </c>
      <c r="E83" s="96">
        <f>0.2*3</f>
        <v>0.60000000000000009</v>
      </c>
      <c r="F83" s="232">
        <v>25.556250000000002</v>
      </c>
      <c r="G83" s="178">
        <f>E83*F83</f>
        <v>15.333750000000004</v>
      </c>
      <c r="H83" s="102"/>
    </row>
    <row r="84" spans="2:8" ht="14.25" x14ac:dyDescent="0.2">
      <c r="B84" s="1186"/>
      <c r="C84" s="142" t="s">
        <v>130</v>
      </c>
      <c r="D84" s="170" t="s">
        <v>175</v>
      </c>
      <c r="E84" s="96">
        <f>0.2</f>
        <v>0.2</v>
      </c>
      <c r="F84" s="232">
        <v>25.556250000000002</v>
      </c>
      <c r="G84" s="178">
        <f>E84*F84</f>
        <v>5.111250000000001</v>
      </c>
      <c r="H84" s="102"/>
    </row>
    <row r="85" spans="2:8" ht="15" thickBot="1" x14ac:dyDescent="0.25">
      <c r="B85" s="1187"/>
      <c r="C85" s="164" t="s">
        <v>163</v>
      </c>
      <c r="D85" s="171" t="s">
        <v>133</v>
      </c>
      <c r="E85" s="104">
        <v>1</v>
      </c>
      <c r="F85" s="233">
        <v>35</v>
      </c>
      <c r="G85" s="179">
        <f>E85*F85</f>
        <v>35</v>
      </c>
      <c r="H85" s="102"/>
    </row>
    <row r="86" spans="2:8" ht="15" thickBot="1" x14ac:dyDescent="0.25">
      <c r="B86" s="98"/>
      <c r="C86" s="207" t="str">
        <f>C81</f>
        <v>SISTEMA DE BARRAS 50-52 POLOS</v>
      </c>
      <c r="D86" s="98"/>
      <c r="E86" s="98"/>
      <c r="F86" s="98"/>
      <c r="G86" s="229">
        <f>SUM(G82:G85)</f>
        <v>352.05516949152542</v>
      </c>
      <c r="H86" s="102"/>
    </row>
    <row r="87" spans="2:8" ht="14.25" customHeight="1" thickBot="1" x14ac:dyDescent="0.25">
      <c r="B87" s="98"/>
      <c r="C87" s="98"/>
      <c r="D87" s="98"/>
      <c r="E87" s="98"/>
      <c r="F87" s="98"/>
      <c r="G87" s="102"/>
      <c r="H87" s="102"/>
    </row>
    <row r="88" spans="2:8" ht="29.25" thickBot="1" x14ac:dyDescent="0.25">
      <c r="B88" s="166" t="s">
        <v>6</v>
      </c>
      <c r="C88" s="167" t="s">
        <v>199</v>
      </c>
      <c r="D88" s="168" t="s">
        <v>110</v>
      </c>
      <c r="E88" s="167" t="s">
        <v>72</v>
      </c>
      <c r="F88" s="172" t="s">
        <v>74</v>
      </c>
      <c r="G88" s="176" t="s">
        <v>99</v>
      </c>
      <c r="H88" s="98"/>
    </row>
    <row r="89" spans="2:8" ht="14.25" x14ac:dyDescent="0.2">
      <c r="B89" s="1186" t="s">
        <v>200</v>
      </c>
      <c r="C89" s="165" t="s">
        <v>146</v>
      </c>
      <c r="D89" s="169" t="s">
        <v>133</v>
      </c>
      <c r="E89" s="103">
        <v>1</v>
      </c>
      <c r="F89" s="173">
        <v>305.08474576271186</v>
      </c>
      <c r="G89" s="177">
        <f>E89*F89</f>
        <v>305.08474576271186</v>
      </c>
      <c r="H89" s="102"/>
    </row>
    <row r="90" spans="2:8" ht="14.25" x14ac:dyDescent="0.2">
      <c r="B90" s="1186"/>
      <c r="C90" s="142" t="s">
        <v>174</v>
      </c>
      <c r="D90" s="170" t="s">
        <v>44</v>
      </c>
      <c r="E90" s="96">
        <f>0.2*3</f>
        <v>0.60000000000000009</v>
      </c>
      <c r="F90" s="174">
        <v>25.556250000000002</v>
      </c>
      <c r="G90" s="178">
        <f>E90*F90</f>
        <v>15.333750000000004</v>
      </c>
      <c r="H90" s="102"/>
    </row>
    <row r="91" spans="2:8" ht="14.25" x14ac:dyDescent="0.2">
      <c r="B91" s="1186"/>
      <c r="C91" s="142" t="s">
        <v>130</v>
      </c>
      <c r="D91" s="170" t="s">
        <v>175</v>
      </c>
      <c r="E91" s="96">
        <f>0.2</f>
        <v>0.2</v>
      </c>
      <c r="F91" s="174">
        <v>25.556250000000002</v>
      </c>
      <c r="G91" s="178">
        <f>E91*F91</f>
        <v>5.111250000000001</v>
      </c>
      <c r="H91" s="102"/>
    </row>
    <row r="92" spans="2:8" ht="15" thickBot="1" x14ac:dyDescent="0.25">
      <c r="B92" s="1187"/>
      <c r="C92" s="164" t="s">
        <v>163</v>
      </c>
      <c r="D92" s="171" t="s">
        <v>133</v>
      </c>
      <c r="E92" s="104">
        <v>1</v>
      </c>
      <c r="F92" s="175">
        <v>35</v>
      </c>
      <c r="G92" s="179">
        <f>E92*F92</f>
        <v>35</v>
      </c>
      <c r="H92" s="102"/>
    </row>
    <row r="93" spans="2:8" ht="15" thickBot="1" x14ac:dyDescent="0.25">
      <c r="B93" s="98"/>
      <c r="C93" s="207" t="str">
        <f>C88</f>
        <v>SISTEMA DE BARRAS 54-56 POLOS</v>
      </c>
      <c r="D93" s="98"/>
      <c r="E93" s="98"/>
      <c r="F93" s="98"/>
      <c r="G93" s="229">
        <f>SUM(G89:G92)</f>
        <v>360.52974576271185</v>
      </c>
      <c r="H93" s="102"/>
    </row>
    <row r="94" spans="2:8" ht="14.25" customHeight="1" thickBot="1" x14ac:dyDescent="0.25">
      <c r="B94" s="98"/>
      <c r="C94" s="98"/>
      <c r="D94" s="98"/>
      <c r="E94" s="98"/>
      <c r="F94" s="98"/>
      <c r="G94" s="102"/>
      <c r="H94" s="102"/>
    </row>
    <row r="95" spans="2:8" ht="29.25" thickBot="1" x14ac:dyDescent="0.25">
      <c r="B95" s="166" t="s">
        <v>6</v>
      </c>
      <c r="C95" s="167" t="s">
        <v>201</v>
      </c>
      <c r="D95" s="168" t="s">
        <v>110</v>
      </c>
      <c r="E95" s="167" t="s">
        <v>72</v>
      </c>
      <c r="F95" s="172" t="s">
        <v>74</v>
      </c>
      <c r="G95" s="176" t="s">
        <v>99</v>
      </c>
      <c r="H95" s="98"/>
    </row>
    <row r="96" spans="2:8" ht="14.25" x14ac:dyDescent="0.2">
      <c r="B96" s="1186" t="s">
        <v>202</v>
      </c>
      <c r="C96" s="165" t="s">
        <v>147</v>
      </c>
      <c r="D96" s="169" t="s">
        <v>133</v>
      </c>
      <c r="E96" s="103">
        <v>1</v>
      </c>
      <c r="F96" s="173">
        <v>322.03389830508479</v>
      </c>
      <c r="G96" s="177">
        <f>E96*F96</f>
        <v>322.03389830508479</v>
      </c>
      <c r="H96" s="102"/>
    </row>
    <row r="97" spans="2:8" ht="14.25" x14ac:dyDescent="0.2">
      <c r="B97" s="1186"/>
      <c r="C97" s="142" t="s">
        <v>174</v>
      </c>
      <c r="D97" s="170" t="s">
        <v>44</v>
      </c>
      <c r="E97" s="96">
        <f>0.2*3</f>
        <v>0.60000000000000009</v>
      </c>
      <c r="F97" s="174">
        <v>25.556250000000002</v>
      </c>
      <c r="G97" s="178">
        <f>E97*F97</f>
        <v>15.333750000000004</v>
      </c>
      <c r="H97" s="102"/>
    </row>
    <row r="98" spans="2:8" ht="14.25" x14ac:dyDescent="0.2">
      <c r="B98" s="1186"/>
      <c r="C98" s="142" t="s">
        <v>130</v>
      </c>
      <c r="D98" s="170" t="s">
        <v>175</v>
      </c>
      <c r="E98" s="96">
        <f>0.2</f>
        <v>0.2</v>
      </c>
      <c r="F98" s="174">
        <v>25.556250000000002</v>
      </c>
      <c r="G98" s="178">
        <f>E98*F98</f>
        <v>5.111250000000001</v>
      </c>
      <c r="H98" s="102"/>
    </row>
    <row r="99" spans="2:8" ht="15" thickBot="1" x14ac:dyDescent="0.25">
      <c r="B99" s="1187"/>
      <c r="C99" s="164" t="s">
        <v>164</v>
      </c>
      <c r="D99" s="171" t="s">
        <v>133</v>
      </c>
      <c r="E99" s="104">
        <v>1</v>
      </c>
      <c r="F99" s="175">
        <v>40</v>
      </c>
      <c r="G99" s="179">
        <f>E99*F99</f>
        <v>40</v>
      </c>
      <c r="H99" s="102"/>
    </row>
    <row r="100" spans="2:8" ht="15" thickBot="1" x14ac:dyDescent="0.25">
      <c r="B100" s="98"/>
      <c r="C100" s="207" t="str">
        <f>C95</f>
        <v>SISTEMA DE BARRAS 58-60 POLOS</v>
      </c>
      <c r="D100" s="98"/>
      <c r="E100" s="98"/>
      <c r="F100" s="98"/>
      <c r="G100" s="229">
        <f>SUM(G96:G99)</f>
        <v>382.47889830508478</v>
      </c>
      <c r="H100" s="102"/>
    </row>
    <row r="101" spans="2:8" ht="14.25" x14ac:dyDescent="0.2">
      <c r="B101" s="98"/>
      <c r="C101" s="98"/>
      <c r="D101" s="98"/>
      <c r="E101" s="98"/>
      <c r="F101" s="98"/>
      <c r="G101" s="102"/>
      <c r="H101" s="102"/>
    </row>
    <row r="102" spans="2:8" ht="14.25" x14ac:dyDescent="0.2">
      <c r="B102" s="98"/>
      <c r="C102" s="98"/>
      <c r="D102" s="98"/>
      <c r="E102" s="98"/>
      <c r="F102" s="98"/>
      <c r="G102" s="102"/>
      <c r="H102" s="102"/>
    </row>
    <row r="103" spans="2:8" ht="14.25" x14ac:dyDescent="0.2">
      <c r="B103" s="98"/>
      <c r="C103" s="98"/>
      <c r="D103" s="98"/>
      <c r="E103" s="98"/>
      <c r="F103" s="98"/>
      <c r="G103" s="98"/>
      <c r="H103" s="98"/>
    </row>
  </sheetData>
  <mergeCells count="15">
    <mergeCell ref="B2:G2"/>
    <mergeCell ref="B82:B85"/>
    <mergeCell ref="B89:B92"/>
    <mergeCell ref="B96:B99"/>
    <mergeCell ref="B40:B43"/>
    <mergeCell ref="B47:B50"/>
    <mergeCell ref="B54:B57"/>
    <mergeCell ref="B61:B64"/>
    <mergeCell ref="B68:B71"/>
    <mergeCell ref="B75:B78"/>
    <mergeCell ref="B33:B36"/>
    <mergeCell ref="B5:B8"/>
    <mergeCell ref="B12:B15"/>
    <mergeCell ref="B19:B22"/>
    <mergeCell ref="B26:B29"/>
  </mergeCells>
  <pageMargins left="0.35433070866141736" right="0.31496062992125984" top="0.74803149606299213" bottom="0.47" header="0.31496062992125984" footer="0.31496062992125984"/>
  <pageSetup scale="84" orientation="portrait" r:id="rId1"/>
  <rowBreaks count="1" manualBreakCount="1">
    <brk id="49" min="1" max="6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83"/>
  <sheetViews>
    <sheetView view="pageBreakPreview" topLeftCell="A31" zoomScaleNormal="100" zoomScaleSheetLayoutView="100" workbookViewId="0">
      <selection activeCell="C35" sqref="C35"/>
    </sheetView>
  </sheetViews>
  <sheetFormatPr baseColWidth="10" defaultRowHeight="12.75" x14ac:dyDescent="0.2"/>
  <cols>
    <col min="1" max="1" width="11.42578125" style="89"/>
    <col min="2" max="2" width="8" style="89" customWidth="1"/>
    <col min="3" max="3" width="71.140625" style="89" customWidth="1"/>
    <col min="4" max="4" width="8.7109375" style="89" customWidth="1"/>
    <col min="5" max="5" width="10.28515625" style="89" customWidth="1"/>
    <col min="6" max="6" width="8.5703125" style="89" customWidth="1"/>
    <col min="7" max="7" width="12" style="89" customWidth="1"/>
    <col min="8" max="16384" width="11.42578125" style="89"/>
  </cols>
  <sheetData>
    <row r="1" spans="2:8" ht="13.5" thickBot="1" x14ac:dyDescent="0.25"/>
    <row r="2" spans="2:8" ht="15" thickBot="1" x14ac:dyDescent="0.25">
      <c r="B2" s="1183" t="s">
        <v>408</v>
      </c>
      <c r="C2" s="1184"/>
      <c r="D2" s="1184"/>
      <c r="E2" s="1184"/>
      <c r="F2" s="1184"/>
      <c r="G2" s="1185"/>
      <c r="H2" s="98"/>
    </row>
    <row r="3" spans="2:8" ht="15" thickBot="1" x14ac:dyDescent="0.25">
      <c r="B3" s="98"/>
      <c r="C3" s="98"/>
      <c r="D3" s="98"/>
      <c r="E3" s="98"/>
      <c r="F3" s="98"/>
      <c r="G3" s="102"/>
      <c r="H3" s="102"/>
    </row>
    <row r="4" spans="2:8" ht="15" thickBot="1" x14ac:dyDescent="0.25">
      <c r="B4" s="98"/>
      <c r="C4" s="1188" t="s">
        <v>216</v>
      </c>
      <c r="D4" s="1189"/>
      <c r="E4" s="1190"/>
      <c r="F4" s="98"/>
      <c r="G4" s="102"/>
      <c r="H4" s="102"/>
    </row>
    <row r="5" spans="2:8" ht="14.25" customHeight="1" x14ac:dyDescent="0.2">
      <c r="B5" s="107"/>
      <c r="C5" s="119" t="s">
        <v>211</v>
      </c>
      <c r="D5" s="120" t="s">
        <v>203</v>
      </c>
      <c r="E5" s="132">
        <v>12</v>
      </c>
      <c r="F5" s="98"/>
      <c r="G5" s="102"/>
      <c r="H5" s="102"/>
    </row>
    <row r="6" spans="2:8" ht="14.25" x14ac:dyDescent="0.2">
      <c r="B6" s="107"/>
      <c r="C6" s="109" t="s">
        <v>212</v>
      </c>
      <c r="D6" s="106" t="s">
        <v>203</v>
      </c>
      <c r="E6" s="110">
        <v>0</v>
      </c>
      <c r="F6" s="98"/>
      <c r="G6" s="102"/>
      <c r="H6" s="102"/>
    </row>
    <row r="7" spans="2:8" ht="14.25" x14ac:dyDescent="0.2">
      <c r="B7" s="107"/>
      <c r="C7" s="109" t="s">
        <v>213</v>
      </c>
      <c r="D7" s="106" t="s">
        <v>203</v>
      </c>
      <c r="E7" s="110">
        <v>0</v>
      </c>
      <c r="F7" s="98"/>
      <c r="G7" s="98"/>
      <c r="H7" s="98"/>
    </row>
    <row r="8" spans="2:8" ht="15" thickBot="1" x14ac:dyDescent="0.25">
      <c r="B8" s="107"/>
      <c r="C8" s="111" t="s">
        <v>214</v>
      </c>
      <c r="D8" s="112" t="s">
        <v>203</v>
      </c>
      <c r="E8" s="113">
        <v>1</v>
      </c>
      <c r="F8" s="98"/>
      <c r="G8" s="98"/>
      <c r="H8" s="98"/>
    </row>
    <row r="9" spans="2:8" ht="6" customHeight="1" thickBot="1" x14ac:dyDescent="0.25">
      <c r="B9" s="203"/>
      <c r="C9" s="98"/>
      <c r="D9" s="151"/>
      <c r="E9" s="151"/>
      <c r="F9" s="98"/>
      <c r="G9" s="98"/>
      <c r="H9" s="98"/>
    </row>
    <row r="10" spans="2:8" ht="29.25" thickBot="1" x14ac:dyDescent="0.25">
      <c r="B10" s="199" t="s">
        <v>215</v>
      </c>
      <c r="C10" s="167" t="s">
        <v>210</v>
      </c>
      <c r="D10" s="167" t="s">
        <v>110</v>
      </c>
      <c r="E10" s="168" t="s">
        <v>72</v>
      </c>
      <c r="F10" s="185" t="s">
        <v>74</v>
      </c>
      <c r="G10" s="181" t="s">
        <v>99</v>
      </c>
      <c r="H10" s="98"/>
    </row>
    <row r="11" spans="2:8" ht="14.25" x14ac:dyDescent="0.2">
      <c r="B11" s="200">
        <v>2</v>
      </c>
      <c r="C11" s="156" t="str">
        <f>Materiales!D111</f>
        <v>Cable NH-80, 4mm2, 32A, INDECO</v>
      </c>
      <c r="D11" s="103" t="s">
        <v>44</v>
      </c>
      <c r="E11" s="169">
        <f>E5*2</f>
        <v>24</v>
      </c>
      <c r="F11" s="177">
        <f>Materiales!G111</f>
        <v>2.0762711864406782</v>
      </c>
      <c r="G11" s="182">
        <f>E11*F11</f>
        <v>49.830508474576277</v>
      </c>
      <c r="H11" s="102"/>
    </row>
    <row r="12" spans="2:8" ht="14.25" x14ac:dyDescent="0.2">
      <c r="B12" s="200">
        <v>2</v>
      </c>
      <c r="C12" s="157" t="str">
        <f>Materiales!D112</f>
        <v>Cable NH-80, 6mm2, 41A, INDECO</v>
      </c>
      <c r="D12" s="96" t="s">
        <v>44</v>
      </c>
      <c r="E12" s="170">
        <f>E6*2</f>
        <v>0</v>
      </c>
      <c r="F12" s="178">
        <f>Materiales!G112</f>
        <v>3.21</v>
      </c>
      <c r="G12" s="183">
        <f>E12*F12</f>
        <v>0</v>
      </c>
      <c r="H12" s="102"/>
    </row>
    <row r="13" spans="2:8" ht="14.25" x14ac:dyDescent="0.2">
      <c r="B13" s="200">
        <v>4</v>
      </c>
      <c r="C13" s="157" t="str">
        <f>Materiales!D111</f>
        <v>Cable NH-80, 4mm2, 32A, INDECO</v>
      </c>
      <c r="D13" s="96" t="s">
        <v>44</v>
      </c>
      <c r="E13" s="170">
        <f>E7*2</f>
        <v>0</v>
      </c>
      <c r="F13" s="178">
        <f>Materiales!G111</f>
        <v>2.0762711864406782</v>
      </c>
      <c r="G13" s="183">
        <f>E13*F13</f>
        <v>0</v>
      </c>
      <c r="H13" s="102"/>
    </row>
    <row r="14" spans="2:8" ht="14.25" x14ac:dyDescent="0.2">
      <c r="B14" s="200">
        <v>4</v>
      </c>
      <c r="C14" s="157" t="str">
        <f>Materiales!D112</f>
        <v>Cable NH-80, 6mm2, 41A, INDECO</v>
      </c>
      <c r="D14" s="96" t="s">
        <v>44</v>
      </c>
      <c r="E14" s="170">
        <f>E8*2</f>
        <v>2</v>
      </c>
      <c r="F14" s="178">
        <f>Materiales!G112</f>
        <v>3.21</v>
      </c>
      <c r="G14" s="183">
        <f>E14*F14</f>
        <v>6.42</v>
      </c>
      <c r="H14" s="102"/>
    </row>
    <row r="15" spans="2:8" ht="15" thickBot="1" x14ac:dyDescent="0.25">
      <c r="B15" s="201"/>
      <c r="C15" s="202" t="str">
        <f>Materiales!D129</f>
        <v>M. Menores (canaletas, terminales, marcadores, contillo, etc) 08-14 polos</v>
      </c>
      <c r="D15" s="104" t="s">
        <v>133</v>
      </c>
      <c r="E15" s="171">
        <v>1</v>
      </c>
      <c r="F15" s="179">
        <f>Materiales!G129</f>
        <v>15</v>
      </c>
      <c r="G15" s="184">
        <f>E15*F15</f>
        <v>15</v>
      </c>
      <c r="H15" s="102"/>
    </row>
    <row r="16" spans="2:8" ht="15" thickBot="1" x14ac:dyDescent="0.25">
      <c r="B16" s="98"/>
      <c r="C16" s="180" t="str">
        <f>C10</f>
        <v>CABLEADO 2 DIFERENCIALES</v>
      </c>
      <c r="D16" s="98"/>
      <c r="E16" s="98"/>
      <c r="F16" s="98"/>
      <c r="G16" s="163">
        <f>SUM(G11:G15)</f>
        <v>71.250508474576279</v>
      </c>
      <c r="H16" s="102"/>
    </row>
    <row r="17" spans="2:8" ht="15" thickBot="1" x14ac:dyDescent="0.25">
      <c r="B17" s="98"/>
      <c r="C17" s="114"/>
      <c r="D17" s="98"/>
      <c r="E17" s="98"/>
      <c r="F17" s="98"/>
      <c r="G17" s="115"/>
      <c r="H17" s="102"/>
    </row>
    <row r="18" spans="2:8" ht="15" thickBot="1" x14ac:dyDescent="0.25">
      <c r="B18" s="98"/>
      <c r="C18" s="1188" t="s">
        <v>216</v>
      </c>
      <c r="D18" s="1189"/>
      <c r="E18" s="1190"/>
      <c r="F18" s="98"/>
      <c r="G18" s="102"/>
      <c r="H18" s="102"/>
    </row>
    <row r="19" spans="2:8" ht="14.25" customHeight="1" x14ac:dyDescent="0.2">
      <c r="B19" s="107"/>
      <c r="C19" s="156" t="s">
        <v>211</v>
      </c>
      <c r="D19" s="141" t="s">
        <v>203</v>
      </c>
      <c r="E19" s="212">
        <v>1</v>
      </c>
      <c r="F19" s="98"/>
      <c r="G19" s="102"/>
      <c r="H19" s="102"/>
    </row>
    <row r="20" spans="2:8" ht="14.25" x14ac:dyDescent="0.2">
      <c r="B20" s="107"/>
      <c r="C20" s="157" t="s">
        <v>212</v>
      </c>
      <c r="D20" s="96" t="s">
        <v>203</v>
      </c>
      <c r="E20" s="213">
        <v>0</v>
      </c>
      <c r="F20" s="98"/>
      <c r="G20" s="102"/>
      <c r="H20" s="102"/>
    </row>
    <row r="21" spans="2:8" ht="14.25" x14ac:dyDescent="0.2">
      <c r="B21" s="107"/>
      <c r="C21" s="157" t="s">
        <v>213</v>
      </c>
      <c r="D21" s="96" t="s">
        <v>203</v>
      </c>
      <c r="E21" s="213">
        <v>0</v>
      </c>
      <c r="F21" s="98"/>
      <c r="G21" s="98"/>
      <c r="H21" s="98"/>
    </row>
    <row r="22" spans="2:8" ht="15" thickBot="1" x14ac:dyDescent="0.25">
      <c r="B22" s="203"/>
      <c r="C22" s="202" t="s">
        <v>214</v>
      </c>
      <c r="D22" s="104" t="s">
        <v>203</v>
      </c>
      <c r="E22" s="214">
        <v>0</v>
      </c>
      <c r="F22" s="98"/>
      <c r="G22" s="98"/>
      <c r="H22" s="98"/>
    </row>
    <row r="23" spans="2:8" ht="6" customHeight="1" thickBot="1" x14ac:dyDescent="0.25">
      <c r="B23" s="108"/>
      <c r="C23" s="204"/>
      <c r="D23" s="205"/>
      <c r="E23" s="206"/>
      <c r="F23" s="98"/>
      <c r="G23" s="98"/>
      <c r="H23" s="98"/>
    </row>
    <row r="24" spans="2:8" ht="29.25" thickBot="1" x14ac:dyDescent="0.25">
      <c r="B24" s="199" t="s">
        <v>215</v>
      </c>
      <c r="C24" s="167" t="s">
        <v>217</v>
      </c>
      <c r="D24" s="168" t="s">
        <v>110</v>
      </c>
      <c r="E24" s="167" t="s">
        <v>72</v>
      </c>
      <c r="F24" s="172" t="s">
        <v>74</v>
      </c>
      <c r="G24" s="176" t="s">
        <v>99</v>
      </c>
      <c r="H24" s="98"/>
    </row>
    <row r="25" spans="2:8" ht="14.25" x14ac:dyDescent="0.2">
      <c r="B25" s="200">
        <v>2</v>
      </c>
      <c r="C25" s="208" t="str">
        <f>Materiales!D111</f>
        <v>Cable NH-80, 4mm2, 32A, INDECO</v>
      </c>
      <c r="D25" s="209" t="s">
        <v>44</v>
      </c>
      <c r="E25" s="141">
        <f>E19*2</f>
        <v>2</v>
      </c>
      <c r="F25" s="210">
        <f>Materiales!G111</f>
        <v>2.0762711864406782</v>
      </c>
      <c r="G25" s="211">
        <f>E25*F25</f>
        <v>4.1525423728813564</v>
      </c>
      <c r="H25" s="102"/>
    </row>
    <row r="26" spans="2:8" ht="14.25" x14ac:dyDescent="0.2">
      <c r="B26" s="200">
        <v>2</v>
      </c>
      <c r="C26" s="142" t="str">
        <f>Materiales!D112</f>
        <v>Cable NH-80, 6mm2, 41A, INDECO</v>
      </c>
      <c r="D26" s="170" t="s">
        <v>44</v>
      </c>
      <c r="E26" s="96">
        <f>E20*2</f>
        <v>0</v>
      </c>
      <c r="F26" s="174">
        <f>Materiales!G112</f>
        <v>3.21</v>
      </c>
      <c r="G26" s="178">
        <f>E26*F26</f>
        <v>0</v>
      </c>
      <c r="H26" s="102"/>
    </row>
    <row r="27" spans="2:8" ht="14.25" x14ac:dyDescent="0.2">
      <c r="B27" s="200">
        <v>4</v>
      </c>
      <c r="C27" s="142" t="str">
        <f>Materiales!D111</f>
        <v>Cable NH-80, 4mm2, 32A, INDECO</v>
      </c>
      <c r="D27" s="170" t="s">
        <v>44</v>
      </c>
      <c r="E27" s="96">
        <f>E21*2</f>
        <v>0</v>
      </c>
      <c r="F27" s="174">
        <f>Materiales!G111</f>
        <v>2.0762711864406782</v>
      </c>
      <c r="G27" s="178">
        <f>E27*F27</f>
        <v>0</v>
      </c>
      <c r="H27" s="102"/>
    </row>
    <row r="28" spans="2:8" ht="14.25" x14ac:dyDescent="0.2">
      <c r="B28" s="200">
        <v>4</v>
      </c>
      <c r="C28" s="142" t="str">
        <f>Materiales!D112</f>
        <v>Cable NH-80, 6mm2, 41A, INDECO</v>
      </c>
      <c r="D28" s="170" t="s">
        <v>44</v>
      </c>
      <c r="E28" s="96">
        <f>E22*2</f>
        <v>0</v>
      </c>
      <c r="F28" s="174">
        <f>Materiales!G112</f>
        <v>3.21</v>
      </c>
      <c r="G28" s="178">
        <f>E28*F28</f>
        <v>0</v>
      </c>
      <c r="H28" s="102"/>
    </row>
    <row r="29" spans="2:8" ht="15" thickBot="1" x14ac:dyDescent="0.25">
      <c r="B29" s="201"/>
      <c r="C29" s="164" t="str">
        <f>Materiales!D129</f>
        <v>M. Menores (canaletas, terminales, marcadores, contillo, etc) 08-14 polos</v>
      </c>
      <c r="D29" s="171" t="s">
        <v>133</v>
      </c>
      <c r="E29" s="104">
        <v>1</v>
      </c>
      <c r="F29" s="175">
        <f>Materiales!G129</f>
        <v>15</v>
      </c>
      <c r="G29" s="179">
        <f>E29*F29</f>
        <v>15</v>
      </c>
      <c r="H29" s="102"/>
    </row>
    <row r="30" spans="2:8" ht="15" thickBot="1" x14ac:dyDescent="0.25">
      <c r="B30" s="98"/>
      <c r="C30" s="207" t="str">
        <f>C24</f>
        <v>CABLEADO 3 DIFERENCIALES</v>
      </c>
      <c r="D30" s="98"/>
      <c r="E30" s="98"/>
      <c r="F30" s="98"/>
      <c r="G30" s="163">
        <f>SUM(G25:G29)</f>
        <v>19.152542372881356</v>
      </c>
      <c r="H30" s="102"/>
    </row>
    <row r="31" spans="2:8" ht="15" thickBot="1" x14ac:dyDescent="0.25">
      <c r="B31" s="98"/>
      <c r="C31" s="98"/>
      <c r="D31" s="98"/>
      <c r="E31" s="98"/>
      <c r="F31" s="98"/>
      <c r="G31" s="102"/>
      <c r="H31" s="102"/>
    </row>
    <row r="32" spans="2:8" ht="15" thickBot="1" x14ac:dyDescent="0.25">
      <c r="B32" s="98"/>
      <c r="C32" s="1191" t="s">
        <v>227</v>
      </c>
      <c r="D32" s="1192"/>
      <c r="E32" s="1192"/>
      <c r="F32" s="1192"/>
      <c r="G32" s="1193"/>
      <c r="H32" s="102"/>
    </row>
    <row r="33" spans="2:8" ht="15" thickBot="1" x14ac:dyDescent="0.25">
      <c r="B33" s="98"/>
      <c r="C33" s="122" t="s">
        <v>73</v>
      </c>
      <c r="D33" s="123" t="s">
        <v>118</v>
      </c>
      <c r="E33" s="123" t="s">
        <v>215</v>
      </c>
      <c r="F33" s="123" t="s">
        <v>0</v>
      </c>
      <c r="G33" s="124" t="s">
        <v>111</v>
      </c>
      <c r="H33" s="102"/>
    </row>
    <row r="34" spans="2:8" ht="14.25" x14ac:dyDescent="0.2">
      <c r="B34" s="98">
        <v>0</v>
      </c>
      <c r="C34" s="109" t="s">
        <v>493</v>
      </c>
      <c r="D34" s="106">
        <v>25</v>
      </c>
      <c r="E34" s="106">
        <v>2</v>
      </c>
      <c r="F34" s="106">
        <v>0</v>
      </c>
      <c r="G34" s="510">
        <v>0</v>
      </c>
      <c r="H34" s="98"/>
    </row>
    <row r="35" spans="2:8" ht="14.25" x14ac:dyDescent="0.2">
      <c r="B35" s="98">
        <v>1</v>
      </c>
      <c r="C35" s="109" t="s">
        <v>274</v>
      </c>
      <c r="D35" s="106">
        <v>25</v>
      </c>
      <c r="E35" s="106">
        <v>2</v>
      </c>
      <c r="F35" s="106">
        <v>1</v>
      </c>
      <c r="G35" s="117">
        <v>19.149999999999999</v>
      </c>
      <c r="H35" s="98"/>
    </row>
    <row r="36" spans="2:8" ht="14.25" x14ac:dyDescent="0.2">
      <c r="B36" s="98">
        <v>2</v>
      </c>
      <c r="C36" s="119" t="s">
        <v>254</v>
      </c>
      <c r="D36" s="120">
        <v>25</v>
      </c>
      <c r="E36" s="120">
        <v>2</v>
      </c>
      <c r="F36" s="120">
        <v>2</v>
      </c>
      <c r="G36" s="121">
        <v>23.31</v>
      </c>
      <c r="H36" s="102"/>
    </row>
    <row r="37" spans="2:8" ht="14.25" x14ac:dyDescent="0.2">
      <c r="B37" s="98">
        <v>3</v>
      </c>
      <c r="C37" s="109" t="s">
        <v>255</v>
      </c>
      <c r="D37" s="106">
        <v>25</v>
      </c>
      <c r="E37" s="106">
        <v>2</v>
      </c>
      <c r="F37" s="106">
        <v>3</v>
      </c>
      <c r="G37" s="116">
        <v>27.46</v>
      </c>
      <c r="H37" s="102"/>
    </row>
    <row r="38" spans="2:8" ht="14.25" x14ac:dyDescent="0.2">
      <c r="B38" s="98">
        <v>4</v>
      </c>
      <c r="C38" s="109" t="s">
        <v>256</v>
      </c>
      <c r="D38" s="106">
        <v>25</v>
      </c>
      <c r="E38" s="106">
        <v>2</v>
      </c>
      <c r="F38" s="106">
        <v>4</v>
      </c>
      <c r="G38" s="117">
        <v>31.61</v>
      </c>
      <c r="H38" s="98"/>
    </row>
    <row r="39" spans="2:8" ht="14.25" x14ac:dyDescent="0.2">
      <c r="B39" s="98">
        <v>5</v>
      </c>
      <c r="C39" s="109" t="s">
        <v>257</v>
      </c>
      <c r="D39" s="106">
        <v>25</v>
      </c>
      <c r="E39" s="106">
        <v>2</v>
      </c>
      <c r="F39" s="106">
        <v>5</v>
      </c>
      <c r="G39" s="117">
        <v>35.76</v>
      </c>
      <c r="H39" s="98"/>
    </row>
    <row r="40" spans="2:8" ht="14.25" x14ac:dyDescent="0.2">
      <c r="B40" s="98">
        <v>6</v>
      </c>
      <c r="C40" s="109" t="s">
        <v>258</v>
      </c>
      <c r="D40" s="106">
        <v>25</v>
      </c>
      <c r="E40" s="106">
        <v>2</v>
      </c>
      <c r="F40" s="106">
        <v>6</v>
      </c>
      <c r="G40" s="117">
        <v>39.92</v>
      </c>
      <c r="H40" s="98"/>
    </row>
    <row r="41" spans="2:8" ht="14.25" x14ac:dyDescent="0.2">
      <c r="B41" s="98">
        <v>7</v>
      </c>
      <c r="C41" s="109" t="s">
        <v>259</v>
      </c>
      <c r="D41" s="106">
        <v>25</v>
      </c>
      <c r="E41" s="106">
        <v>2</v>
      </c>
      <c r="F41" s="106">
        <v>7</v>
      </c>
      <c r="G41" s="117">
        <v>44.07</v>
      </c>
    </row>
    <row r="42" spans="2:8" ht="14.25" x14ac:dyDescent="0.2">
      <c r="B42" s="98">
        <v>8</v>
      </c>
      <c r="C42" s="109" t="s">
        <v>260</v>
      </c>
      <c r="D42" s="106">
        <v>25</v>
      </c>
      <c r="E42" s="106">
        <v>2</v>
      </c>
      <c r="F42" s="106">
        <v>8</v>
      </c>
      <c r="G42" s="117">
        <v>48.22</v>
      </c>
    </row>
    <row r="43" spans="2:8" ht="14.25" x14ac:dyDescent="0.2">
      <c r="B43" s="98">
        <v>9</v>
      </c>
      <c r="C43" s="109" t="s">
        <v>261</v>
      </c>
      <c r="D43" s="106">
        <v>25</v>
      </c>
      <c r="E43" s="106">
        <v>2</v>
      </c>
      <c r="F43" s="106">
        <v>9</v>
      </c>
      <c r="G43" s="117">
        <v>52.37</v>
      </c>
    </row>
    <row r="44" spans="2:8" ht="14.25" x14ac:dyDescent="0.2">
      <c r="B44" s="98">
        <v>10</v>
      </c>
      <c r="C44" s="109" t="s">
        <v>262</v>
      </c>
      <c r="D44" s="106">
        <v>25</v>
      </c>
      <c r="E44" s="106">
        <v>2</v>
      </c>
      <c r="F44" s="106">
        <v>10</v>
      </c>
      <c r="G44" s="117">
        <v>56.53</v>
      </c>
    </row>
    <row r="45" spans="2:8" ht="14.25" x14ac:dyDescent="0.2">
      <c r="B45" s="98">
        <v>11</v>
      </c>
      <c r="C45" s="109" t="s">
        <v>263</v>
      </c>
      <c r="D45" s="106">
        <v>25</v>
      </c>
      <c r="E45" s="106">
        <v>2</v>
      </c>
      <c r="F45" s="106">
        <v>11</v>
      </c>
      <c r="G45" s="117">
        <v>60.68</v>
      </c>
    </row>
    <row r="46" spans="2:8" ht="14.25" x14ac:dyDescent="0.2">
      <c r="B46" s="98">
        <v>12</v>
      </c>
      <c r="C46" s="109" t="s">
        <v>264</v>
      </c>
      <c r="D46" s="106">
        <v>25</v>
      </c>
      <c r="E46" s="106">
        <v>2</v>
      </c>
      <c r="F46" s="106">
        <v>12</v>
      </c>
      <c r="G46" s="117">
        <v>64.83</v>
      </c>
    </row>
    <row r="47" spans="2:8" ht="14.25" x14ac:dyDescent="0.2">
      <c r="B47" s="98">
        <v>13</v>
      </c>
      <c r="C47" s="109" t="s">
        <v>265</v>
      </c>
      <c r="D47" s="106">
        <v>25</v>
      </c>
      <c r="E47" s="106">
        <v>2</v>
      </c>
      <c r="F47" s="106">
        <v>13</v>
      </c>
      <c r="G47" s="117">
        <v>68.98</v>
      </c>
    </row>
    <row r="48" spans="2:8" ht="14.25" x14ac:dyDescent="0.2">
      <c r="B48" s="98">
        <v>14</v>
      </c>
      <c r="C48" s="109" t="s">
        <v>266</v>
      </c>
      <c r="D48" s="106">
        <v>25</v>
      </c>
      <c r="E48" s="106">
        <v>2</v>
      </c>
      <c r="F48" s="106">
        <v>14</v>
      </c>
      <c r="G48" s="117">
        <v>73.14</v>
      </c>
    </row>
    <row r="49" spans="2:8" ht="14.25" x14ac:dyDescent="0.2">
      <c r="B49" s="98">
        <v>15</v>
      </c>
      <c r="C49" s="109" t="s">
        <v>267</v>
      </c>
      <c r="D49" s="106">
        <v>25</v>
      </c>
      <c r="E49" s="106">
        <v>2</v>
      </c>
      <c r="F49" s="106">
        <v>15</v>
      </c>
      <c r="G49" s="117">
        <v>77.290000000000006</v>
      </c>
    </row>
    <row r="50" spans="2:8" ht="14.25" x14ac:dyDescent="0.2">
      <c r="B50" s="98">
        <v>16</v>
      </c>
      <c r="C50" s="109" t="s">
        <v>268</v>
      </c>
      <c r="D50" s="106">
        <v>25</v>
      </c>
      <c r="E50" s="106">
        <v>2</v>
      </c>
      <c r="F50" s="106">
        <v>16</v>
      </c>
      <c r="G50" s="117">
        <v>81.44</v>
      </c>
    </row>
    <row r="51" spans="2:8" ht="14.25" x14ac:dyDescent="0.2">
      <c r="B51" s="98">
        <v>17</v>
      </c>
      <c r="C51" s="109" t="s">
        <v>269</v>
      </c>
      <c r="D51" s="106">
        <v>25</v>
      </c>
      <c r="E51" s="106">
        <v>2</v>
      </c>
      <c r="F51" s="106">
        <v>17</v>
      </c>
      <c r="G51" s="117">
        <v>85.59</v>
      </c>
    </row>
    <row r="52" spans="2:8" ht="14.25" x14ac:dyDescent="0.2">
      <c r="B52" s="98">
        <v>18</v>
      </c>
      <c r="C52" s="109" t="s">
        <v>270</v>
      </c>
      <c r="D52" s="106">
        <v>25</v>
      </c>
      <c r="E52" s="106">
        <v>2</v>
      </c>
      <c r="F52" s="106">
        <v>18</v>
      </c>
      <c r="G52" s="117">
        <v>89.75</v>
      </c>
    </row>
    <row r="53" spans="2:8" ht="14.25" x14ac:dyDescent="0.2">
      <c r="B53" s="98">
        <v>19</v>
      </c>
      <c r="C53" s="109" t="s">
        <v>271</v>
      </c>
      <c r="D53" s="106">
        <v>25</v>
      </c>
      <c r="E53" s="106">
        <v>2</v>
      </c>
      <c r="F53" s="106">
        <v>19</v>
      </c>
      <c r="G53" s="116">
        <v>93.9</v>
      </c>
    </row>
    <row r="54" spans="2:8" ht="15" thickBot="1" x14ac:dyDescent="0.25">
      <c r="B54" s="98">
        <v>20</v>
      </c>
      <c r="C54" s="111" t="s">
        <v>272</v>
      </c>
      <c r="D54" s="112">
        <v>25</v>
      </c>
      <c r="E54" s="112">
        <v>2</v>
      </c>
      <c r="F54" s="112">
        <v>20</v>
      </c>
      <c r="G54" s="118">
        <v>98.05</v>
      </c>
    </row>
    <row r="56" spans="2:8" ht="13.5" thickBot="1" x14ac:dyDescent="0.25"/>
    <row r="57" spans="2:8" ht="15" thickBot="1" x14ac:dyDescent="0.25">
      <c r="B57" s="98"/>
      <c r="C57" s="1191" t="s">
        <v>226</v>
      </c>
      <c r="D57" s="1192"/>
      <c r="E57" s="1192"/>
      <c r="F57" s="1192"/>
      <c r="G57" s="1193"/>
      <c r="H57" s="102"/>
    </row>
    <row r="58" spans="2:8" ht="15" thickBot="1" x14ac:dyDescent="0.25">
      <c r="B58" s="98"/>
      <c r="C58" s="122" t="s">
        <v>73</v>
      </c>
      <c r="D58" s="123" t="s">
        <v>118</v>
      </c>
      <c r="E58" s="123" t="s">
        <v>215</v>
      </c>
      <c r="F58" s="123" t="s">
        <v>0</v>
      </c>
      <c r="G58" s="124" t="s">
        <v>111</v>
      </c>
      <c r="H58" s="102"/>
    </row>
    <row r="59" spans="2:8" ht="14.25" x14ac:dyDescent="0.2">
      <c r="B59" s="98"/>
      <c r="C59" s="119" t="s">
        <v>228</v>
      </c>
      <c r="D59" s="120">
        <v>25</v>
      </c>
      <c r="E59" s="120">
        <v>4</v>
      </c>
      <c r="F59" s="120">
        <v>1</v>
      </c>
      <c r="G59" s="121">
        <v>19.149999999999999</v>
      </c>
      <c r="H59" s="102"/>
    </row>
    <row r="60" spans="2:8" ht="14.25" x14ac:dyDescent="0.2">
      <c r="B60" s="98"/>
      <c r="C60" s="109" t="s">
        <v>218</v>
      </c>
      <c r="D60" s="106">
        <v>25</v>
      </c>
      <c r="E60" s="106">
        <v>4</v>
      </c>
      <c r="F60" s="106">
        <v>2</v>
      </c>
      <c r="G60" s="116">
        <v>23.31</v>
      </c>
      <c r="H60" s="102"/>
    </row>
    <row r="61" spans="2:8" ht="14.25" x14ac:dyDescent="0.2">
      <c r="B61" s="98"/>
      <c r="C61" s="109" t="s">
        <v>219</v>
      </c>
      <c r="D61" s="106">
        <v>25</v>
      </c>
      <c r="E61" s="106">
        <v>4</v>
      </c>
      <c r="F61" s="106">
        <v>3</v>
      </c>
      <c r="G61" s="117">
        <v>27.46</v>
      </c>
      <c r="H61" s="98"/>
    </row>
    <row r="62" spans="2:8" ht="14.25" x14ac:dyDescent="0.2">
      <c r="B62" s="98"/>
      <c r="C62" s="109" t="s">
        <v>220</v>
      </c>
      <c r="D62" s="106">
        <v>25</v>
      </c>
      <c r="E62" s="106">
        <v>4</v>
      </c>
      <c r="F62" s="106">
        <v>4</v>
      </c>
      <c r="G62" s="117">
        <v>31.61</v>
      </c>
      <c r="H62" s="98"/>
    </row>
    <row r="63" spans="2:8" ht="14.25" x14ac:dyDescent="0.2">
      <c r="B63" s="98"/>
      <c r="C63" s="109" t="s">
        <v>221</v>
      </c>
      <c r="D63" s="106">
        <v>25</v>
      </c>
      <c r="E63" s="106">
        <v>4</v>
      </c>
      <c r="F63" s="106">
        <v>5</v>
      </c>
      <c r="G63" s="117">
        <v>35.76</v>
      </c>
      <c r="H63" s="98"/>
    </row>
    <row r="64" spans="2:8" ht="14.25" x14ac:dyDescent="0.2">
      <c r="B64" s="98"/>
      <c r="C64" s="109" t="s">
        <v>222</v>
      </c>
      <c r="D64" s="106">
        <v>25</v>
      </c>
      <c r="E64" s="106">
        <v>4</v>
      </c>
      <c r="F64" s="106">
        <v>6</v>
      </c>
      <c r="G64" s="117">
        <v>39.92</v>
      </c>
    </row>
    <row r="65" spans="2:9" ht="14.25" x14ac:dyDescent="0.2">
      <c r="B65" s="98"/>
      <c r="C65" s="109" t="s">
        <v>223</v>
      </c>
      <c r="D65" s="106">
        <v>25</v>
      </c>
      <c r="E65" s="106">
        <v>4</v>
      </c>
      <c r="F65" s="106">
        <v>7</v>
      </c>
      <c r="G65" s="117">
        <v>44.07</v>
      </c>
    </row>
    <row r="66" spans="2:9" ht="14.25" x14ac:dyDescent="0.2">
      <c r="B66" s="98"/>
      <c r="C66" s="109" t="s">
        <v>224</v>
      </c>
      <c r="D66" s="106">
        <v>25</v>
      </c>
      <c r="E66" s="106">
        <v>4</v>
      </c>
      <c r="F66" s="106">
        <v>8</v>
      </c>
      <c r="G66" s="117">
        <v>48.22</v>
      </c>
    </row>
    <row r="67" spans="2:9" ht="14.25" x14ac:dyDescent="0.2">
      <c r="B67" s="98"/>
      <c r="C67" s="109" t="s">
        <v>225</v>
      </c>
      <c r="D67" s="106">
        <v>25</v>
      </c>
      <c r="E67" s="106">
        <v>4</v>
      </c>
      <c r="F67" s="106">
        <v>9</v>
      </c>
      <c r="G67" s="117">
        <v>52.37</v>
      </c>
    </row>
    <row r="69" spans="2:9" ht="13.5" thickBot="1" x14ac:dyDescent="0.25"/>
    <row r="70" spans="2:9" ht="15" thickBot="1" x14ac:dyDescent="0.25">
      <c r="C70" s="127" t="s">
        <v>281</v>
      </c>
      <c r="D70" s="135" t="s">
        <v>111</v>
      </c>
      <c r="I70" s="89">
        <v>3.8</v>
      </c>
    </row>
    <row r="71" spans="2:9" ht="14.25" x14ac:dyDescent="0.2">
      <c r="C71" s="119" t="s">
        <v>282</v>
      </c>
      <c r="D71" s="132">
        <v>70</v>
      </c>
      <c r="H71" s="89">
        <f>20</f>
        <v>20</v>
      </c>
      <c r="I71" s="89">
        <f>H71*I70</f>
        <v>76</v>
      </c>
    </row>
    <row r="72" spans="2:9" ht="14.25" x14ac:dyDescent="0.2">
      <c r="C72" s="109" t="s">
        <v>283</v>
      </c>
      <c r="D72" s="110">
        <v>100</v>
      </c>
      <c r="H72" s="89">
        <v>25</v>
      </c>
      <c r="I72" s="89">
        <f>H72*I70</f>
        <v>95</v>
      </c>
    </row>
    <row r="73" spans="2:9" ht="14.25" x14ac:dyDescent="0.2">
      <c r="C73" s="119" t="s">
        <v>284</v>
      </c>
      <c r="D73" s="132">
        <v>120</v>
      </c>
      <c r="H73" s="89">
        <v>30</v>
      </c>
      <c r="I73" s="89">
        <f>H73*I70</f>
        <v>114</v>
      </c>
    </row>
    <row r="74" spans="2:9" ht="14.25" x14ac:dyDescent="0.2">
      <c r="C74" s="109" t="s">
        <v>285</v>
      </c>
      <c r="D74" s="110">
        <v>140</v>
      </c>
      <c r="H74" s="89">
        <v>35</v>
      </c>
      <c r="I74" s="89">
        <f>H74*I70</f>
        <v>133</v>
      </c>
    </row>
    <row r="75" spans="2:9" ht="15" thickBot="1" x14ac:dyDescent="0.25">
      <c r="C75" s="133" t="s">
        <v>286</v>
      </c>
      <c r="D75" s="134">
        <v>160</v>
      </c>
      <c r="H75" s="89">
        <v>40</v>
      </c>
      <c r="I75" s="89">
        <f>H75*I70</f>
        <v>152</v>
      </c>
    </row>
    <row r="76" spans="2:9" ht="13.5" thickBot="1" x14ac:dyDescent="0.25">
      <c r="D76" s="131"/>
    </row>
    <row r="77" spans="2:9" ht="15" thickBot="1" x14ac:dyDescent="0.25">
      <c r="C77" s="127" t="s">
        <v>275</v>
      </c>
      <c r="D77" s="135" t="s">
        <v>111</v>
      </c>
    </row>
    <row r="78" spans="2:9" ht="14.25" x14ac:dyDescent="0.2">
      <c r="C78" s="119" t="s">
        <v>280</v>
      </c>
      <c r="D78" s="132">
        <v>40</v>
      </c>
    </row>
    <row r="79" spans="2:9" ht="14.25" x14ac:dyDescent="0.2">
      <c r="C79" s="109" t="s">
        <v>276</v>
      </c>
      <c r="D79" s="110">
        <v>60</v>
      </c>
    </row>
    <row r="80" spans="2:9" ht="14.25" x14ac:dyDescent="0.2">
      <c r="C80" s="119" t="s">
        <v>277</v>
      </c>
      <c r="D80" s="132">
        <v>80</v>
      </c>
    </row>
    <row r="81" spans="3:4" ht="14.25" x14ac:dyDescent="0.2">
      <c r="C81" s="109" t="s">
        <v>278</v>
      </c>
      <c r="D81" s="110">
        <v>100</v>
      </c>
    </row>
    <row r="82" spans="3:4" ht="15" thickBot="1" x14ac:dyDescent="0.25">
      <c r="C82" s="133" t="s">
        <v>279</v>
      </c>
      <c r="D82" s="134">
        <v>120</v>
      </c>
    </row>
    <row r="83" spans="3:4" x14ac:dyDescent="0.2">
      <c r="D83" s="131"/>
    </row>
  </sheetData>
  <mergeCells count="5">
    <mergeCell ref="B2:G2"/>
    <mergeCell ref="C4:E4"/>
    <mergeCell ref="C18:E18"/>
    <mergeCell ref="C32:G32"/>
    <mergeCell ref="C57:G57"/>
  </mergeCells>
  <pageMargins left="0.35433070866141736" right="0.31496062992125984" top="0.74803149606299213" bottom="0.74803149606299213" header="0.31496062992125984" footer="0.31496062992125984"/>
  <pageSetup scale="84" orientation="portrait" r:id="rId1"/>
  <rowBreaks count="1" manualBreakCount="1">
    <brk id="54" min="1" max="6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H38"/>
  <sheetViews>
    <sheetView view="pageBreakPreview" topLeftCell="A16" zoomScaleNormal="100" zoomScaleSheetLayoutView="100" workbookViewId="0">
      <selection activeCell="I32" sqref="I32"/>
    </sheetView>
  </sheetViews>
  <sheetFormatPr baseColWidth="10" defaultRowHeight="12.75" x14ac:dyDescent="0.2"/>
  <cols>
    <col min="1" max="1" width="11.42578125" style="89"/>
    <col min="2" max="2" width="8" style="89" customWidth="1"/>
    <col min="3" max="3" width="71.140625" style="89" customWidth="1"/>
    <col min="4" max="4" width="8.7109375" style="89" customWidth="1"/>
    <col min="5" max="5" width="10.28515625" style="89" customWidth="1"/>
    <col min="6" max="6" width="8.5703125" style="89" customWidth="1"/>
    <col min="7" max="7" width="12" style="89" customWidth="1"/>
    <col min="8" max="16384" width="11.42578125" style="89"/>
  </cols>
  <sheetData>
    <row r="1" spans="2:8" ht="13.5" thickBot="1" x14ac:dyDescent="0.25"/>
    <row r="2" spans="2:8" ht="15" thickBot="1" x14ac:dyDescent="0.25">
      <c r="B2" s="98"/>
      <c r="C2" s="1183" t="s">
        <v>407</v>
      </c>
      <c r="D2" s="1184"/>
      <c r="E2" s="1184"/>
      <c r="F2" s="1184"/>
      <c r="G2" s="1185"/>
      <c r="H2" s="98"/>
    </row>
    <row r="3" spans="2:8" ht="15" thickBot="1" x14ac:dyDescent="0.25">
      <c r="B3" s="98"/>
      <c r="C3" s="98"/>
      <c r="D3" s="98"/>
      <c r="E3" s="98"/>
      <c r="F3" s="98"/>
      <c r="G3" s="98"/>
      <c r="H3" s="98"/>
    </row>
    <row r="4" spans="2:8" ht="15" thickBot="1" x14ac:dyDescent="0.25">
      <c r="B4" s="98"/>
      <c r="C4" s="1188" t="s">
        <v>230</v>
      </c>
      <c r="D4" s="1189"/>
      <c r="E4" s="1190"/>
      <c r="F4" s="98"/>
      <c r="G4" s="102"/>
      <c r="H4" s="102"/>
    </row>
    <row r="5" spans="2:8" ht="14.25" customHeight="1" x14ac:dyDescent="0.2">
      <c r="B5" s="107"/>
      <c r="C5" s="156" t="str">
        <f>Materiales!D117</f>
        <v>Bornera de 4mm2/10AWG, 32A, Riel Din, Tipo Tornillo, MRK-4, ONKA</v>
      </c>
      <c r="D5" s="141" t="s">
        <v>203</v>
      </c>
      <c r="E5" s="212">
        <v>10</v>
      </c>
      <c r="F5" s="98"/>
      <c r="G5" s="102"/>
      <c r="H5" s="102"/>
    </row>
    <row r="6" spans="2:8" ht="14.25" x14ac:dyDescent="0.2">
      <c r="B6" s="107"/>
      <c r="C6" s="157" t="str">
        <f>Materiales!D118</f>
        <v>Bornera de 6mm2/8AWG, 41A, Riel Din, tipo Tornillo, MRK-6, ONKA</v>
      </c>
      <c r="D6" s="96" t="s">
        <v>203</v>
      </c>
      <c r="E6" s="213">
        <v>5</v>
      </c>
      <c r="F6" s="98"/>
      <c r="G6" s="102"/>
      <c r="H6" s="102"/>
    </row>
    <row r="7" spans="2:8" ht="14.25" x14ac:dyDescent="0.2">
      <c r="B7" s="107"/>
      <c r="C7" s="157" t="str">
        <f>Materiales!D119</f>
        <v>Bornera de 10mm2/8AWG, 57A, Riel Din, tipo tornillo, MRK-10, ONKA</v>
      </c>
      <c r="D7" s="96" t="s">
        <v>203</v>
      </c>
      <c r="E7" s="213">
        <v>0</v>
      </c>
      <c r="F7" s="98"/>
      <c r="G7" s="98"/>
      <c r="H7" s="98"/>
    </row>
    <row r="8" spans="2:8" ht="15" thickBot="1" x14ac:dyDescent="0.25">
      <c r="B8" s="107"/>
      <c r="C8" s="202" t="str">
        <f>Materiales!D120</f>
        <v>Bornera de 16mm2/6AWG, 76A, Riel Din, tipo tornillo, MRK-16, ONKA</v>
      </c>
      <c r="D8" s="104" t="s">
        <v>203</v>
      </c>
      <c r="E8" s="214">
        <v>0</v>
      </c>
      <c r="F8" s="98"/>
      <c r="G8" s="98"/>
      <c r="H8" s="98"/>
    </row>
    <row r="9" spans="2:8" ht="6" customHeight="1" thickBot="1" x14ac:dyDescent="0.25">
      <c r="B9" s="203"/>
      <c r="C9" s="98"/>
      <c r="D9" s="151"/>
      <c r="E9" s="151"/>
      <c r="F9" s="98"/>
      <c r="G9" s="98"/>
      <c r="H9" s="98"/>
    </row>
    <row r="10" spans="2:8" ht="29.25" thickBot="1" x14ac:dyDescent="0.25">
      <c r="B10" s="125"/>
      <c r="C10" s="166" t="s">
        <v>229</v>
      </c>
      <c r="D10" s="167" t="s">
        <v>110</v>
      </c>
      <c r="E10" s="168" t="s">
        <v>72</v>
      </c>
      <c r="F10" s="185" t="s">
        <v>74</v>
      </c>
      <c r="G10" s="181" t="s">
        <v>99</v>
      </c>
      <c r="H10" s="98"/>
    </row>
    <row r="11" spans="2:8" ht="14.25" x14ac:dyDescent="0.2">
      <c r="B11" s="126"/>
      <c r="C11" s="156" t="str">
        <f>Materiales!D111</f>
        <v>Cable NH-80, 4mm2, 32A, INDECO</v>
      </c>
      <c r="D11" s="103" t="s">
        <v>44</v>
      </c>
      <c r="E11" s="169">
        <f>E5</f>
        <v>10</v>
      </c>
      <c r="F11" s="177">
        <f>Materiales!G111</f>
        <v>2.0762711864406782</v>
      </c>
      <c r="G11" s="182">
        <f>E11*F11</f>
        <v>20.762711864406782</v>
      </c>
      <c r="H11" s="102"/>
    </row>
    <row r="12" spans="2:8" ht="14.25" x14ac:dyDescent="0.2">
      <c r="B12" s="126"/>
      <c r="C12" s="157" t="str">
        <f>Materiales!D112</f>
        <v>Cable NH-80, 6mm2, 41A, INDECO</v>
      </c>
      <c r="D12" s="96" t="s">
        <v>44</v>
      </c>
      <c r="E12" s="170">
        <f>E6</f>
        <v>5</v>
      </c>
      <c r="F12" s="178">
        <f>Materiales!G112</f>
        <v>3.21</v>
      </c>
      <c r="G12" s="183">
        <f>E12*F12</f>
        <v>16.05</v>
      </c>
      <c r="H12" s="102"/>
    </row>
    <row r="13" spans="2:8" ht="14.25" x14ac:dyDescent="0.2">
      <c r="B13" s="126"/>
      <c r="C13" s="157" t="str">
        <f>Materiales!D113</f>
        <v>Cable NH-80, 10mm2, 57A, INDECO</v>
      </c>
      <c r="D13" s="96" t="s">
        <v>44</v>
      </c>
      <c r="E13" s="170">
        <f>E7</f>
        <v>0</v>
      </c>
      <c r="F13" s="178">
        <f>Materiales!G113</f>
        <v>5.0999999999999996</v>
      </c>
      <c r="G13" s="183">
        <f>E13*F13</f>
        <v>0</v>
      </c>
      <c r="H13" s="102"/>
    </row>
    <row r="14" spans="2:8" ht="15" thickBot="1" x14ac:dyDescent="0.25">
      <c r="B14" s="126"/>
      <c r="C14" s="202" t="str">
        <f>Materiales!D114</f>
        <v>Cable NH-80, 16mm2, 76A, INDECO</v>
      </c>
      <c r="D14" s="104" t="s">
        <v>44</v>
      </c>
      <c r="E14" s="171">
        <f>E8</f>
        <v>0</v>
      </c>
      <c r="F14" s="179">
        <f>Materiales!G114</f>
        <v>8.5</v>
      </c>
      <c r="G14" s="184">
        <f>E14*F14</f>
        <v>0</v>
      </c>
      <c r="H14" s="102"/>
    </row>
    <row r="15" spans="2:8" ht="15" thickBot="1" x14ac:dyDescent="0.25">
      <c r="B15" s="98"/>
      <c r="C15" s="180" t="str">
        <f>C10</f>
        <v>CABLEADO DE BORNERAS</v>
      </c>
      <c r="D15" s="98"/>
      <c r="E15" s="98"/>
      <c r="F15" s="98"/>
      <c r="G15" s="163">
        <f>SUM(G11:G14)</f>
        <v>36.812711864406779</v>
      </c>
      <c r="H15" s="102"/>
    </row>
    <row r="16" spans="2:8" ht="14.25" x14ac:dyDescent="0.2">
      <c r="B16" s="98"/>
      <c r="C16" s="114"/>
      <c r="D16" s="98"/>
      <c r="E16" s="98"/>
      <c r="F16" s="98"/>
      <c r="G16" s="115"/>
      <c r="H16" s="102"/>
    </row>
    <row r="17" spans="2:8" ht="15" thickBot="1" x14ac:dyDescent="0.25">
      <c r="B17" s="98"/>
      <c r="C17" s="98"/>
      <c r="D17" s="98"/>
      <c r="E17" s="98"/>
      <c r="F17" s="98"/>
      <c r="G17" s="102"/>
      <c r="H17" s="102"/>
    </row>
    <row r="18" spans="2:8" ht="15" thickBot="1" x14ac:dyDescent="0.25">
      <c r="B18" s="98"/>
      <c r="C18" s="1191" t="s">
        <v>231</v>
      </c>
      <c r="D18" s="1192"/>
      <c r="E18" s="1192"/>
      <c r="F18" s="1192"/>
      <c r="G18" s="1193"/>
      <c r="H18" s="102"/>
    </row>
    <row r="19" spans="2:8" ht="15" thickBot="1" x14ac:dyDescent="0.25">
      <c r="B19" s="98"/>
      <c r="C19" s="127" t="s">
        <v>73</v>
      </c>
      <c r="D19" s="217" t="s">
        <v>233</v>
      </c>
      <c r="E19" s="217" t="s">
        <v>118</v>
      </c>
      <c r="F19" s="217" t="s">
        <v>0</v>
      </c>
      <c r="G19" s="135" t="s">
        <v>111</v>
      </c>
      <c r="H19" s="102"/>
    </row>
    <row r="20" spans="2:8" ht="14.25" x14ac:dyDescent="0.2">
      <c r="B20" s="98"/>
      <c r="C20" s="119" t="s">
        <v>232</v>
      </c>
      <c r="D20" s="120" t="s">
        <v>234</v>
      </c>
      <c r="E20" s="120">
        <v>32</v>
      </c>
      <c r="F20" s="120">
        <v>2</v>
      </c>
      <c r="G20" s="121">
        <v>4.1500000000000004</v>
      </c>
      <c r="H20" s="102"/>
    </row>
    <row r="21" spans="2:8" ht="14.25" x14ac:dyDescent="0.2">
      <c r="B21" s="98"/>
      <c r="C21" s="109" t="s">
        <v>235</v>
      </c>
      <c r="D21" s="120" t="s">
        <v>234</v>
      </c>
      <c r="E21" s="106">
        <v>32</v>
      </c>
      <c r="F21" s="106">
        <v>3</v>
      </c>
      <c r="G21" s="116">
        <v>6.23</v>
      </c>
      <c r="H21" s="102"/>
    </row>
    <row r="22" spans="2:8" ht="14.25" x14ac:dyDescent="0.2">
      <c r="B22" s="98"/>
      <c r="C22" s="109" t="s">
        <v>236</v>
      </c>
      <c r="D22" s="120" t="s">
        <v>234</v>
      </c>
      <c r="E22" s="120">
        <v>32</v>
      </c>
      <c r="F22" s="106">
        <v>4</v>
      </c>
      <c r="G22" s="117">
        <v>8.31</v>
      </c>
      <c r="H22" s="98"/>
    </row>
    <row r="23" spans="2:8" ht="14.25" x14ac:dyDescent="0.2">
      <c r="B23" s="98"/>
      <c r="C23" s="109" t="s">
        <v>237</v>
      </c>
      <c r="D23" s="120" t="s">
        <v>234</v>
      </c>
      <c r="E23" s="106">
        <v>32</v>
      </c>
      <c r="F23" s="106">
        <v>5</v>
      </c>
      <c r="G23" s="117">
        <v>10.38</v>
      </c>
      <c r="H23" s="98"/>
    </row>
    <row r="24" spans="2:8" ht="14.25" x14ac:dyDescent="0.2">
      <c r="B24" s="98"/>
      <c r="C24" s="109" t="s">
        <v>238</v>
      </c>
      <c r="D24" s="120" t="s">
        <v>234</v>
      </c>
      <c r="E24" s="120">
        <v>32</v>
      </c>
      <c r="F24" s="106">
        <v>6</v>
      </c>
      <c r="G24" s="117">
        <v>12.46</v>
      </c>
      <c r="H24" s="98"/>
    </row>
    <row r="25" spans="2:8" ht="14.25" x14ac:dyDescent="0.2">
      <c r="B25" s="98"/>
      <c r="C25" s="109" t="s">
        <v>239</v>
      </c>
      <c r="D25" s="120" t="s">
        <v>234</v>
      </c>
      <c r="E25" s="106">
        <v>32</v>
      </c>
      <c r="F25" s="106">
        <v>7</v>
      </c>
      <c r="G25" s="117">
        <v>14.53</v>
      </c>
    </row>
    <row r="26" spans="2:8" ht="14.25" x14ac:dyDescent="0.2">
      <c r="B26" s="98"/>
      <c r="C26" s="109" t="s">
        <v>240</v>
      </c>
      <c r="D26" s="120" t="s">
        <v>234</v>
      </c>
      <c r="E26" s="120">
        <v>32</v>
      </c>
      <c r="F26" s="106">
        <v>8</v>
      </c>
      <c r="G26" s="117">
        <v>16.61</v>
      </c>
    </row>
    <row r="27" spans="2:8" ht="14.25" x14ac:dyDescent="0.2">
      <c r="B27" s="98"/>
      <c r="C27" s="109" t="s">
        <v>241</v>
      </c>
      <c r="D27" s="120" t="s">
        <v>234</v>
      </c>
      <c r="E27" s="106">
        <v>32</v>
      </c>
      <c r="F27" s="106">
        <v>9</v>
      </c>
      <c r="G27" s="117">
        <v>18.690000000000001</v>
      </c>
    </row>
    <row r="28" spans="2:8" ht="14.25" x14ac:dyDescent="0.2">
      <c r="B28" s="98"/>
      <c r="C28" s="109" t="s">
        <v>242</v>
      </c>
      <c r="D28" s="120" t="s">
        <v>234</v>
      </c>
      <c r="E28" s="120">
        <v>32</v>
      </c>
      <c r="F28" s="106">
        <v>10</v>
      </c>
      <c r="G28" s="117">
        <v>20.76</v>
      </c>
    </row>
    <row r="29" spans="2:8" ht="14.25" x14ac:dyDescent="0.2">
      <c r="B29" s="98"/>
      <c r="C29" s="109" t="s">
        <v>243</v>
      </c>
      <c r="D29" s="120" t="s">
        <v>234</v>
      </c>
      <c r="E29" s="106">
        <v>32</v>
      </c>
      <c r="F29" s="106">
        <v>11</v>
      </c>
      <c r="G29" s="117">
        <v>22.84</v>
      </c>
    </row>
    <row r="30" spans="2:8" ht="14.25" x14ac:dyDescent="0.2">
      <c r="B30" s="98"/>
      <c r="C30" s="109" t="s">
        <v>244</v>
      </c>
      <c r="D30" s="120" t="s">
        <v>234</v>
      </c>
      <c r="E30" s="120">
        <v>32</v>
      </c>
      <c r="F30" s="106">
        <v>12</v>
      </c>
      <c r="G30" s="117">
        <v>24.92</v>
      </c>
    </row>
    <row r="31" spans="2:8" ht="14.25" x14ac:dyDescent="0.2">
      <c r="B31" s="98"/>
      <c r="C31" s="109" t="s">
        <v>245</v>
      </c>
      <c r="D31" s="120" t="s">
        <v>234</v>
      </c>
      <c r="E31" s="106">
        <v>32</v>
      </c>
      <c r="F31" s="106">
        <v>13</v>
      </c>
      <c r="G31" s="117">
        <v>26.99</v>
      </c>
    </row>
    <row r="32" spans="2:8" ht="14.25" x14ac:dyDescent="0.2">
      <c r="B32" s="98"/>
      <c r="C32" s="109" t="s">
        <v>246</v>
      </c>
      <c r="D32" s="120" t="s">
        <v>234</v>
      </c>
      <c r="E32" s="120">
        <v>32</v>
      </c>
      <c r="F32" s="106">
        <v>14</v>
      </c>
      <c r="G32" s="117">
        <v>29.07</v>
      </c>
    </row>
    <row r="33" spans="2:7" ht="14.25" x14ac:dyDescent="0.2">
      <c r="B33" s="98"/>
      <c r="C33" s="109" t="s">
        <v>247</v>
      </c>
      <c r="D33" s="120" t="s">
        <v>234</v>
      </c>
      <c r="E33" s="106">
        <v>32</v>
      </c>
      <c r="F33" s="106">
        <v>15</v>
      </c>
      <c r="G33" s="117">
        <v>31.14</v>
      </c>
    </row>
    <row r="34" spans="2:7" ht="14.25" x14ac:dyDescent="0.2">
      <c r="B34" s="98"/>
      <c r="C34" s="109" t="s">
        <v>248</v>
      </c>
      <c r="D34" s="120" t="s">
        <v>234</v>
      </c>
      <c r="E34" s="120">
        <v>32</v>
      </c>
      <c r="F34" s="106">
        <v>16</v>
      </c>
      <c r="G34" s="117">
        <v>33.22</v>
      </c>
    </row>
    <row r="35" spans="2:7" ht="14.25" x14ac:dyDescent="0.2">
      <c r="B35" s="98"/>
      <c r="C35" s="109" t="s">
        <v>249</v>
      </c>
      <c r="D35" s="120" t="s">
        <v>234</v>
      </c>
      <c r="E35" s="106">
        <v>32</v>
      </c>
      <c r="F35" s="106">
        <v>17</v>
      </c>
      <c r="G35" s="116">
        <v>35.299999999999997</v>
      </c>
    </row>
    <row r="36" spans="2:7" ht="14.25" x14ac:dyDescent="0.2">
      <c r="B36" s="98"/>
      <c r="C36" s="109" t="s">
        <v>250</v>
      </c>
      <c r="D36" s="120" t="s">
        <v>234</v>
      </c>
      <c r="E36" s="120">
        <v>32</v>
      </c>
      <c r="F36" s="106">
        <v>18</v>
      </c>
      <c r="G36" s="117">
        <v>37.369999999999997</v>
      </c>
    </row>
    <row r="37" spans="2:7" ht="14.25" x14ac:dyDescent="0.2">
      <c r="B37" s="98"/>
      <c r="C37" s="109" t="s">
        <v>251</v>
      </c>
      <c r="D37" s="120" t="s">
        <v>234</v>
      </c>
      <c r="E37" s="106">
        <v>32</v>
      </c>
      <c r="F37" s="106">
        <v>19</v>
      </c>
      <c r="G37" s="117">
        <v>39.450000000000003</v>
      </c>
    </row>
    <row r="38" spans="2:7" ht="15" thickBot="1" x14ac:dyDescent="0.25">
      <c r="B38" s="98"/>
      <c r="C38" s="111" t="s">
        <v>252</v>
      </c>
      <c r="D38" s="218" t="s">
        <v>234</v>
      </c>
      <c r="E38" s="218">
        <v>32</v>
      </c>
      <c r="F38" s="112">
        <v>20</v>
      </c>
      <c r="G38" s="118">
        <v>41.53</v>
      </c>
    </row>
  </sheetData>
  <mergeCells count="3">
    <mergeCell ref="C4:E4"/>
    <mergeCell ref="C18:G18"/>
    <mergeCell ref="C2:G2"/>
  </mergeCells>
  <pageMargins left="0.35433070866141736" right="0.31496062992125984" top="0.74803149606299213" bottom="0.74803149606299213" header="0.31496062992125984" footer="0.31496062992125984"/>
  <pageSetup scale="84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AQ72"/>
  <sheetViews>
    <sheetView view="pageBreakPreview" zoomScaleNormal="100" zoomScaleSheetLayoutView="100" workbookViewId="0">
      <selection activeCell="K14" sqref="K14"/>
    </sheetView>
  </sheetViews>
  <sheetFormatPr baseColWidth="10" defaultRowHeight="15" x14ac:dyDescent="0.25"/>
  <cols>
    <col min="1" max="1" width="11.42578125" style="43"/>
    <col min="2" max="2" width="5" style="27" customWidth="1"/>
    <col min="3" max="3" width="30.85546875" style="27" customWidth="1"/>
    <col min="4" max="4" width="9.42578125" style="26" customWidth="1"/>
    <col min="5" max="5" width="16.7109375" style="26" customWidth="1"/>
    <col min="6" max="6" width="15.7109375" style="27" customWidth="1"/>
    <col min="7" max="7" width="15" style="26" customWidth="1"/>
    <col min="8" max="8" width="9.42578125" style="26" customWidth="1"/>
    <col min="9" max="9" width="7.28515625" style="26" customWidth="1"/>
    <col min="10" max="10" width="12.28515625" style="26" customWidth="1"/>
    <col min="11" max="11" width="11.7109375" style="26" bestFit="1" customWidth="1"/>
    <col min="12" max="12" width="8.140625" style="26" customWidth="1"/>
    <col min="13" max="13" width="7.7109375" style="26" customWidth="1"/>
    <col min="14" max="14" width="8.5703125" style="26" customWidth="1"/>
    <col min="15" max="15" width="8.28515625" style="26" customWidth="1"/>
    <col min="16" max="16" width="10.140625" style="26" customWidth="1"/>
    <col min="17" max="17" width="6.140625" style="26" customWidth="1"/>
    <col min="18" max="18" width="1.7109375" style="26" customWidth="1"/>
    <col min="19" max="19" width="14.85546875" style="27" customWidth="1"/>
    <col min="20" max="20" width="9.140625" style="26" customWidth="1"/>
    <col min="21" max="21" width="1.28515625" style="26" customWidth="1"/>
    <col min="22" max="22" width="15.5703125" style="26" customWidth="1"/>
    <col min="23" max="23" width="11.7109375" style="26" customWidth="1"/>
    <col min="24" max="43" width="11.42578125" style="27"/>
    <col min="44" max="16384" width="11.42578125" style="43"/>
  </cols>
  <sheetData>
    <row r="1" spans="2:22" ht="15.75" thickBot="1" x14ac:dyDescent="0.3">
      <c r="C1" s="23"/>
      <c r="D1" s="24"/>
      <c r="E1" s="24"/>
      <c r="F1" s="23"/>
      <c r="G1" s="24"/>
      <c r="H1" s="24"/>
      <c r="I1" s="24"/>
      <c r="J1" s="24"/>
      <c r="K1" s="25"/>
      <c r="L1" s="24"/>
      <c r="M1" s="24"/>
      <c r="N1" s="24"/>
      <c r="O1" s="24"/>
      <c r="P1" s="24"/>
      <c r="Q1" s="24"/>
      <c r="R1" s="24"/>
      <c r="S1" s="23"/>
      <c r="T1" s="24"/>
      <c r="U1" s="24"/>
      <c r="V1" s="24"/>
    </row>
    <row r="2" spans="2:22" ht="15.75" thickBot="1" x14ac:dyDescent="0.3">
      <c r="B2" s="1195" t="s">
        <v>296</v>
      </c>
      <c r="C2" s="1196"/>
      <c r="D2" s="1196"/>
      <c r="E2" s="1196"/>
      <c r="F2" s="1196"/>
      <c r="G2" s="1196"/>
      <c r="H2" s="1197"/>
      <c r="I2" s="234"/>
      <c r="J2" s="24"/>
      <c r="K2" s="25"/>
      <c r="L2" s="24"/>
      <c r="M2" s="24"/>
      <c r="N2" s="24"/>
      <c r="O2" s="24"/>
      <c r="P2" s="24"/>
      <c r="Q2" s="24"/>
      <c r="R2" s="24"/>
      <c r="S2" s="23"/>
      <c r="T2" s="24"/>
      <c r="U2" s="24"/>
      <c r="V2" s="24"/>
    </row>
    <row r="3" spans="2:22" ht="9.75" customHeight="1" x14ac:dyDescent="0.25">
      <c r="C3" s="23"/>
      <c r="D3" s="24"/>
      <c r="E3" s="24"/>
      <c r="F3" s="198"/>
      <c r="G3" s="198"/>
      <c r="H3" s="198"/>
      <c r="I3" s="24"/>
      <c r="J3" s="24"/>
      <c r="K3" s="25"/>
      <c r="L3" s="24"/>
      <c r="M3" s="24"/>
      <c r="N3" s="24"/>
      <c r="O3" s="24"/>
      <c r="P3" s="24"/>
      <c r="Q3" s="24"/>
      <c r="R3" s="24"/>
      <c r="S3" s="23"/>
      <c r="T3" s="24"/>
      <c r="U3" s="24"/>
      <c r="V3" s="24"/>
    </row>
    <row r="4" spans="2:22" x14ac:dyDescent="0.25">
      <c r="C4" s="1207" t="s">
        <v>88</v>
      </c>
      <c r="D4" s="1208"/>
      <c r="E4" s="215" t="s">
        <v>85</v>
      </c>
      <c r="F4" s="198"/>
      <c r="G4" s="268" t="s">
        <v>319</v>
      </c>
      <c r="H4" s="268">
        <f>Materiales!G73</f>
        <v>3.8</v>
      </c>
      <c r="I4" s="24"/>
      <c r="J4" s="24"/>
      <c r="K4" s="25"/>
      <c r="L4" s="24"/>
      <c r="M4" s="24"/>
      <c r="N4" s="24"/>
      <c r="O4" s="24"/>
      <c r="P4" s="24"/>
      <c r="Q4" s="24"/>
      <c r="R4" s="24"/>
      <c r="S4" s="23"/>
      <c r="T4" s="24"/>
      <c r="U4" s="24"/>
      <c r="V4" s="24"/>
    </row>
    <row r="5" spans="2:22" x14ac:dyDescent="0.25">
      <c r="C5" s="1206" t="str">
        <f>Materiales!D82</f>
        <v>Plancha Galvanizada 1.5mm 1200x2400mm.</v>
      </c>
      <c r="D5" s="1206"/>
      <c r="E5" s="35">
        <f>Materiales!G82</f>
        <v>130.37800000000001</v>
      </c>
      <c r="F5" s="198"/>
      <c r="G5" s="198"/>
      <c r="H5" s="198"/>
      <c r="I5" s="24"/>
      <c r="J5" s="24"/>
      <c r="K5" s="25"/>
      <c r="L5" s="24"/>
      <c r="M5" s="24"/>
      <c r="N5" s="24"/>
      <c r="O5" s="24"/>
      <c r="P5" s="24"/>
      <c r="Q5" s="24"/>
      <c r="R5" s="24"/>
      <c r="S5" s="23"/>
      <c r="T5" s="24"/>
      <c r="U5" s="24"/>
      <c r="V5" s="24"/>
    </row>
    <row r="6" spans="2:22" x14ac:dyDescent="0.25">
      <c r="C6" s="1206" t="str">
        <f>Materiales!D78</f>
        <v>Plancha LAF 1.5mm 1200x2400mm.</v>
      </c>
      <c r="D6" s="1206"/>
      <c r="E6" s="35">
        <f>Materiales!G78</f>
        <v>114.75999999999999</v>
      </c>
      <c r="F6" s="198"/>
      <c r="G6" s="198"/>
      <c r="H6" s="198"/>
      <c r="I6" s="24"/>
      <c r="J6" s="24"/>
      <c r="K6" s="25"/>
      <c r="L6" s="24"/>
      <c r="M6" s="24"/>
      <c r="N6" s="24"/>
      <c r="O6" s="24"/>
      <c r="P6" s="24"/>
      <c r="Q6" s="24"/>
      <c r="R6" s="24"/>
      <c r="S6" s="23"/>
      <c r="T6" s="24"/>
      <c r="U6" s="24"/>
      <c r="V6" s="24"/>
    </row>
    <row r="7" spans="2:22" ht="7.5" customHeight="1" x14ac:dyDescent="0.25">
      <c r="C7" s="23"/>
      <c r="D7" s="24"/>
      <c r="E7" s="24"/>
      <c r="F7" s="198"/>
      <c r="G7" s="198"/>
      <c r="H7" s="198"/>
      <c r="I7" s="24"/>
      <c r="J7" s="24"/>
      <c r="K7" s="25"/>
      <c r="L7" s="24"/>
      <c r="M7" s="24"/>
      <c r="N7" s="24"/>
      <c r="O7" s="24"/>
      <c r="P7" s="24"/>
      <c r="Q7" s="24"/>
      <c r="R7" s="24"/>
      <c r="S7" s="23"/>
      <c r="T7" s="24"/>
      <c r="U7" s="24"/>
      <c r="V7" s="24"/>
    </row>
    <row r="8" spans="2:22" x14ac:dyDescent="0.25">
      <c r="C8" s="219" t="s">
        <v>317</v>
      </c>
      <c r="D8" s="30"/>
      <c r="E8" s="265" t="s">
        <v>300</v>
      </c>
      <c r="F8" s="30"/>
      <c r="G8" s="198"/>
      <c r="H8" s="198"/>
      <c r="I8" s="24"/>
      <c r="J8" s="24"/>
      <c r="K8" s="25"/>
      <c r="L8" s="24"/>
      <c r="M8" s="24"/>
      <c r="N8" s="24"/>
      <c r="O8" s="24"/>
      <c r="P8" s="24"/>
      <c r="Q8" s="24"/>
      <c r="R8" s="24"/>
      <c r="S8" s="23"/>
      <c r="T8" s="24"/>
      <c r="U8" s="24"/>
      <c r="V8" s="24"/>
    </row>
    <row r="9" spans="2:22" x14ac:dyDescent="0.25">
      <c r="C9" s="219" t="s">
        <v>301</v>
      </c>
      <c r="D9" s="30"/>
      <c r="E9" s="266">
        <f>1.2*2.4</f>
        <v>2.88</v>
      </c>
      <c r="F9" s="30"/>
      <c r="G9" s="198"/>
      <c r="H9" s="198"/>
      <c r="I9" s="24"/>
      <c r="J9" s="24"/>
      <c r="K9" s="25"/>
      <c r="L9" s="24"/>
      <c r="M9" s="24"/>
      <c r="N9" s="24"/>
      <c r="O9" s="24"/>
      <c r="P9" s="24"/>
      <c r="Q9" s="24"/>
      <c r="R9" s="24"/>
      <c r="S9" s="23"/>
      <c r="T9" s="24"/>
      <c r="U9" s="24"/>
      <c r="V9" s="24"/>
    </row>
    <row r="10" spans="2:22" ht="6.75" customHeight="1" x14ac:dyDescent="0.25">
      <c r="C10" s="23"/>
      <c r="D10" s="24"/>
      <c r="E10" s="24"/>
      <c r="F10" s="198"/>
      <c r="G10" s="198"/>
      <c r="H10" s="198"/>
      <c r="I10" s="24"/>
      <c r="J10" s="24"/>
      <c r="K10" s="25"/>
      <c r="L10" s="24"/>
      <c r="M10" s="24"/>
      <c r="N10" s="24"/>
      <c r="O10" s="24"/>
      <c r="P10" s="24"/>
      <c r="Q10" s="24"/>
      <c r="R10" s="24"/>
      <c r="S10" s="23"/>
      <c r="T10" s="24"/>
      <c r="U10" s="24"/>
      <c r="V10" s="24"/>
    </row>
    <row r="11" spans="2:22" x14ac:dyDescent="0.25">
      <c r="C11" s="1205" t="s">
        <v>299</v>
      </c>
      <c r="D11" s="1205"/>
      <c r="E11" s="24"/>
      <c r="F11" s="30"/>
      <c r="G11" s="24"/>
      <c r="H11" s="24"/>
      <c r="I11" s="24"/>
      <c r="J11" s="24"/>
      <c r="K11" s="24"/>
      <c r="L11" s="24"/>
      <c r="M11" s="24"/>
      <c r="N11" s="24"/>
      <c r="O11" s="24"/>
      <c r="P11" s="24"/>
      <c r="Q11" s="24"/>
      <c r="R11" s="24"/>
      <c r="S11" s="23"/>
      <c r="T11" s="24"/>
      <c r="U11" s="24"/>
      <c r="V11" s="24"/>
    </row>
    <row r="12" spans="2:22" x14ac:dyDescent="0.25">
      <c r="C12" s="28" t="s">
        <v>30</v>
      </c>
      <c r="D12" s="29">
        <v>1400</v>
      </c>
      <c r="E12" s="24"/>
      <c r="F12" s="51"/>
      <c r="G12" s="27"/>
      <c r="H12" s="51"/>
      <c r="I12" s="24"/>
      <c r="J12" s="51"/>
      <c r="K12" s="51"/>
      <c r="L12" s="51"/>
      <c r="M12" s="51"/>
      <c r="N12" s="30"/>
      <c r="O12" s="24"/>
      <c r="P12" s="24"/>
      <c r="Q12" s="24"/>
      <c r="R12" s="24"/>
      <c r="S12" s="23"/>
      <c r="T12" s="24"/>
      <c r="U12" s="24"/>
      <c r="V12" s="24"/>
    </row>
    <row r="13" spans="2:22" x14ac:dyDescent="0.25">
      <c r="C13" s="28" t="s">
        <v>31</v>
      </c>
      <c r="D13" s="29">
        <v>600</v>
      </c>
      <c r="E13" s="24"/>
      <c r="G13" s="27"/>
      <c r="H13" s="51"/>
      <c r="I13" s="24"/>
      <c r="J13" s="51"/>
      <c r="K13" s="51"/>
      <c r="L13" s="51"/>
      <c r="M13" s="51"/>
      <c r="N13" s="30"/>
      <c r="O13" s="24"/>
      <c r="P13" s="24"/>
      <c r="Q13" s="24"/>
      <c r="R13" s="24"/>
      <c r="S13" s="23"/>
      <c r="T13" s="24"/>
      <c r="U13" s="24"/>
      <c r="V13" s="24"/>
    </row>
    <row r="14" spans="2:22" x14ac:dyDescent="0.25">
      <c r="C14" s="28" t="s">
        <v>37</v>
      </c>
      <c r="D14" s="29">
        <v>150</v>
      </c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3"/>
      <c r="T14" s="24"/>
      <c r="U14" s="24"/>
      <c r="V14" s="24"/>
    </row>
    <row r="15" spans="2:22" ht="11.25" customHeight="1" x14ac:dyDescent="0.25">
      <c r="C15" s="23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3"/>
      <c r="T15" s="24"/>
      <c r="U15" s="24"/>
      <c r="V15" s="24"/>
    </row>
    <row r="16" spans="2:22" x14ac:dyDescent="0.25">
      <c r="C16" s="1211" t="s">
        <v>401</v>
      </c>
      <c r="D16" s="1212"/>
      <c r="E16" s="451" t="str">
        <f>C5</f>
        <v>Plancha Galvanizada 1.5mm 1200x2400mm.</v>
      </c>
      <c r="F16" s="236"/>
      <c r="Q16" s="24"/>
      <c r="R16" s="24"/>
      <c r="S16" s="23"/>
      <c r="T16" s="30" t="s">
        <v>28</v>
      </c>
      <c r="U16" s="24"/>
      <c r="V16" s="24"/>
    </row>
    <row r="17" spans="3:23" x14ac:dyDescent="0.25">
      <c r="C17" s="1209" t="s">
        <v>88</v>
      </c>
      <c r="D17" s="1210"/>
      <c r="E17" s="272" t="s">
        <v>298</v>
      </c>
      <c r="F17" s="272" t="s">
        <v>297</v>
      </c>
      <c r="Q17" s="24"/>
      <c r="R17" s="24"/>
      <c r="S17" s="23"/>
      <c r="T17" s="30"/>
      <c r="U17" s="24"/>
      <c r="V17" s="24"/>
    </row>
    <row r="18" spans="3:23" x14ac:dyDescent="0.25">
      <c r="C18" s="31" t="s">
        <v>302</v>
      </c>
      <c r="D18" s="32"/>
      <c r="E18" s="216" t="s">
        <v>39</v>
      </c>
      <c r="F18" s="36">
        <f>+(D12)/1000*(D13-3+(D14-3)*2+10+10)/1000</f>
        <v>1.2753999999999999</v>
      </c>
      <c r="Q18" s="24"/>
      <c r="R18" s="24"/>
      <c r="S18" s="23"/>
      <c r="T18" s="30" t="s">
        <v>29</v>
      </c>
      <c r="U18" s="24"/>
      <c r="V18" s="24"/>
    </row>
    <row r="19" spans="3:23" x14ac:dyDescent="0.25">
      <c r="C19" s="31" t="s">
        <v>75</v>
      </c>
      <c r="D19" s="32"/>
      <c r="E19" s="216" t="s">
        <v>39</v>
      </c>
      <c r="F19" s="290">
        <f>+((D13-3-3+15+15)/1000*(D14-5+12+15)/1000)*2</f>
        <v>0.21465600000000001</v>
      </c>
      <c r="Q19" s="24"/>
      <c r="R19" s="24"/>
      <c r="S19" s="37" t="s">
        <v>36</v>
      </c>
      <c r="T19" s="38">
        <f>+W19/30/7</f>
        <v>9.5238095238095237</v>
      </c>
      <c r="U19" s="34"/>
      <c r="V19" s="34" t="s">
        <v>76</v>
      </c>
      <c r="W19" s="38">
        <v>2000</v>
      </c>
    </row>
    <row r="20" spans="3:23" x14ac:dyDescent="0.25">
      <c r="C20" s="23"/>
      <c r="D20" s="51"/>
      <c r="E20" s="39" t="s">
        <v>77</v>
      </c>
      <c r="F20" s="291">
        <f>SUM(F18:F19)</f>
        <v>1.4900559999999998</v>
      </c>
      <c r="Q20" s="24"/>
      <c r="R20" s="24"/>
      <c r="S20" s="37" t="s">
        <v>38</v>
      </c>
      <c r="T20" s="38">
        <f>+W20/30/7</f>
        <v>7.6190476190476195</v>
      </c>
      <c r="U20" s="34"/>
      <c r="V20" s="34" t="s">
        <v>78</v>
      </c>
      <c r="W20" s="38">
        <v>1600</v>
      </c>
    </row>
    <row r="21" spans="3:23" x14ac:dyDescent="0.25">
      <c r="C21" s="23"/>
      <c r="D21" s="51"/>
      <c r="E21" s="34" t="s">
        <v>323</v>
      </c>
      <c r="F21" s="291">
        <f>+F20/E9</f>
        <v>0.51738055555555551</v>
      </c>
      <c r="Q21" s="24"/>
      <c r="R21" s="24"/>
      <c r="S21" s="23"/>
      <c r="T21" s="24"/>
      <c r="U21" s="24"/>
      <c r="V21" s="24"/>
    </row>
    <row r="22" spans="3:23" x14ac:dyDescent="0.25">
      <c r="C22" s="23"/>
      <c r="D22" s="51"/>
      <c r="E22" s="57" t="s">
        <v>326</v>
      </c>
      <c r="F22" s="58">
        <f>+F21*E5</f>
        <v>67.455042072222227</v>
      </c>
      <c r="Q22" s="24"/>
      <c r="R22" s="24"/>
      <c r="S22" s="23"/>
      <c r="T22" s="24"/>
      <c r="U22" s="24"/>
      <c r="V22" s="24"/>
    </row>
    <row r="23" spans="3:23" x14ac:dyDescent="0.25">
      <c r="C23" s="23"/>
      <c r="D23" s="51"/>
      <c r="E23" s="33" t="s">
        <v>101</v>
      </c>
      <c r="F23" s="58">
        <f>F22*0.3</f>
        <v>20.236512621666666</v>
      </c>
      <c r="Q23" s="24"/>
      <c r="R23" s="24"/>
      <c r="S23" s="23"/>
      <c r="T23" s="24"/>
      <c r="U23" s="24"/>
      <c r="V23" s="24"/>
    </row>
    <row r="24" spans="3:23" x14ac:dyDescent="0.25">
      <c r="C24" s="23"/>
      <c r="D24" s="51"/>
      <c r="E24" s="59" t="s">
        <v>327</v>
      </c>
      <c r="F24" s="60">
        <f>F22+F23</f>
        <v>87.691554693888889</v>
      </c>
      <c r="Q24" s="24"/>
      <c r="R24" s="24"/>
      <c r="S24" s="23"/>
      <c r="T24" s="24"/>
      <c r="U24" s="24"/>
      <c r="V24" s="24"/>
    </row>
    <row r="25" spans="3:23" ht="11.25" customHeight="1" x14ac:dyDescent="0.25">
      <c r="C25" s="23"/>
      <c r="D25" s="24"/>
      <c r="E25" s="24"/>
      <c r="F25" s="23"/>
      <c r="Q25" s="24"/>
      <c r="R25" s="24"/>
      <c r="S25" s="23"/>
      <c r="T25" s="24"/>
      <c r="U25" s="24"/>
      <c r="V25" s="24"/>
    </row>
    <row r="26" spans="3:23" x14ac:dyDescent="0.25">
      <c r="C26" s="1211" t="s">
        <v>401</v>
      </c>
      <c r="D26" s="1212"/>
      <c r="E26" s="236" t="str">
        <f>C6</f>
        <v>Plancha LAF 1.5mm 1200x2400mm.</v>
      </c>
      <c r="F26" s="235"/>
      <c r="Q26" s="24"/>
      <c r="R26" s="24"/>
      <c r="S26" s="23"/>
      <c r="T26" s="24"/>
      <c r="U26" s="24"/>
      <c r="V26" s="24"/>
    </row>
    <row r="27" spans="3:23" x14ac:dyDescent="0.25">
      <c r="C27" s="1209" t="s">
        <v>88</v>
      </c>
      <c r="D27" s="1210"/>
      <c r="E27" s="272" t="s">
        <v>298</v>
      </c>
      <c r="F27" s="272" t="s">
        <v>297</v>
      </c>
      <c r="Q27" s="24"/>
      <c r="R27" s="24"/>
      <c r="S27" s="23"/>
      <c r="T27" s="24"/>
      <c r="U27" s="24"/>
      <c r="V27" s="24"/>
    </row>
    <row r="28" spans="3:23" x14ac:dyDescent="0.25">
      <c r="C28" s="31" t="s">
        <v>79</v>
      </c>
      <c r="D28" s="32"/>
      <c r="E28" s="220" t="s">
        <v>39</v>
      </c>
      <c r="F28" s="36">
        <f>+(D12+60)/1000*(D13+60)/1000</f>
        <v>0.96360000000000001</v>
      </c>
      <c r="Q28" s="24"/>
      <c r="R28" s="24"/>
      <c r="S28" s="23"/>
      <c r="T28" s="24"/>
      <c r="U28" s="24"/>
      <c r="V28" s="24"/>
    </row>
    <row r="29" spans="3:23" x14ac:dyDescent="0.25">
      <c r="C29" s="41" t="s">
        <v>43</v>
      </c>
      <c r="D29" s="42"/>
      <c r="E29" s="220" t="s">
        <v>39</v>
      </c>
      <c r="F29" s="36">
        <f>+(D12-70+15+15)/1000*(D13-70+15+15)/1000</f>
        <v>0.76160000000000005</v>
      </c>
      <c r="Q29" s="24"/>
      <c r="R29" s="24"/>
      <c r="S29" s="23"/>
      <c r="T29" s="24"/>
      <c r="U29" s="24"/>
      <c r="V29" s="24"/>
    </row>
    <row r="30" spans="3:23" x14ac:dyDescent="0.25">
      <c r="C30" s="31" t="s">
        <v>42</v>
      </c>
      <c r="D30" s="32"/>
      <c r="E30" s="220" t="s">
        <v>39</v>
      </c>
      <c r="F30" s="36">
        <f>+(D12-70+15+15)/1000*(D13-70+15+15)/1000</f>
        <v>0.76160000000000005</v>
      </c>
      <c r="Q30" s="24"/>
      <c r="R30" s="24"/>
      <c r="S30" s="23"/>
      <c r="T30" s="24"/>
      <c r="U30" s="24"/>
      <c r="V30" s="24"/>
    </row>
    <row r="31" spans="3:23" x14ac:dyDescent="0.25">
      <c r="C31" s="31" t="s">
        <v>80</v>
      </c>
      <c r="D31" s="32"/>
      <c r="E31" s="220" t="s">
        <v>39</v>
      </c>
      <c r="F31" s="36">
        <f>+(D13-82)/1000*(151)/1000*2</f>
        <v>0.15643600000000002</v>
      </c>
      <c r="Q31" s="24"/>
      <c r="R31" s="24"/>
      <c r="S31" s="23"/>
      <c r="T31" s="24"/>
      <c r="U31" s="24"/>
      <c r="V31" s="24"/>
    </row>
    <row r="32" spans="3:23" x14ac:dyDescent="0.25">
      <c r="C32" s="31" t="s">
        <v>82</v>
      </c>
      <c r="D32" s="32"/>
      <c r="E32" s="220" t="s">
        <v>39</v>
      </c>
      <c r="F32" s="36">
        <f>+(D12+24)/1000*(132)/1000*2</f>
        <v>0.37593599999999999</v>
      </c>
      <c r="Q32" s="24"/>
      <c r="R32" s="24"/>
      <c r="S32" s="23"/>
      <c r="T32" s="24"/>
      <c r="U32" s="24"/>
      <c r="V32" s="24"/>
    </row>
    <row r="33" spans="3:22" x14ac:dyDescent="0.25">
      <c r="C33" s="23"/>
      <c r="D33" s="51"/>
      <c r="E33" s="44" t="s">
        <v>77</v>
      </c>
      <c r="F33" s="292">
        <f>SUM(F28:F32)</f>
        <v>3.0191719999999997</v>
      </c>
      <c r="Q33" s="24"/>
      <c r="R33" s="24"/>
      <c r="S33" s="23"/>
      <c r="T33" s="24"/>
      <c r="U33" s="24"/>
      <c r="V33" s="24"/>
    </row>
    <row r="34" spans="3:22" x14ac:dyDescent="0.25">
      <c r="C34" s="23"/>
      <c r="D34" s="51"/>
      <c r="E34" s="34" t="s">
        <v>323</v>
      </c>
      <c r="F34" s="293">
        <f>+F33/E9</f>
        <v>1.0483236111111112</v>
      </c>
      <c r="Q34" s="24"/>
      <c r="R34" s="24"/>
      <c r="S34" s="23"/>
      <c r="T34" s="24"/>
      <c r="U34" s="24"/>
      <c r="V34" s="24"/>
    </row>
    <row r="35" spans="3:22" x14ac:dyDescent="0.25">
      <c r="C35" s="23"/>
      <c r="D35" s="51"/>
      <c r="E35" s="45" t="s">
        <v>326</v>
      </c>
      <c r="F35" s="58">
        <f>+F34*E6</f>
        <v>120.3056176111111</v>
      </c>
      <c r="Q35" s="24"/>
      <c r="R35" s="24"/>
      <c r="S35" s="23"/>
      <c r="T35" s="24"/>
      <c r="U35" s="24"/>
      <c r="V35" s="24"/>
    </row>
    <row r="36" spans="3:22" x14ac:dyDescent="0.25">
      <c r="C36" s="23"/>
      <c r="D36" s="51"/>
      <c r="E36" s="33" t="s">
        <v>101</v>
      </c>
      <c r="F36" s="61">
        <f>F35*0.3</f>
        <v>36.091685283333327</v>
      </c>
      <c r="Q36" s="24"/>
      <c r="R36" s="24"/>
      <c r="S36" s="23"/>
      <c r="T36" s="24"/>
      <c r="U36" s="24"/>
      <c r="V36" s="24"/>
    </row>
    <row r="37" spans="3:22" x14ac:dyDescent="0.25">
      <c r="C37" s="23"/>
      <c r="D37" s="51"/>
      <c r="E37" s="59" t="s">
        <v>327</v>
      </c>
      <c r="F37" s="60">
        <f>F35+F36</f>
        <v>156.39730289444444</v>
      </c>
      <c r="G37" s="24"/>
      <c r="H37" s="24"/>
      <c r="I37" s="24"/>
      <c r="J37" s="27"/>
      <c r="K37" s="27"/>
      <c r="L37" s="46"/>
      <c r="M37" s="47"/>
      <c r="N37" s="48"/>
      <c r="O37" s="48"/>
      <c r="P37" s="48"/>
      <c r="R37" s="24"/>
      <c r="S37" s="23"/>
      <c r="T37" s="24"/>
      <c r="U37" s="24"/>
      <c r="V37" s="24"/>
    </row>
    <row r="38" spans="3:22" ht="12" customHeight="1" thickBot="1" x14ac:dyDescent="0.3">
      <c r="C38" s="23"/>
      <c r="D38" s="24"/>
      <c r="E38" s="24"/>
      <c r="F38" s="23"/>
      <c r="G38" s="24"/>
      <c r="H38" s="24"/>
      <c r="I38" s="24"/>
      <c r="J38" s="49"/>
      <c r="K38" s="50"/>
      <c r="L38" s="24"/>
      <c r="M38" s="24"/>
      <c r="N38" s="24"/>
      <c r="O38" s="24"/>
      <c r="P38" s="24"/>
      <c r="Q38" s="24"/>
      <c r="R38" s="24"/>
      <c r="S38" s="23"/>
      <c r="T38" s="24"/>
      <c r="U38" s="24"/>
      <c r="V38" s="24"/>
    </row>
    <row r="39" spans="3:22" ht="15.75" thickBot="1" x14ac:dyDescent="0.3">
      <c r="C39" s="1202" t="s">
        <v>316</v>
      </c>
      <c r="D39" s="1203"/>
      <c r="E39" s="1203"/>
      <c r="F39" s="1203"/>
      <c r="G39" s="1204"/>
      <c r="H39" s="24"/>
      <c r="I39" s="27"/>
      <c r="J39" s="27"/>
      <c r="K39" s="27"/>
      <c r="L39" s="27"/>
      <c r="M39" s="24"/>
      <c r="N39" s="1194"/>
      <c r="O39" s="1194"/>
      <c r="P39" s="1194"/>
      <c r="Q39" s="24"/>
      <c r="R39" s="24"/>
      <c r="S39" s="23"/>
      <c r="T39" s="24"/>
      <c r="U39" s="24"/>
      <c r="V39" s="24"/>
    </row>
    <row r="40" spans="3:22" ht="15.75" thickBot="1" x14ac:dyDescent="0.3">
      <c r="C40" s="273" t="s">
        <v>32</v>
      </c>
      <c r="D40" s="274" t="s">
        <v>33</v>
      </c>
      <c r="E40" s="275" t="s">
        <v>315</v>
      </c>
      <c r="F40" s="274" t="s">
        <v>34</v>
      </c>
      <c r="G40" s="274" t="s">
        <v>35</v>
      </c>
      <c r="H40" s="24"/>
      <c r="I40" s="27"/>
      <c r="J40" s="27"/>
      <c r="K40" s="27"/>
      <c r="L40" s="27"/>
      <c r="M40" s="24"/>
      <c r="N40" s="223"/>
      <c r="O40" s="223"/>
      <c r="P40" s="223"/>
      <c r="Q40" s="24"/>
      <c r="R40" s="24"/>
      <c r="S40" s="23"/>
      <c r="T40" s="24"/>
      <c r="U40" s="24"/>
      <c r="V40" s="24"/>
    </row>
    <row r="41" spans="3:22" x14ac:dyDescent="0.25">
      <c r="C41" s="243" t="str">
        <f>Materiales!D83</f>
        <v>Pintura polvo m2</v>
      </c>
      <c r="D41" s="241">
        <f>(+F33)*2/5</f>
        <v>1.2076688</v>
      </c>
      <c r="E41" s="42" t="s">
        <v>45</v>
      </c>
      <c r="F41" s="246">
        <f>Materiales!G83</f>
        <v>19</v>
      </c>
      <c r="G41" s="246">
        <f>+F41*D41</f>
        <v>22.945707200000001</v>
      </c>
      <c r="H41" s="24"/>
      <c r="I41" s="27"/>
      <c r="J41" s="27"/>
      <c r="K41" s="27"/>
      <c r="L41" s="27"/>
      <c r="M41" s="24"/>
      <c r="N41" s="24"/>
      <c r="O41" s="24"/>
      <c r="P41" s="24"/>
      <c r="Q41" s="24"/>
      <c r="R41" s="24"/>
      <c r="S41" s="23"/>
      <c r="T41" s="24"/>
      <c r="U41" s="24"/>
      <c r="V41" s="24"/>
    </row>
    <row r="42" spans="3:22" x14ac:dyDescent="0.25">
      <c r="C42" s="237" t="str">
        <f>Materiales!D142</f>
        <v>Bisagra Piano para empotrado</v>
      </c>
      <c r="D42" s="241">
        <f>D12/1000</f>
        <v>1.4</v>
      </c>
      <c r="E42" s="32" t="s">
        <v>44</v>
      </c>
      <c r="F42" s="241">
        <f>Materiales!G142</f>
        <v>20</v>
      </c>
      <c r="G42" s="241">
        <f>+F42*D42</f>
        <v>28</v>
      </c>
      <c r="H42" s="24"/>
      <c r="I42" s="27"/>
      <c r="J42" s="27"/>
      <c r="K42" s="27"/>
      <c r="L42" s="27"/>
      <c r="M42" s="24"/>
      <c r="N42" s="24"/>
      <c r="O42" s="24"/>
      <c r="P42" s="24"/>
      <c r="Q42" s="24"/>
      <c r="R42" s="24"/>
      <c r="S42" s="23"/>
      <c r="T42" s="24"/>
      <c r="U42" s="24"/>
      <c r="V42" s="24"/>
    </row>
    <row r="43" spans="3:22" x14ac:dyDescent="0.25">
      <c r="C43" s="237" t="str">
        <f>Materiales!D84</f>
        <v>Chapa Push boton</v>
      </c>
      <c r="D43" s="239">
        <v>4</v>
      </c>
      <c r="E43" s="32" t="s">
        <v>312</v>
      </c>
      <c r="F43" s="241">
        <f>Materiales!G84</f>
        <v>6</v>
      </c>
      <c r="G43" s="241">
        <f>+F43*D43</f>
        <v>24</v>
      </c>
      <c r="H43" s="24"/>
      <c r="I43" s="27"/>
      <c r="J43" s="27"/>
      <c r="K43" s="27"/>
      <c r="L43" s="27"/>
      <c r="M43" s="24"/>
      <c r="N43" s="24"/>
      <c r="O43" s="24"/>
      <c r="P43" s="24"/>
      <c r="Q43" s="24"/>
      <c r="R43" s="24"/>
      <c r="S43" s="23"/>
      <c r="T43" s="24"/>
      <c r="U43" s="24"/>
      <c r="V43" s="24"/>
    </row>
    <row r="44" spans="3:22" x14ac:dyDescent="0.25">
      <c r="C44" s="237" t="str">
        <f>Materiales!D139</f>
        <v>Pernos Gabinete empotrado</v>
      </c>
      <c r="D44" s="239">
        <v>1</v>
      </c>
      <c r="E44" s="32" t="s">
        <v>17</v>
      </c>
      <c r="F44" s="241">
        <f>Materiales!G139</f>
        <v>20</v>
      </c>
      <c r="G44" s="241">
        <f>+F44*D44</f>
        <v>20</v>
      </c>
      <c r="H44" s="24"/>
      <c r="I44" s="27"/>
      <c r="J44" s="27"/>
      <c r="K44" s="27"/>
      <c r="L44" s="27"/>
      <c r="M44" s="24"/>
      <c r="N44" s="30"/>
      <c r="O44" s="30"/>
      <c r="P44" s="30"/>
      <c r="Q44" s="24"/>
      <c r="R44" s="24"/>
      <c r="S44" s="23"/>
      <c r="T44" s="24"/>
      <c r="U44" s="24"/>
      <c r="V44" s="24"/>
    </row>
    <row r="45" spans="3:22" x14ac:dyDescent="0.25">
      <c r="C45" s="243" t="str">
        <f>Materiales!D138</f>
        <v>Lijas y trapo industrial</v>
      </c>
      <c r="D45" s="239">
        <v>1</v>
      </c>
      <c r="E45" s="42" t="s">
        <v>312</v>
      </c>
      <c r="F45" s="245">
        <f>Materiales!G138</f>
        <v>2.5</v>
      </c>
      <c r="G45" s="246">
        <f>+F45*D45</f>
        <v>2.5</v>
      </c>
      <c r="H45" s="24"/>
      <c r="I45" s="27"/>
      <c r="J45" s="27"/>
      <c r="K45" s="27"/>
      <c r="L45" s="27"/>
      <c r="M45" s="24"/>
      <c r="N45" s="30"/>
      <c r="O45" s="30"/>
      <c r="P45" s="56"/>
      <c r="Q45" s="24"/>
      <c r="R45" s="24"/>
      <c r="S45" s="23"/>
      <c r="T45" s="24"/>
      <c r="U45" s="24"/>
      <c r="V45" s="24"/>
    </row>
    <row r="46" spans="3:22" x14ac:dyDescent="0.25">
      <c r="C46" s="237" t="str">
        <f>Materiales!D145</f>
        <v>Portaplanos empotrado</v>
      </c>
      <c r="D46" s="239">
        <v>1</v>
      </c>
      <c r="E46" s="32" t="s">
        <v>312</v>
      </c>
      <c r="F46" s="241">
        <f>Materiales!G145</f>
        <v>10</v>
      </c>
      <c r="G46" s="241">
        <f>F46*D46</f>
        <v>10</v>
      </c>
      <c r="H46" s="24"/>
      <c r="I46" s="27"/>
      <c r="J46" s="27"/>
      <c r="K46" s="27"/>
      <c r="L46" s="27"/>
      <c r="M46" s="24"/>
      <c r="N46" s="24"/>
      <c r="O46" s="24"/>
      <c r="P46" s="24"/>
      <c r="Q46" s="24"/>
      <c r="R46" s="24"/>
      <c r="S46" s="23"/>
      <c r="T46" s="24"/>
      <c r="U46" s="24"/>
      <c r="V46" s="24"/>
    </row>
    <row r="47" spans="3:22" x14ac:dyDescent="0.25">
      <c r="C47" s="237" t="str">
        <f>Materiales!D149</f>
        <v>Rotulo Logo peligro pintado</v>
      </c>
      <c r="D47" s="239">
        <v>1</v>
      </c>
      <c r="E47" s="32" t="s">
        <v>17</v>
      </c>
      <c r="F47" s="241">
        <f>Materiales!G149</f>
        <v>10</v>
      </c>
      <c r="G47" s="241">
        <f>+F47*D47</f>
        <v>10</v>
      </c>
      <c r="H47" s="24"/>
      <c r="I47" s="27"/>
      <c r="J47" s="27"/>
      <c r="K47" s="27"/>
      <c r="L47" s="27"/>
      <c r="M47" s="24"/>
      <c r="N47" s="1199"/>
      <c r="O47" s="1199"/>
      <c r="P47" s="224"/>
      <c r="Q47" s="24"/>
      <c r="R47" s="24"/>
      <c r="S47" s="23"/>
      <c r="T47" s="24"/>
      <c r="U47" s="24"/>
      <c r="V47" s="24"/>
    </row>
    <row r="48" spans="3:22" x14ac:dyDescent="0.25">
      <c r="C48" s="237" t="str">
        <f>Materiales!D150</f>
        <v>Rotulo placa Nombre de tablero</v>
      </c>
      <c r="D48" s="239">
        <v>1</v>
      </c>
      <c r="E48" s="32" t="s">
        <v>312</v>
      </c>
      <c r="F48" s="241">
        <f>Materiales!G150</f>
        <v>5.5</v>
      </c>
      <c r="G48" s="241">
        <f>F48*D48</f>
        <v>5.5</v>
      </c>
      <c r="H48" s="24"/>
      <c r="I48" s="27"/>
      <c r="J48" s="27"/>
      <c r="K48" s="27"/>
      <c r="L48" s="27"/>
      <c r="M48" s="24"/>
      <c r="N48" s="24"/>
      <c r="O48" s="24"/>
      <c r="P48" s="24"/>
      <c r="Q48" s="24"/>
      <c r="R48" s="24"/>
      <c r="S48" s="23"/>
      <c r="T48" s="24"/>
      <c r="U48" s="24"/>
      <c r="V48" s="24"/>
    </row>
    <row r="49" spans="2:43" x14ac:dyDescent="0.25">
      <c r="C49" s="237" t="str">
        <f>Materiales!D151</f>
        <v>Rotulo placa circuitos derivados</v>
      </c>
      <c r="D49" s="239">
        <v>12</v>
      </c>
      <c r="E49" s="32" t="s">
        <v>312</v>
      </c>
      <c r="F49" s="241">
        <f>Materiales!G151</f>
        <v>1.5</v>
      </c>
      <c r="G49" s="241">
        <f>F49*D49</f>
        <v>18</v>
      </c>
      <c r="H49" s="24"/>
      <c r="I49" s="27"/>
      <c r="J49" s="27"/>
      <c r="K49" s="27"/>
      <c r="L49" s="27"/>
      <c r="M49" s="24"/>
      <c r="N49" s="24"/>
      <c r="O49" s="24"/>
      <c r="P49" s="24"/>
      <c r="Q49" s="24"/>
      <c r="R49" s="24"/>
      <c r="S49" s="23"/>
      <c r="T49" s="24"/>
      <c r="U49" s="24"/>
      <c r="V49" s="24"/>
    </row>
    <row r="50" spans="2:43" x14ac:dyDescent="0.25">
      <c r="C50" s="237" t="str">
        <f>Materiales!D152</f>
        <v>Embalaje Empotrado</v>
      </c>
      <c r="D50" s="239">
        <v>1</v>
      </c>
      <c r="E50" s="32" t="s">
        <v>17</v>
      </c>
      <c r="F50" s="241">
        <f>Materiales!G152</f>
        <v>10</v>
      </c>
      <c r="G50" s="241">
        <f>F50*D50</f>
        <v>10</v>
      </c>
      <c r="H50" s="24"/>
      <c r="I50" s="27"/>
      <c r="J50" s="27"/>
      <c r="K50" s="27"/>
      <c r="L50" s="27"/>
      <c r="M50" s="24"/>
      <c r="N50" s="24"/>
      <c r="O50" s="24"/>
      <c r="P50" s="24"/>
      <c r="Q50" s="24"/>
      <c r="R50" s="24"/>
      <c r="S50" s="23"/>
      <c r="T50" s="24"/>
      <c r="U50" s="24"/>
      <c r="V50" s="24"/>
    </row>
    <row r="51" spans="2:43" x14ac:dyDescent="0.25">
      <c r="C51" s="388" t="str">
        <f>Materiales!D155</f>
        <v>Dossier, hojas, micas impresiones (Adosado-Empotrado)</v>
      </c>
      <c r="D51" s="239">
        <v>1</v>
      </c>
      <c r="E51" s="389" t="s">
        <v>17</v>
      </c>
      <c r="F51" s="390">
        <f>Materiales!G155</f>
        <v>10</v>
      </c>
      <c r="G51" s="390">
        <f>F51*D51</f>
        <v>10</v>
      </c>
      <c r="H51" s="24"/>
      <c r="I51" s="27"/>
      <c r="J51" s="27"/>
      <c r="K51" s="27"/>
      <c r="L51" s="27"/>
      <c r="M51" s="24"/>
      <c r="N51" s="24"/>
      <c r="O51" s="24"/>
      <c r="P51" s="24"/>
      <c r="Q51" s="24"/>
      <c r="R51" s="24"/>
      <c r="S51" s="23"/>
      <c r="T51" s="24"/>
      <c r="U51" s="24"/>
      <c r="V51" s="24"/>
    </row>
    <row r="52" spans="2:43" ht="15.75" thickBot="1" x14ac:dyDescent="0.3">
      <c r="C52" s="238" t="str">
        <f>Materiales!D157</f>
        <v>Desgaste de Maquinarias Adosado y empotrado</v>
      </c>
      <c r="D52" s="247">
        <v>1</v>
      </c>
      <c r="E52" s="240" t="s">
        <v>17</v>
      </c>
      <c r="F52" s="242">
        <f>Materiales!G157</f>
        <v>50</v>
      </c>
      <c r="G52" s="242">
        <f>+F52*D52</f>
        <v>50</v>
      </c>
      <c r="H52" s="51"/>
      <c r="I52" s="27"/>
      <c r="J52" s="27"/>
      <c r="K52" s="27"/>
      <c r="L52" s="27"/>
      <c r="M52" s="24"/>
      <c r="N52" s="56"/>
      <c r="O52" s="30"/>
      <c r="P52" s="56"/>
      <c r="Q52" s="24"/>
      <c r="R52" s="24"/>
      <c r="S52" s="23"/>
      <c r="T52" s="24"/>
      <c r="U52" s="24"/>
      <c r="V52" s="24"/>
    </row>
    <row r="53" spans="2:43" ht="15.75" thickBot="1" x14ac:dyDescent="0.3">
      <c r="C53" s="24"/>
      <c r="D53" s="24"/>
      <c r="E53" s="24"/>
      <c r="F53" s="222" t="s">
        <v>83</v>
      </c>
      <c r="G53" s="259">
        <f>SUM(G41:G52)</f>
        <v>210.94570720000002</v>
      </c>
      <c r="H53" s="24"/>
      <c r="I53" s="27"/>
      <c r="J53" s="27"/>
      <c r="K53" s="27"/>
      <c r="L53" s="27"/>
      <c r="M53" s="24"/>
      <c r="N53" s="24"/>
      <c r="O53" s="24"/>
      <c r="P53" s="24"/>
      <c r="Q53" s="24"/>
      <c r="R53" s="24"/>
      <c r="S53" s="23"/>
      <c r="T53" s="24"/>
      <c r="U53" s="24"/>
      <c r="V53" s="24"/>
    </row>
    <row r="54" spans="2:43" ht="8.25" customHeight="1" thickBot="1" x14ac:dyDescent="0.3">
      <c r="C54" s="23"/>
      <c r="D54" s="24"/>
      <c r="E54" s="24"/>
      <c r="F54" s="23"/>
      <c r="G54" s="51"/>
      <c r="H54" s="51"/>
      <c r="I54" s="27"/>
      <c r="J54" s="27"/>
      <c r="K54" s="27"/>
      <c r="L54" s="27"/>
      <c r="M54" s="24"/>
      <c r="N54" s="24"/>
      <c r="O54" s="24"/>
      <c r="P54" s="24"/>
      <c r="Q54" s="24"/>
      <c r="R54" s="24"/>
      <c r="S54" s="23"/>
      <c r="T54" s="24"/>
      <c r="U54" s="24"/>
      <c r="V54" s="24"/>
    </row>
    <row r="55" spans="2:43" ht="15.75" thickBot="1" x14ac:dyDescent="0.3">
      <c r="C55" s="23"/>
      <c r="D55" s="24"/>
      <c r="E55" s="24"/>
      <c r="F55" s="260" t="s">
        <v>307</v>
      </c>
      <c r="G55" s="261">
        <f>+G53+F37+F24</f>
        <v>455.03456478833334</v>
      </c>
      <c r="H55" s="51"/>
      <c r="I55" s="51"/>
      <c r="J55" s="51"/>
      <c r="K55" s="51"/>
      <c r="L55" s="51"/>
      <c r="M55" s="24"/>
      <c r="N55" s="24"/>
      <c r="O55" s="24"/>
      <c r="P55" s="24"/>
      <c r="Q55" s="24"/>
      <c r="R55" s="24"/>
      <c r="S55" s="23"/>
      <c r="T55" s="24"/>
      <c r="U55" s="24"/>
      <c r="V55" s="24"/>
    </row>
    <row r="56" spans="2:43" ht="10.5" customHeight="1" thickBot="1" x14ac:dyDescent="0.3">
      <c r="C56" s="23"/>
      <c r="D56" s="24"/>
      <c r="E56" s="24"/>
      <c r="F56" s="50"/>
      <c r="G56" s="50"/>
      <c r="H56" s="51"/>
      <c r="I56" s="51"/>
      <c r="J56" s="51"/>
      <c r="K56" s="51"/>
      <c r="L56" s="51"/>
      <c r="M56" s="24"/>
      <c r="N56" s="24"/>
      <c r="O56" s="24"/>
      <c r="P56" s="24"/>
      <c r="Q56" s="24"/>
      <c r="R56" s="24"/>
      <c r="S56" s="23"/>
      <c r="T56" s="24"/>
      <c r="U56" s="24"/>
      <c r="V56" s="24"/>
    </row>
    <row r="57" spans="2:43" s="26" customFormat="1" ht="15.75" thickBot="1" x14ac:dyDescent="0.3">
      <c r="B57" s="27"/>
      <c r="C57" s="1202" t="s">
        <v>84</v>
      </c>
      <c r="D57" s="1203"/>
      <c r="E57" s="1203"/>
      <c r="F57" s="1203"/>
      <c r="G57" s="1204"/>
      <c r="H57" s="51"/>
      <c r="I57" s="51"/>
      <c r="L57" s="51"/>
      <c r="M57" s="24"/>
      <c r="N57" s="24"/>
      <c r="O57" s="24"/>
      <c r="P57" s="24"/>
      <c r="Q57" s="24"/>
      <c r="R57" s="24"/>
      <c r="S57" s="23"/>
      <c r="T57" s="24"/>
      <c r="U57" s="24"/>
      <c r="V57" s="24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</row>
    <row r="58" spans="2:43" s="26" customFormat="1" ht="15.75" thickBot="1" x14ac:dyDescent="0.3">
      <c r="B58" s="27"/>
      <c r="C58" s="1200" t="s">
        <v>46</v>
      </c>
      <c r="D58" s="1201"/>
      <c r="E58" s="262" t="s">
        <v>85</v>
      </c>
      <c r="F58" s="263" t="s">
        <v>307</v>
      </c>
      <c r="G58" s="264" t="s">
        <v>308</v>
      </c>
      <c r="H58" s="24"/>
      <c r="I58" s="24"/>
      <c r="J58" s="24"/>
      <c r="L58" s="24"/>
      <c r="M58" s="24"/>
      <c r="N58" s="24"/>
      <c r="O58" s="24"/>
      <c r="P58" s="24"/>
      <c r="Q58" s="24"/>
      <c r="R58" s="24"/>
      <c r="S58" s="23"/>
      <c r="T58" s="24"/>
      <c r="U58" s="24"/>
      <c r="V58" s="24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</row>
    <row r="59" spans="2:43" s="26" customFormat="1" x14ac:dyDescent="0.25">
      <c r="B59" s="27"/>
      <c r="C59" s="227" t="s">
        <v>460</v>
      </c>
      <c r="D59" s="41"/>
      <c r="E59" s="431">
        <f>F59+G59</f>
        <v>830.03</v>
      </c>
      <c r="F59" s="42">
        <v>455.03</v>
      </c>
      <c r="G59" s="246">
        <f>+Materiales!E42</f>
        <v>375</v>
      </c>
      <c r="Q59" s="24"/>
      <c r="R59" s="24"/>
      <c r="S59" s="23"/>
      <c r="T59" s="24"/>
      <c r="U59" s="24"/>
      <c r="V59" s="24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</row>
    <row r="60" spans="2:43" s="26" customFormat="1" x14ac:dyDescent="0.25">
      <c r="B60" s="27"/>
      <c r="C60" s="227" t="s">
        <v>304</v>
      </c>
      <c r="D60" s="41"/>
      <c r="E60" s="431">
        <f>F60+G60</f>
        <v>716.03</v>
      </c>
      <c r="F60" s="42">
        <v>416.03</v>
      </c>
      <c r="G60" s="246">
        <f>Materiales!E41</f>
        <v>300</v>
      </c>
      <c r="Q60" s="24"/>
      <c r="R60" s="24"/>
      <c r="S60" s="23"/>
      <c r="T60" s="24"/>
      <c r="U60" s="24"/>
      <c r="V60" s="24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</row>
    <row r="61" spans="2:43" s="26" customFormat="1" x14ac:dyDescent="0.25">
      <c r="B61" s="27"/>
      <c r="C61" s="225" t="s">
        <v>305</v>
      </c>
      <c r="D61" s="31"/>
      <c r="E61" s="432">
        <f>F61+G61</f>
        <v>602.02</v>
      </c>
      <c r="F61" s="32">
        <v>377.02</v>
      </c>
      <c r="G61" s="241">
        <f>Materiales!E39</f>
        <v>225</v>
      </c>
      <c r="H61" s="24"/>
      <c r="I61" s="24"/>
      <c r="J61" s="24">
        <v>407</v>
      </c>
      <c r="L61" s="24"/>
      <c r="M61" s="24"/>
      <c r="N61" s="24"/>
      <c r="O61" s="24"/>
      <c r="P61" s="24"/>
      <c r="Q61" s="24"/>
      <c r="R61" s="24"/>
      <c r="S61" s="23"/>
      <c r="T61" s="24"/>
      <c r="U61" s="24"/>
      <c r="V61" s="24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</row>
    <row r="62" spans="2:43" s="26" customFormat="1" x14ac:dyDescent="0.25">
      <c r="B62" s="27"/>
      <c r="C62" s="225" t="s">
        <v>306</v>
      </c>
      <c r="D62" s="31"/>
      <c r="E62" s="432">
        <f>F62+G62</f>
        <v>454.02</v>
      </c>
      <c r="F62" s="32">
        <v>304.02</v>
      </c>
      <c r="G62" s="241">
        <f>Materiales!E37</f>
        <v>150</v>
      </c>
      <c r="J62" s="26">
        <v>315</v>
      </c>
      <c r="Q62" s="24"/>
      <c r="R62" s="24"/>
      <c r="S62" s="23"/>
      <c r="T62" s="24"/>
      <c r="U62" s="24"/>
      <c r="V62" s="24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</row>
    <row r="63" spans="2:43" s="26" customFormat="1" x14ac:dyDescent="0.25">
      <c r="B63" s="27"/>
      <c r="C63" s="225" t="s">
        <v>456</v>
      </c>
      <c r="D63" s="459"/>
      <c r="E63" s="460">
        <f>+F63+G63</f>
        <v>507.47</v>
      </c>
      <c r="F63" s="389">
        <v>319.97000000000003</v>
      </c>
      <c r="G63" s="390">
        <f>+Materiales!E38</f>
        <v>187.5</v>
      </c>
      <c r="Q63" s="24"/>
      <c r="R63" s="24"/>
      <c r="S63" s="23"/>
      <c r="T63" s="24"/>
      <c r="U63" s="24"/>
      <c r="V63" s="24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</row>
    <row r="64" spans="2:43" ht="15.75" thickBot="1" x14ac:dyDescent="0.3">
      <c r="C64" s="226" t="s">
        <v>303</v>
      </c>
      <c r="D64" s="248"/>
      <c r="E64" s="433">
        <f>F64+G64</f>
        <v>408.07</v>
      </c>
      <c r="F64" s="240">
        <v>288.07</v>
      </c>
      <c r="G64" s="242">
        <f>Materiales!E36</f>
        <v>120</v>
      </c>
      <c r="H64" s="51"/>
      <c r="I64" s="51"/>
      <c r="J64" s="26">
        <v>239</v>
      </c>
      <c r="K64" s="51"/>
      <c r="L64" s="51"/>
      <c r="M64" s="51"/>
      <c r="N64" s="51"/>
      <c r="O64" s="51"/>
      <c r="P64" s="51"/>
    </row>
    <row r="65" spans="2:23" s="27" customFormat="1" x14ac:dyDescent="0.25">
      <c r="C65" s="1198"/>
      <c r="D65" s="1198"/>
      <c r="E65" s="40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T65" s="26"/>
      <c r="U65" s="26"/>
      <c r="V65" s="26"/>
      <c r="W65" s="26"/>
    </row>
    <row r="67" spans="2:23" x14ac:dyDescent="0.25">
      <c r="B67" s="1194" t="s">
        <v>86</v>
      </c>
      <c r="C67" s="1194"/>
      <c r="D67" s="1194"/>
      <c r="E67" s="1194"/>
      <c r="F67" s="1194"/>
      <c r="G67" s="1194"/>
      <c r="H67" s="1194"/>
      <c r="I67" s="1194"/>
      <c r="J67" s="234"/>
      <c r="K67" s="234"/>
      <c r="L67" s="234"/>
    </row>
    <row r="68" spans="2:23" x14ac:dyDescent="0.25">
      <c r="C68"/>
      <c r="F68" s="40"/>
    </row>
    <row r="69" spans="2:23" x14ac:dyDescent="0.25">
      <c r="C69"/>
      <c r="F69" s="55"/>
    </row>
    <row r="70" spans="2:23" x14ac:dyDescent="0.25">
      <c r="C70"/>
    </row>
    <row r="71" spans="2:23" x14ac:dyDescent="0.25">
      <c r="C71"/>
    </row>
    <row r="72" spans="2:23" x14ac:dyDescent="0.25">
      <c r="C72" s="1"/>
    </row>
  </sheetData>
  <mergeCells count="16">
    <mergeCell ref="B67:I67"/>
    <mergeCell ref="B2:H2"/>
    <mergeCell ref="C65:D65"/>
    <mergeCell ref="N39:P39"/>
    <mergeCell ref="N47:O47"/>
    <mergeCell ref="C58:D58"/>
    <mergeCell ref="C39:G39"/>
    <mergeCell ref="C57:G57"/>
    <mergeCell ref="C11:D11"/>
    <mergeCell ref="C5:D5"/>
    <mergeCell ref="C6:D6"/>
    <mergeCell ref="C4:D4"/>
    <mergeCell ref="C17:D17"/>
    <mergeCell ref="C27:D27"/>
    <mergeCell ref="C26:D26"/>
    <mergeCell ref="C16:D16"/>
  </mergeCells>
  <pageMargins left="0.62992125984251968" right="0.74803149606299213" top="0.5" bottom="0.74803149606299213" header="0.31496062992125984" footer="0.15"/>
  <pageSetup paperSize="9" scale="85" orientation="portrait" horizontalDpi="4294967293" r:id="rId1"/>
  <rowBreaks count="1" manualBreakCount="1">
    <brk id="64" min="1" max="7" man="1"/>
  </rowBreaks>
  <colBreaks count="1" manualBreakCount="1">
    <brk id="9" max="92" man="1"/>
  </colBreaks>
  <ignoredErrors>
    <ignoredError sqref="G46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Q85"/>
  <sheetViews>
    <sheetView view="pageBreakPreview" topLeftCell="A46" zoomScaleNormal="100" zoomScaleSheetLayoutView="100" workbookViewId="0">
      <selection activeCell="E63" sqref="E63"/>
    </sheetView>
  </sheetViews>
  <sheetFormatPr baseColWidth="10" defaultRowHeight="15" x14ac:dyDescent="0.25"/>
  <cols>
    <col min="1" max="1" width="11.42578125" style="317" customWidth="1"/>
    <col min="2" max="2" width="4.85546875" style="317" customWidth="1"/>
    <col min="3" max="3" width="31" style="317" customWidth="1"/>
    <col min="4" max="4" width="9.28515625" style="318" customWidth="1"/>
    <col min="5" max="5" width="16.7109375" style="318" customWidth="1"/>
    <col min="6" max="6" width="15.7109375" style="318" customWidth="1"/>
    <col min="7" max="7" width="15.140625" style="317" customWidth="1"/>
    <col min="8" max="8" width="9.28515625" style="318" customWidth="1"/>
    <col min="9" max="9" width="6.28515625" style="318" customWidth="1"/>
    <col min="10" max="10" width="11.7109375" style="318" customWidth="1"/>
    <col min="11" max="11" width="14.140625" style="318" customWidth="1"/>
    <col min="12" max="12" width="10.7109375" style="318" bestFit="1" customWidth="1"/>
    <col min="13" max="13" width="7.7109375" style="318" bestFit="1" customWidth="1"/>
    <col min="14" max="14" width="6.140625" style="318" customWidth="1"/>
    <col min="15" max="15" width="13.85546875" style="317" customWidth="1"/>
    <col min="16" max="16" width="11" style="318" customWidth="1"/>
    <col min="17" max="17" width="4.140625" style="318" customWidth="1"/>
    <col min="18" max="18" width="15.7109375" style="318" customWidth="1"/>
    <col min="19" max="19" width="12.5703125" style="317" customWidth="1"/>
    <col min="20" max="20" width="2" customWidth="1"/>
    <col min="21" max="21" width="16.140625" customWidth="1"/>
  </cols>
  <sheetData>
    <row r="1" spans="1:43" ht="15.75" thickBot="1" x14ac:dyDescent="0.3">
      <c r="L1" s="319"/>
    </row>
    <row r="2" spans="1:43" s="43" customFormat="1" ht="15.75" thickBot="1" x14ac:dyDescent="0.3">
      <c r="B2" s="1195" t="s">
        <v>386</v>
      </c>
      <c r="C2" s="1196"/>
      <c r="D2" s="1196"/>
      <c r="E2" s="1196"/>
      <c r="F2" s="1196"/>
      <c r="G2" s="1196"/>
      <c r="H2" s="1197"/>
      <c r="I2" s="234"/>
      <c r="J2" s="24"/>
      <c r="K2" s="25"/>
      <c r="L2" s="24"/>
      <c r="M2" s="24"/>
      <c r="N2" s="24"/>
      <c r="O2" s="24"/>
      <c r="P2" s="24"/>
      <c r="Q2" s="24"/>
      <c r="R2" s="24"/>
      <c r="S2" s="23"/>
      <c r="T2" s="24"/>
      <c r="U2" s="24"/>
      <c r="V2" s="24"/>
      <c r="W2" s="26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7"/>
      <c r="AP2" s="27"/>
      <c r="AQ2" s="27"/>
    </row>
    <row r="3" spans="1:43" s="43" customFormat="1" x14ac:dyDescent="0.25">
      <c r="B3" s="228"/>
      <c r="C3" s="228"/>
      <c r="D3" s="228"/>
      <c r="E3" s="228"/>
      <c r="F3" s="228"/>
      <c r="G3" s="228"/>
      <c r="H3" s="228"/>
      <c r="I3" s="234"/>
      <c r="J3" s="24"/>
      <c r="K3" s="25"/>
      <c r="L3" s="24"/>
      <c r="M3" s="24"/>
      <c r="N3" s="24"/>
      <c r="O3" s="24"/>
      <c r="P3" s="24"/>
      <c r="Q3" s="24"/>
      <c r="R3" s="24"/>
      <c r="S3" s="23"/>
      <c r="T3" s="24"/>
      <c r="U3" s="24"/>
      <c r="V3" s="24"/>
      <c r="W3" s="26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</row>
    <row r="4" spans="1:43" x14ac:dyDescent="0.25">
      <c r="C4" s="1207" t="s">
        <v>88</v>
      </c>
      <c r="D4" s="1208"/>
      <c r="E4" s="215" t="s">
        <v>85</v>
      </c>
      <c r="F4" s="312"/>
      <c r="G4" s="129" t="s">
        <v>345</v>
      </c>
      <c r="H4" s="335">
        <f>Materiales!G73</f>
        <v>3.8</v>
      </c>
      <c r="I4" s="312"/>
      <c r="J4" s="312"/>
      <c r="K4" s="312"/>
      <c r="L4" s="331"/>
      <c r="M4" s="312"/>
    </row>
    <row r="5" spans="1:43" ht="14.25" x14ac:dyDescent="0.2">
      <c r="A5" s="320"/>
      <c r="B5" s="320"/>
      <c r="C5" s="1206" t="str">
        <f>+Materiales!D79</f>
        <v>Plancha LAF 2.0mm 1200x2400mm.</v>
      </c>
      <c r="D5" s="1206"/>
      <c r="E5" s="332">
        <f>+Materiales!G79</f>
        <v>152.91200000000001</v>
      </c>
      <c r="F5" s="312"/>
      <c r="G5" s="312"/>
      <c r="H5" s="312"/>
      <c r="I5" s="312"/>
      <c r="J5" s="312"/>
      <c r="K5" s="312"/>
      <c r="L5" s="312"/>
      <c r="M5" s="312"/>
      <c r="N5" s="321"/>
      <c r="O5" s="320"/>
      <c r="P5" s="320"/>
      <c r="Q5" s="320"/>
      <c r="R5" s="320"/>
      <c r="S5" s="321"/>
      <c r="T5" s="321"/>
      <c r="U5" s="321"/>
      <c r="V5" s="321"/>
      <c r="W5" s="320"/>
      <c r="X5" s="320"/>
    </row>
    <row r="6" spans="1:43" ht="6.75" customHeight="1" x14ac:dyDescent="0.2">
      <c r="A6" s="320"/>
      <c r="B6" s="320"/>
      <c r="C6" s="62"/>
      <c r="D6" s="312"/>
      <c r="E6" s="312"/>
      <c r="F6" s="312"/>
      <c r="G6" s="312"/>
      <c r="H6" s="312"/>
      <c r="I6" s="312"/>
      <c r="J6" s="312"/>
      <c r="K6" s="312"/>
      <c r="L6" s="312"/>
      <c r="M6" s="312"/>
      <c r="N6" s="321"/>
      <c r="O6" s="320"/>
      <c r="P6" s="320"/>
      <c r="Q6" s="320"/>
      <c r="R6" s="320"/>
      <c r="S6" s="321"/>
      <c r="T6" s="321"/>
      <c r="U6" s="321"/>
      <c r="V6" s="321"/>
      <c r="W6" s="320"/>
      <c r="X6" s="320"/>
    </row>
    <row r="7" spans="1:43" ht="14.25" x14ac:dyDescent="0.2">
      <c r="A7" s="320"/>
      <c r="B7" s="320"/>
      <c r="C7" s="311" t="s">
        <v>317</v>
      </c>
      <c r="D7" s="286"/>
      <c r="E7" s="265" t="s">
        <v>300</v>
      </c>
      <c r="F7" s="312"/>
      <c r="G7" s="312"/>
      <c r="H7" s="312"/>
      <c r="I7" s="312"/>
      <c r="J7" s="312"/>
      <c r="K7" s="312"/>
      <c r="L7" s="312"/>
      <c r="M7" s="312"/>
      <c r="N7" s="321"/>
      <c r="O7" s="320"/>
      <c r="P7" s="320"/>
      <c r="Q7" s="320"/>
      <c r="R7" s="320"/>
      <c r="S7" s="321"/>
      <c r="T7" s="321"/>
      <c r="U7" s="321"/>
      <c r="V7" s="321"/>
      <c r="W7" s="320"/>
      <c r="X7" s="320"/>
    </row>
    <row r="8" spans="1:43" ht="14.25" x14ac:dyDescent="0.2">
      <c r="A8" s="320"/>
      <c r="B8" s="320"/>
      <c r="C8" s="311" t="s">
        <v>301</v>
      </c>
      <c r="D8" s="286"/>
      <c r="E8" s="333">
        <f>1.2*2.4</f>
        <v>2.88</v>
      </c>
      <c r="F8" s="312"/>
      <c r="G8" s="312"/>
      <c r="H8" s="312"/>
      <c r="I8" s="312"/>
      <c r="J8" s="312"/>
      <c r="K8" s="312"/>
      <c r="L8" s="312"/>
      <c r="M8" s="312"/>
      <c r="N8" s="321"/>
      <c r="O8" s="320"/>
      <c r="P8" s="320"/>
      <c r="Q8" s="320"/>
      <c r="R8" s="320"/>
      <c r="S8" s="321"/>
      <c r="T8" s="321"/>
      <c r="U8" s="321"/>
      <c r="V8" s="321"/>
      <c r="W8" s="320"/>
      <c r="X8" s="320"/>
    </row>
    <row r="9" spans="1:43" ht="6" customHeight="1" x14ac:dyDescent="0.25">
      <c r="A9" s="320"/>
      <c r="B9" s="320"/>
      <c r="C9" s="62"/>
      <c r="D9" s="312"/>
      <c r="E9" s="312"/>
      <c r="F9" s="1215"/>
      <c r="G9" s="1215"/>
      <c r="H9" s="312"/>
      <c r="I9" s="312"/>
      <c r="J9" s="312"/>
      <c r="K9" s="312"/>
      <c r="L9" s="312"/>
      <c r="M9" s="312"/>
      <c r="N9" s="321"/>
      <c r="O9" s="320"/>
      <c r="P9" s="320"/>
      <c r="Q9" s="320"/>
      <c r="R9" s="320"/>
      <c r="T9" s="321"/>
      <c r="U9" s="321"/>
      <c r="V9" s="321"/>
      <c r="W9" s="320"/>
      <c r="X9" s="320"/>
    </row>
    <row r="10" spans="1:43" ht="14.25" x14ac:dyDescent="0.2">
      <c r="A10" s="320"/>
      <c r="B10" s="320"/>
      <c r="C10" s="1216" t="s">
        <v>299</v>
      </c>
      <c r="D10" s="1216"/>
      <c r="E10" s="334"/>
      <c r="F10" s="334"/>
      <c r="G10" s="312"/>
      <c r="H10" s="312"/>
      <c r="I10" s="312"/>
      <c r="J10" s="312"/>
      <c r="K10" s="312"/>
      <c r="L10" s="312"/>
      <c r="M10" s="312"/>
      <c r="N10" s="321"/>
      <c r="O10" s="320"/>
      <c r="P10" s="320"/>
      <c r="Q10" s="320"/>
      <c r="R10" s="320"/>
      <c r="S10" s="321"/>
      <c r="T10" s="321"/>
      <c r="U10" s="321"/>
      <c r="V10" s="321"/>
      <c r="W10" s="320"/>
      <c r="X10" s="320"/>
    </row>
    <row r="11" spans="1:43" ht="14.25" x14ac:dyDescent="0.2">
      <c r="A11" s="320"/>
      <c r="B11" s="320"/>
      <c r="C11" s="378" t="s">
        <v>30</v>
      </c>
      <c r="D11" s="335">
        <v>550</v>
      </c>
      <c r="E11" s="312"/>
      <c r="F11" s="312"/>
      <c r="G11" s="62"/>
      <c r="H11" s="312"/>
      <c r="I11" s="312"/>
      <c r="J11" s="312"/>
      <c r="K11" s="312"/>
      <c r="L11" s="62"/>
      <c r="M11" s="62"/>
      <c r="N11" s="1220"/>
      <c r="O11" s="1220"/>
      <c r="P11" s="1220"/>
      <c r="Q11" s="320"/>
      <c r="R11" s="320"/>
      <c r="S11" s="321"/>
      <c r="T11" s="321"/>
      <c r="U11" s="321"/>
      <c r="V11" s="321"/>
      <c r="W11" s="320"/>
      <c r="X11" s="320"/>
    </row>
    <row r="12" spans="1:43" ht="14.25" x14ac:dyDescent="0.2">
      <c r="A12" s="320"/>
      <c r="B12" s="320"/>
      <c r="C12" s="378" t="s">
        <v>31</v>
      </c>
      <c r="D12" s="335">
        <v>450</v>
      </c>
      <c r="E12" s="312"/>
      <c r="F12" s="312"/>
      <c r="G12" s="62"/>
      <c r="H12" s="312"/>
      <c r="I12" s="312"/>
      <c r="J12" s="312"/>
      <c r="K12" s="312"/>
      <c r="L12" s="312"/>
      <c r="M12" s="312"/>
      <c r="N12" s="322"/>
      <c r="O12" s="322"/>
      <c r="P12" s="322"/>
      <c r="Q12" s="320"/>
      <c r="R12" s="320"/>
      <c r="S12" s="330"/>
      <c r="T12" s="321"/>
      <c r="U12" s="321"/>
      <c r="V12" s="330"/>
      <c r="W12" s="320"/>
      <c r="X12" s="320"/>
    </row>
    <row r="13" spans="1:43" ht="14.25" x14ac:dyDescent="0.2">
      <c r="A13" s="320"/>
      <c r="B13" s="320"/>
      <c r="C13" s="378" t="s">
        <v>37</v>
      </c>
      <c r="D13" s="335">
        <v>150</v>
      </c>
      <c r="E13" s="312"/>
      <c r="F13" s="312"/>
      <c r="G13" s="62"/>
      <c r="H13" s="312"/>
      <c r="I13" s="312"/>
      <c r="J13" s="312"/>
      <c r="K13" s="312"/>
      <c r="L13" s="312"/>
      <c r="M13" s="312"/>
      <c r="N13" s="321"/>
      <c r="O13" s="321"/>
      <c r="P13" s="323"/>
      <c r="Q13" s="320"/>
      <c r="R13" s="320"/>
      <c r="S13" s="330"/>
      <c r="T13" s="321"/>
      <c r="U13" s="321"/>
      <c r="V13" s="330"/>
      <c r="W13" s="320"/>
      <c r="X13" s="320"/>
    </row>
    <row r="14" spans="1:43" ht="14.25" x14ac:dyDescent="0.2">
      <c r="A14" s="320"/>
      <c r="B14" s="320"/>
      <c r="C14" s="1221"/>
      <c r="D14" s="1221"/>
      <c r="E14" s="1221"/>
      <c r="F14" s="312"/>
      <c r="G14" s="62"/>
      <c r="H14" s="312"/>
      <c r="I14" s="312"/>
      <c r="J14" s="312"/>
      <c r="K14" s="312"/>
      <c r="L14" s="312"/>
      <c r="M14" s="312"/>
      <c r="N14" s="321"/>
      <c r="O14" s="321"/>
      <c r="P14" s="321"/>
      <c r="Q14" s="320"/>
      <c r="R14" s="320"/>
      <c r="S14" s="321"/>
      <c r="T14" s="321"/>
      <c r="U14" s="321"/>
      <c r="V14" s="321"/>
      <c r="W14" s="320"/>
      <c r="X14" s="320"/>
    </row>
    <row r="15" spans="1:43" x14ac:dyDescent="0.25">
      <c r="A15" s="320"/>
      <c r="B15" s="320"/>
      <c r="C15" s="1213" t="s">
        <v>403</v>
      </c>
      <c r="D15" s="1214"/>
      <c r="E15" s="1222" t="str">
        <f>C5</f>
        <v>Plancha LAF 2.0mm 1200x2400mm.</v>
      </c>
      <c r="F15" s="1223"/>
      <c r="M15" s="312"/>
      <c r="N15" s="323"/>
      <c r="O15" s="321"/>
      <c r="P15" s="323"/>
      <c r="Q15" s="320"/>
      <c r="R15" s="320"/>
      <c r="S15" s="321"/>
      <c r="T15" s="321"/>
      <c r="U15" s="321"/>
      <c r="V15" s="321"/>
      <c r="W15" s="320"/>
      <c r="X15" s="320"/>
    </row>
    <row r="16" spans="1:43" x14ac:dyDescent="0.25">
      <c r="A16" s="320"/>
      <c r="B16" s="320"/>
      <c r="C16" s="1209" t="s">
        <v>88</v>
      </c>
      <c r="D16" s="1210"/>
      <c r="E16" s="272" t="s">
        <v>298</v>
      </c>
      <c r="F16" s="272" t="s">
        <v>297</v>
      </c>
      <c r="M16" s="312"/>
      <c r="N16" s="323"/>
      <c r="O16" s="321"/>
      <c r="P16" s="323"/>
      <c r="Q16" s="320"/>
      <c r="R16" s="320"/>
      <c r="S16" s="321"/>
      <c r="T16" s="321"/>
      <c r="U16" s="321"/>
      <c r="V16" s="321"/>
      <c r="W16" s="320"/>
      <c r="X16" s="320"/>
    </row>
    <row r="17" spans="1:24" x14ac:dyDescent="0.25">
      <c r="A17" s="320"/>
      <c r="B17" s="320"/>
      <c r="C17" s="129" t="s">
        <v>402</v>
      </c>
      <c r="D17" s="395"/>
      <c r="E17" s="392" t="s">
        <v>39</v>
      </c>
      <c r="F17" s="332">
        <f>+D11/1000*((D12-3)/1000+(D13-3)/1000*2+(30+12+8)/1000*2)</f>
        <v>0.46255000000000002</v>
      </c>
      <c r="J17" s="1217" t="s">
        <v>346</v>
      </c>
      <c r="K17" s="1218"/>
      <c r="L17" s="1218"/>
      <c r="M17" s="1218"/>
      <c r="N17" s="1219"/>
      <c r="O17" s="312"/>
      <c r="P17" s="324"/>
      <c r="Q17" s="320"/>
      <c r="R17" s="320"/>
      <c r="S17" s="321"/>
      <c r="T17" s="321"/>
      <c r="U17" s="321"/>
      <c r="V17" s="321"/>
      <c r="W17" s="320"/>
      <c r="X17" s="320"/>
    </row>
    <row r="18" spans="1:24" x14ac:dyDescent="0.25">
      <c r="A18" s="320"/>
      <c r="B18" s="320"/>
      <c r="C18" s="393" t="s">
        <v>354</v>
      </c>
      <c r="D18" s="394"/>
      <c r="E18" s="392" t="s">
        <v>39</v>
      </c>
      <c r="F18" s="332">
        <f>+((D12-6+15+15)/1000*(D13-5+30+12+8+15)/1000)</f>
        <v>9.953999999999999E-2</v>
      </c>
      <c r="J18" s="337" t="s">
        <v>32</v>
      </c>
      <c r="K18" s="338" t="s">
        <v>33</v>
      </c>
      <c r="L18" s="339" t="s">
        <v>347</v>
      </c>
      <c r="M18" s="338" t="s">
        <v>34</v>
      </c>
      <c r="N18" s="340" t="s">
        <v>35</v>
      </c>
      <c r="O18" s="312"/>
      <c r="Q18" s="320"/>
      <c r="R18" s="320"/>
      <c r="S18" s="321"/>
      <c r="T18" s="321"/>
      <c r="U18" s="321"/>
      <c r="V18" s="321"/>
      <c r="W18" s="320"/>
      <c r="X18" s="320"/>
    </row>
    <row r="19" spans="1:24" x14ac:dyDescent="0.25">
      <c r="A19" s="320"/>
      <c r="B19" s="320"/>
      <c r="C19" s="129" t="s">
        <v>40</v>
      </c>
      <c r="D19" s="395"/>
      <c r="E19" s="392" t="s">
        <v>39</v>
      </c>
      <c r="F19" s="332">
        <f>+F18</f>
        <v>9.953999999999999E-2</v>
      </c>
      <c r="J19" s="341" t="s">
        <v>348</v>
      </c>
      <c r="K19" s="335">
        <v>1</v>
      </c>
      <c r="L19" s="335" t="s">
        <v>347</v>
      </c>
      <c r="M19" s="342">
        <v>1.2</v>
      </c>
      <c r="N19" s="343">
        <f t="shared" ref="N19:N27" si="0">+M19*K19</f>
        <v>1.2</v>
      </c>
      <c r="O19" s="312"/>
      <c r="Q19" s="320"/>
      <c r="R19" s="320"/>
      <c r="S19" s="321"/>
      <c r="T19" s="321"/>
      <c r="U19" s="321"/>
      <c r="V19" s="321"/>
      <c r="W19" s="320"/>
      <c r="X19" s="320"/>
    </row>
    <row r="20" spans="1:24" ht="15.75" customHeight="1" x14ac:dyDescent="0.25">
      <c r="A20" s="320"/>
      <c r="B20" s="320"/>
      <c r="C20" s="130" t="s">
        <v>41</v>
      </c>
      <c r="D20" s="394"/>
      <c r="E20" s="392" t="s">
        <v>39</v>
      </c>
      <c r="F20" s="332">
        <f>+(D12-8+12+12)/1000*(D11-8+12+12)/1000</f>
        <v>0.26375600000000005</v>
      </c>
      <c r="J20" s="344" t="s">
        <v>349</v>
      </c>
      <c r="K20" s="335">
        <v>2</v>
      </c>
      <c r="L20" s="335" t="s">
        <v>347</v>
      </c>
      <c r="M20" s="343">
        <v>0.25</v>
      </c>
      <c r="N20" s="343">
        <f t="shared" si="0"/>
        <v>0.5</v>
      </c>
      <c r="O20" s="312"/>
      <c r="Q20" s="320"/>
      <c r="R20" s="320"/>
      <c r="S20" s="321"/>
      <c r="T20" s="321"/>
      <c r="U20" s="321"/>
      <c r="V20" s="321"/>
      <c r="W20" s="320"/>
      <c r="X20" s="320"/>
    </row>
    <row r="21" spans="1:24" x14ac:dyDescent="0.25">
      <c r="A21" s="320"/>
      <c r="B21" s="320"/>
      <c r="C21" s="129" t="s">
        <v>42</v>
      </c>
      <c r="D21" s="395"/>
      <c r="E21" s="392" t="s">
        <v>39</v>
      </c>
      <c r="F21" s="332">
        <f>+(D11-75+15+15)/1000*(D12-75+15+15)/1000</f>
        <v>0.20452500000000001</v>
      </c>
      <c r="J21" s="345" t="s">
        <v>350</v>
      </c>
      <c r="K21" s="335">
        <v>1</v>
      </c>
      <c r="L21" s="335" t="s">
        <v>17</v>
      </c>
      <c r="M21" s="343">
        <v>10</v>
      </c>
      <c r="N21" s="343">
        <f t="shared" si="0"/>
        <v>10</v>
      </c>
      <c r="O21" s="312"/>
      <c r="Q21" s="320"/>
      <c r="R21" s="320"/>
      <c r="S21" s="321"/>
      <c r="T21" s="321"/>
      <c r="U21" s="321"/>
      <c r="V21" s="321"/>
      <c r="W21" s="320"/>
      <c r="X21" s="320"/>
    </row>
    <row r="22" spans="1:24" ht="15.75" thickBot="1" x14ac:dyDescent="0.3">
      <c r="A22" s="320"/>
      <c r="B22" s="320"/>
      <c r="C22" s="129" t="s">
        <v>43</v>
      </c>
      <c r="D22" s="395"/>
      <c r="E22" s="392" t="s">
        <v>39</v>
      </c>
      <c r="F22" s="332">
        <f>+F21</f>
        <v>0.20452500000000001</v>
      </c>
      <c r="J22" s="346" t="s">
        <v>351</v>
      </c>
      <c r="K22" s="347">
        <v>1</v>
      </c>
      <c r="L22" s="347" t="s">
        <v>17</v>
      </c>
      <c r="M22" s="348">
        <v>10</v>
      </c>
      <c r="N22" s="348">
        <f t="shared" si="0"/>
        <v>10</v>
      </c>
      <c r="O22" s="312"/>
      <c r="Q22" s="320"/>
      <c r="R22" s="320"/>
      <c r="S22" s="321"/>
      <c r="T22" s="321"/>
      <c r="U22" s="321"/>
      <c r="V22" s="321"/>
      <c r="W22" s="320"/>
      <c r="X22" s="320"/>
    </row>
    <row r="23" spans="1:24" x14ac:dyDescent="0.25">
      <c r="A23" s="320"/>
      <c r="B23" s="320"/>
      <c r="C23" s="397"/>
      <c r="D23" s="394"/>
      <c r="E23" s="392" t="s">
        <v>77</v>
      </c>
      <c r="F23" s="332">
        <f>SUM(F17:F22)</f>
        <v>1.3344360000000002</v>
      </c>
      <c r="J23" s="349" t="s">
        <v>352</v>
      </c>
      <c r="K23" s="350">
        <v>1</v>
      </c>
      <c r="L23" s="350" t="s">
        <v>17</v>
      </c>
      <c r="M23" s="351">
        <f>(S12+S13)*2</f>
        <v>0</v>
      </c>
      <c r="N23" s="352">
        <f t="shared" si="0"/>
        <v>0</v>
      </c>
      <c r="O23" s="353">
        <f>SUM(N23:N26)</f>
        <v>0</v>
      </c>
      <c r="Q23" s="320"/>
      <c r="R23" s="320"/>
      <c r="S23" s="321"/>
      <c r="T23" s="321"/>
      <c r="U23" s="321"/>
      <c r="V23" s="321"/>
      <c r="W23" s="320"/>
      <c r="X23" s="320"/>
    </row>
    <row r="24" spans="1:24" x14ac:dyDescent="0.25">
      <c r="A24" s="320"/>
      <c r="B24" s="320"/>
      <c r="C24" s="62"/>
      <c r="D24" s="396"/>
      <c r="E24" s="335" t="s">
        <v>323</v>
      </c>
      <c r="F24" s="398">
        <f>+(F23/E8)</f>
        <v>0.4633458333333334</v>
      </c>
      <c r="J24" s="354" t="s">
        <v>355</v>
      </c>
      <c r="K24" s="335">
        <v>1</v>
      </c>
      <c r="L24" s="335" t="s">
        <v>17</v>
      </c>
      <c r="M24" s="343">
        <f>(S12+S13)*2.5</f>
        <v>0</v>
      </c>
      <c r="N24" s="355">
        <f t="shared" si="0"/>
        <v>0</v>
      </c>
      <c r="O24" s="356"/>
      <c r="P24" s="323"/>
      <c r="Q24" s="320"/>
      <c r="R24" s="320"/>
      <c r="S24" s="321"/>
      <c r="T24" s="321"/>
      <c r="U24" s="321"/>
      <c r="V24" s="321"/>
      <c r="W24" s="320"/>
      <c r="X24" s="320"/>
    </row>
    <row r="25" spans="1:24" x14ac:dyDescent="0.25">
      <c r="A25" s="320"/>
      <c r="B25" s="320"/>
      <c r="C25" s="62"/>
      <c r="E25" s="362" t="s">
        <v>326</v>
      </c>
      <c r="F25" s="58">
        <f>+F24*E5</f>
        <v>70.851138066666678</v>
      </c>
      <c r="J25" s="354" t="s">
        <v>356</v>
      </c>
      <c r="K25" s="335">
        <v>1</v>
      </c>
      <c r="L25" s="335" t="s">
        <v>17</v>
      </c>
      <c r="M25" s="343">
        <f>(S12+S13)*2.5</f>
        <v>0</v>
      </c>
      <c r="N25" s="355">
        <f t="shared" si="0"/>
        <v>0</v>
      </c>
      <c r="O25" s="356"/>
      <c r="P25" s="323"/>
      <c r="Q25" s="320"/>
      <c r="R25" s="320"/>
      <c r="S25" s="321"/>
      <c r="T25" s="321"/>
      <c r="U25" s="321"/>
      <c r="V25" s="321"/>
      <c r="W25" s="320"/>
      <c r="X25" s="320"/>
    </row>
    <row r="26" spans="1:24" ht="15.75" thickBot="1" x14ac:dyDescent="0.3">
      <c r="A26" s="320"/>
      <c r="B26" s="320"/>
      <c r="C26" s="62"/>
      <c r="E26" s="33" t="s">
        <v>101</v>
      </c>
      <c r="F26" s="61">
        <f>F25*0.3</f>
        <v>21.255341420000004</v>
      </c>
      <c r="J26" s="357" t="s">
        <v>357</v>
      </c>
      <c r="K26" s="358">
        <v>1</v>
      </c>
      <c r="L26" s="358" t="s">
        <v>17</v>
      </c>
      <c r="M26" s="359">
        <f>(S12+S13)*3</f>
        <v>0</v>
      </c>
      <c r="N26" s="360">
        <f t="shared" si="0"/>
        <v>0</v>
      </c>
      <c r="O26" s="361"/>
      <c r="P26" s="323"/>
      <c r="Q26" s="320"/>
      <c r="R26" s="320"/>
      <c r="S26" s="321"/>
      <c r="T26" s="321"/>
      <c r="U26" s="321"/>
      <c r="V26" s="321"/>
      <c r="W26" s="320"/>
      <c r="X26" s="320"/>
    </row>
    <row r="27" spans="1:24" x14ac:dyDescent="0.25">
      <c r="A27" s="320"/>
      <c r="B27" s="320"/>
      <c r="C27" s="62"/>
      <c r="E27" s="59" t="s">
        <v>327</v>
      </c>
      <c r="F27" s="60">
        <f>F25+F26</f>
        <v>92.106479486666686</v>
      </c>
      <c r="J27" s="363" t="s">
        <v>358</v>
      </c>
      <c r="K27" s="364">
        <v>4</v>
      </c>
      <c r="L27" s="364" t="s">
        <v>347</v>
      </c>
      <c r="M27" s="365">
        <v>5</v>
      </c>
      <c r="N27" s="365">
        <f t="shared" si="0"/>
        <v>20</v>
      </c>
      <c r="O27" s="312"/>
      <c r="Q27" s="320"/>
      <c r="R27" s="320"/>
      <c r="S27" s="321"/>
      <c r="T27" s="321"/>
      <c r="U27" s="321"/>
      <c r="V27" s="321"/>
      <c r="W27" s="320"/>
      <c r="X27" s="320"/>
    </row>
    <row r="28" spans="1:24" x14ac:dyDescent="0.25">
      <c r="A28" s="320"/>
      <c r="B28" s="320"/>
      <c r="C28" s="62"/>
      <c r="F28" s="339"/>
      <c r="J28" s="345" t="s">
        <v>359</v>
      </c>
      <c r="L28" s="335" t="s">
        <v>44</v>
      </c>
      <c r="M28" s="343">
        <v>3</v>
      </c>
      <c r="N28" s="343">
        <f>+M28*D37</f>
        <v>6</v>
      </c>
      <c r="O28" s="312"/>
      <c r="P28" s="324"/>
      <c r="Q28" s="325"/>
      <c r="R28" s="320"/>
      <c r="S28" s="321"/>
      <c r="T28" s="321"/>
      <c r="U28" s="321"/>
      <c r="V28" s="321"/>
      <c r="W28" s="320"/>
      <c r="X28" s="320"/>
    </row>
    <row r="29" spans="1:24" x14ac:dyDescent="0.25">
      <c r="A29" s="320"/>
      <c r="B29" s="320"/>
      <c r="C29" s="62"/>
      <c r="D29" s="312"/>
      <c r="E29" s="312"/>
      <c r="F29" s="366"/>
      <c r="J29" s="345" t="s">
        <v>360</v>
      </c>
      <c r="K29" s="335">
        <v>4</v>
      </c>
      <c r="L29" s="335" t="s">
        <v>347</v>
      </c>
      <c r="M29" s="343">
        <v>8</v>
      </c>
      <c r="N29" s="343">
        <f>+M29*K29</f>
        <v>32</v>
      </c>
      <c r="O29" s="312"/>
      <c r="P29" s="324"/>
      <c r="Q29" s="320"/>
      <c r="R29" s="320"/>
      <c r="S29" s="321"/>
      <c r="T29" s="321"/>
      <c r="U29" s="321"/>
      <c r="V29" s="321"/>
      <c r="W29" s="320"/>
      <c r="X29" s="320"/>
    </row>
    <row r="30" spans="1:24" ht="15.75" thickBot="1" x14ac:dyDescent="0.3">
      <c r="A30" s="320"/>
      <c r="B30" s="320"/>
      <c r="C30" s="62"/>
      <c r="D30" s="312"/>
      <c r="E30" s="312"/>
      <c r="F30" s="366"/>
      <c r="J30" s="345" t="s">
        <v>361</v>
      </c>
      <c r="K30" s="332">
        <f>+F23/5*2</f>
        <v>0.53377440000000009</v>
      </c>
      <c r="L30" s="335" t="s">
        <v>45</v>
      </c>
      <c r="M30" s="343">
        <v>18.5</v>
      </c>
      <c r="N30" s="343">
        <f>+M30*K30</f>
        <v>9.8748264000000017</v>
      </c>
      <c r="O30" s="312"/>
      <c r="P30" s="324"/>
      <c r="Q30" s="320"/>
      <c r="R30" s="320"/>
      <c r="S30" s="321"/>
      <c r="T30" s="321"/>
      <c r="U30" s="321"/>
      <c r="V30" s="321"/>
      <c r="W30" s="320"/>
      <c r="X30" s="320"/>
    </row>
    <row r="31" spans="1:24" ht="15.75" thickBot="1" x14ac:dyDescent="0.3">
      <c r="A31" s="320"/>
      <c r="B31" s="320"/>
      <c r="C31" s="1202" t="s">
        <v>316</v>
      </c>
      <c r="D31" s="1203"/>
      <c r="E31" s="1203"/>
      <c r="F31" s="1203"/>
      <c r="G31" s="1204"/>
      <c r="J31" s="345" t="s">
        <v>362</v>
      </c>
      <c r="K31" s="332">
        <v>1</v>
      </c>
      <c r="L31" s="335" t="s">
        <v>17</v>
      </c>
      <c r="M31" s="343">
        <v>10</v>
      </c>
      <c r="N31" s="343">
        <f>M31*K31</f>
        <v>10</v>
      </c>
      <c r="O31" s="312"/>
      <c r="P31" s="324"/>
      <c r="Q31" s="320"/>
      <c r="R31" s="320"/>
      <c r="S31" s="321"/>
      <c r="T31" s="321"/>
      <c r="U31" s="321"/>
      <c r="V31" s="321"/>
      <c r="W31" s="320"/>
      <c r="X31" s="320"/>
    </row>
    <row r="32" spans="1:24" thickBot="1" x14ac:dyDescent="0.25">
      <c r="A32" s="320"/>
      <c r="B32" s="320"/>
      <c r="C32" s="273" t="s">
        <v>32</v>
      </c>
      <c r="D32" s="274" t="s">
        <v>33</v>
      </c>
      <c r="E32" s="275" t="s">
        <v>315</v>
      </c>
      <c r="F32" s="274" t="s">
        <v>34</v>
      </c>
      <c r="G32" s="274" t="s">
        <v>35</v>
      </c>
      <c r="H32" s="381"/>
      <c r="I32" s="312"/>
      <c r="J32" s="345" t="s">
        <v>363</v>
      </c>
      <c r="K32" s="332">
        <v>1</v>
      </c>
      <c r="L32" s="335" t="s">
        <v>17</v>
      </c>
      <c r="M32" s="348">
        <v>10</v>
      </c>
      <c r="N32" s="359">
        <f>M32*K32</f>
        <v>10</v>
      </c>
      <c r="O32" s="312"/>
      <c r="P32" s="324"/>
      <c r="Q32" s="320"/>
      <c r="R32" s="320"/>
      <c r="S32" s="321"/>
      <c r="T32" s="321"/>
      <c r="U32" s="321"/>
      <c r="V32" s="321"/>
      <c r="W32" s="320"/>
      <c r="X32" s="320"/>
    </row>
    <row r="33" spans="1:24" ht="14.25" x14ac:dyDescent="0.2">
      <c r="A33" s="320"/>
      <c r="B33" s="320"/>
      <c r="C33" s="403" t="str">
        <f>Materiales!D83</f>
        <v>Pintura polvo m2</v>
      </c>
      <c r="D33" s="401">
        <f>(+F23)*2/5</f>
        <v>0.53377440000000009</v>
      </c>
      <c r="E33" s="404" t="s">
        <v>45</v>
      </c>
      <c r="F33" s="405">
        <f>Materiales!G83</f>
        <v>19</v>
      </c>
      <c r="G33" s="405">
        <f>+F33*D33</f>
        <v>10.141713600000001</v>
      </c>
      <c r="H33" s="381"/>
      <c r="I33" s="312"/>
      <c r="J33" s="312"/>
      <c r="K33" s="312"/>
      <c r="L33" s="312"/>
      <c r="M33" s="379" t="s">
        <v>353</v>
      </c>
      <c r="N33" s="380">
        <f>SUM(N19:N32)</f>
        <v>109.57482640000001</v>
      </c>
      <c r="O33" s="320"/>
      <c r="P33" s="324"/>
      <c r="Q33" s="320"/>
      <c r="R33" s="320"/>
      <c r="S33" s="321"/>
      <c r="T33" s="321"/>
      <c r="U33" s="321"/>
      <c r="V33" s="321"/>
      <c r="W33" s="320"/>
      <c r="X33" s="320"/>
    </row>
    <row r="34" spans="1:24" ht="14.25" x14ac:dyDescent="0.2">
      <c r="A34" s="320"/>
      <c r="B34" s="320"/>
      <c r="C34" s="237" t="str">
        <f>Materiales!D143</f>
        <v>Bisagra de 3 puntos HL011-1, Adosados</v>
      </c>
      <c r="D34" s="239">
        <v>2</v>
      </c>
      <c r="E34" s="32" t="s">
        <v>315</v>
      </c>
      <c r="F34" s="241">
        <f>Materiales!G143</f>
        <v>5</v>
      </c>
      <c r="G34" s="241">
        <f>+F34*D34</f>
        <v>10</v>
      </c>
      <c r="H34" s="381"/>
      <c r="I34" s="312"/>
      <c r="J34" s="382"/>
      <c r="K34" s="382"/>
      <c r="L34" s="312"/>
      <c r="M34" s="312"/>
      <c r="N34" s="321"/>
      <c r="O34" s="320"/>
      <c r="P34" s="324"/>
      <c r="Q34" s="320"/>
      <c r="R34" s="320"/>
      <c r="S34" s="321"/>
      <c r="T34" s="321"/>
      <c r="U34" s="321"/>
      <c r="V34" s="321"/>
      <c r="W34" s="320"/>
      <c r="X34" s="320"/>
    </row>
    <row r="35" spans="1:24" ht="14.25" x14ac:dyDescent="0.2">
      <c r="A35" s="320"/>
      <c r="B35" s="320"/>
      <c r="C35" s="237" t="str">
        <f>Materiales!D85</f>
        <v>Chapa Circular con llave metal MS705-1-1 TKL, ACSA</v>
      </c>
      <c r="D35" s="239">
        <v>1</v>
      </c>
      <c r="E35" s="32" t="s">
        <v>312</v>
      </c>
      <c r="F35" s="241">
        <f>Materiales!G85</f>
        <v>6.5</v>
      </c>
      <c r="G35" s="241">
        <f>+F35*D35</f>
        <v>6.5</v>
      </c>
      <c r="H35" s="381"/>
      <c r="I35" s="312"/>
      <c r="J35" s="367" t="s">
        <v>364</v>
      </c>
      <c r="K35" s="368">
        <f>+N33+F25+P17</f>
        <v>180.4259644666667</v>
      </c>
      <c r="L35" s="369" t="s">
        <v>9</v>
      </c>
      <c r="M35" s="370">
        <v>0.3</v>
      </c>
      <c r="N35" s="321"/>
      <c r="O35" s="320"/>
      <c r="P35" s="324"/>
      <c r="Q35" s="320"/>
      <c r="R35" s="320"/>
      <c r="S35" s="321"/>
      <c r="T35" s="321"/>
      <c r="U35" s="321"/>
      <c r="V35" s="321"/>
      <c r="W35" s="320"/>
      <c r="X35" s="320"/>
    </row>
    <row r="36" spans="1:24" ht="14.25" x14ac:dyDescent="0.2">
      <c r="A36" s="320"/>
      <c r="B36" s="320"/>
      <c r="C36" s="237" t="str">
        <f>Materiales!D140</f>
        <v>Pernos Gabinete adosado</v>
      </c>
      <c r="D36" s="239">
        <v>1</v>
      </c>
      <c r="E36" s="32" t="s">
        <v>17</v>
      </c>
      <c r="F36" s="241">
        <f>Materiales!G140*0.4</f>
        <v>8</v>
      </c>
      <c r="G36" s="241">
        <f>+F36*D36</f>
        <v>8</v>
      </c>
      <c r="H36" s="381"/>
      <c r="I36" s="312"/>
      <c r="J36" s="373" t="s">
        <v>9</v>
      </c>
      <c r="K36" s="374">
        <f>+M35*K35</f>
        <v>54.127789340000007</v>
      </c>
      <c r="L36" s="312"/>
      <c r="M36" s="312"/>
      <c r="N36" s="321"/>
      <c r="O36" s="320"/>
      <c r="P36" s="324"/>
      <c r="Q36" s="320"/>
      <c r="R36" s="320"/>
      <c r="S36" s="321"/>
      <c r="T36" s="321"/>
      <c r="U36" s="321"/>
      <c r="V36" s="321"/>
      <c r="W36" s="320"/>
      <c r="X36" s="320"/>
    </row>
    <row r="37" spans="1:24" thickBot="1" x14ac:dyDescent="0.25">
      <c r="A37" s="320"/>
      <c r="B37" s="320"/>
      <c r="C37" s="243" t="str">
        <f>Materiales!D136</f>
        <v>Frisa plana Adhesiva 1" X 5 MM</v>
      </c>
      <c r="D37" s="402">
        <f>+D11/1000*2+D12/1000*2</f>
        <v>2</v>
      </c>
      <c r="E37" s="42" t="s">
        <v>44</v>
      </c>
      <c r="F37" s="246">
        <f>Materiales!G136</f>
        <v>2.12</v>
      </c>
      <c r="G37" s="246">
        <f>F37*D37</f>
        <v>4.24</v>
      </c>
      <c r="H37" s="381"/>
      <c r="I37" s="312"/>
      <c r="J37" s="399"/>
      <c r="K37" s="400"/>
      <c r="L37" s="312"/>
      <c r="M37" s="312"/>
      <c r="N37" s="321"/>
      <c r="O37" s="320"/>
      <c r="P37" s="324"/>
      <c r="Q37" s="320"/>
      <c r="R37" s="320"/>
      <c r="S37" s="321"/>
      <c r="T37" s="321"/>
      <c r="U37" s="321"/>
      <c r="V37" s="321"/>
      <c r="W37" s="320"/>
      <c r="X37" s="320"/>
    </row>
    <row r="38" spans="1:24" thickBot="1" x14ac:dyDescent="0.25">
      <c r="A38" s="320"/>
      <c r="B38" s="320"/>
      <c r="C38" s="243" t="str">
        <f>Materiales!D138</f>
        <v>Lijas y trapo industrial</v>
      </c>
      <c r="D38" s="244">
        <v>1</v>
      </c>
      <c r="E38" s="42" t="s">
        <v>312</v>
      </c>
      <c r="F38" s="245">
        <f>Materiales!G138</f>
        <v>2.5</v>
      </c>
      <c r="G38" s="246">
        <f>+F38*D38</f>
        <v>2.5</v>
      </c>
      <c r="H38" s="381"/>
      <c r="I38" s="312"/>
      <c r="J38" s="376" t="s">
        <v>365</v>
      </c>
      <c r="K38" s="377">
        <f>+K36+K35</f>
        <v>234.55375380666669</v>
      </c>
      <c r="L38" s="312"/>
      <c r="M38" s="312"/>
      <c r="N38" s="321"/>
      <c r="O38" s="320"/>
      <c r="P38" s="324"/>
      <c r="Q38" s="320"/>
      <c r="R38" s="320"/>
      <c r="S38" s="321"/>
      <c r="T38" s="321"/>
      <c r="U38" s="321"/>
      <c r="V38" s="321"/>
      <c r="W38" s="320"/>
      <c r="X38" s="320"/>
    </row>
    <row r="39" spans="1:24" ht="14.25" x14ac:dyDescent="0.2">
      <c r="A39" s="320"/>
      <c r="B39" s="320"/>
      <c r="C39" s="237" t="str">
        <f>Materiales!D146</f>
        <v>Portaplanos adosado</v>
      </c>
      <c r="D39" s="244">
        <v>1</v>
      </c>
      <c r="E39" s="32" t="s">
        <v>17</v>
      </c>
      <c r="F39" s="241">
        <f>Materiales!G146*0.5</f>
        <v>5</v>
      </c>
      <c r="G39" s="241">
        <f>+F39*D39</f>
        <v>5</v>
      </c>
      <c r="H39" s="381"/>
      <c r="I39" s="312"/>
      <c r="J39" s="382"/>
      <c r="K39" s="382"/>
      <c r="L39" s="312"/>
      <c r="M39" s="312"/>
      <c r="N39" s="321"/>
      <c r="O39" s="320"/>
      <c r="P39" s="324"/>
      <c r="Q39" s="320"/>
      <c r="R39" s="320"/>
      <c r="S39" s="321"/>
      <c r="T39" s="321"/>
      <c r="U39" s="321"/>
      <c r="V39" s="321"/>
      <c r="W39" s="320"/>
      <c r="X39" s="320"/>
    </row>
    <row r="40" spans="1:24" ht="14.25" x14ac:dyDescent="0.2">
      <c r="A40" s="320"/>
      <c r="B40" s="320"/>
      <c r="C40" s="237" t="str">
        <f>Materiales!D149</f>
        <v>Rotulo Logo peligro pintado</v>
      </c>
      <c r="D40" s="244">
        <v>1</v>
      </c>
      <c r="E40" s="32" t="s">
        <v>312</v>
      </c>
      <c r="F40" s="241">
        <f>Materiales!G149*0.8</f>
        <v>8</v>
      </c>
      <c r="G40" s="241">
        <f>F40*D40</f>
        <v>8</v>
      </c>
      <c r="H40" s="381"/>
      <c r="I40" s="312"/>
      <c r="J40" s="382"/>
      <c r="K40" s="382"/>
      <c r="L40" s="312"/>
      <c r="M40" s="312"/>
      <c r="N40" s="321"/>
      <c r="O40" s="320"/>
      <c r="P40" s="324"/>
      <c r="Q40" s="320"/>
      <c r="R40" s="320"/>
      <c r="S40" s="321"/>
      <c r="T40" s="321"/>
      <c r="U40" s="321"/>
      <c r="V40" s="321"/>
      <c r="W40" s="320"/>
      <c r="X40" s="320"/>
    </row>
    <row r="41" spans="1:24" ht="14.25" x14ac:dyDescent="0.2">
      <c r="A41" s="320"/>
      <c r="B41" s="320"/>
      <c r="C41" s="237" t="str">
        <f>Materiales!D150</f>
        <v>Rotulo placa Nombre de tablero</v>
      </c>
      <c r="D41" s="244">
        <v>1</v>
      </c>
      <c r="E41" s="32" t="s">
        <v>17</v>
      </c>
      <c r="F41" s="241">
        <f>Materiales!G150</f>
        <v>5.5</v>
      </c>
      <c r="G41" s="241">
        <f>F41*D41</f>
        <v>5.5</v>
      </c>
      <c r="H41" s="381"/>
      <c r="I41" s="312"/>
      <c r="J41" s="382">
        <v>24</v>
      </c>
      <c r="K41" s="382"/>
      <c r="L41" s="312"/>
      <c r="M41" s="312"/>
      <c r="N41" s="321"/>
      <c r="O41" s="320"/>
      <c r="P41" s="324"/>
      <c r="Q41" s="320"/>
      <c r="R41" s="320"/>
      <c r="S41" s="321"/>
      <c r="T41" s="321"/>
      <c r="U41" s="321"/>
      <c r="V41" s="321"/>
      <c r="W41" s="320"/>
      <c r="X41" s="320"/>
    </row>
    <row r="42" spans="1:24" ht="14.25" x14ac:dyDescent="0.2">
      <c r="A42" s="320"/>
      <c r="B42" s="320"/>
      <c r="C42" s="237" t="str">
        <f>Materiales!D151</f>
        <v>Rotulo placa circuitos derivados</v>
      </c>
      <c r="D42" s="244">
        <v>12</v>
      </c>
      <c r="E42" s="32" t="s">
        <v>312</v>
      </c>
      <c r="F42" s="241">
        <f>Materiales!G151</f>
        <v>1.5</v>
      </c>
      <c r="G42" s="241">
        <f>F42*D42</f>
        <v>18</v>
      </c>
      <c r="H42" s="381"/>
      <c r="I42" s="312"/>
      <c r="J42" s="382">
        <v>12</v>
      </c>
      <c r="K42" s="382"/>
      <c r="L42" s="312"/>
      <c r="M42" s="312"/>
      <c r="N42" s="321"/>
      <c r="O42" s="320"/>
      <c r="P42" s="324"/>
      <c r="Q42" s="320"/>
      <c r="R42" s="320"/>
      <c r="S42" s="321"/>
      <c r="T42" s="321"/>
      <c r="U42" s="321"/>
      <c r="V42" s="321"/>
      <c r="W42" s="320"/>
      <c r="X42" s="320"/>
    </row>
    <row r="43" spans="1:24" ht="14.25" x14ac:dyDescent="0.2">
      <c r="A43" s="320"/>
      <c r="B43" s="320"/>
      <c r="C43" s="237" t="str">
        <f>Materiales!D153</f>
        <v>Embalaje Adosado</v>
      </c>
      <c r="D43" s="244">
        <v>1</v>
      </c>
      <c r="E43" s="32" t="s">
        <v>312</v>
      </c>
      <c r="F43" s="241">
        <f>Materiales!G153</f>
        <v>10</v>
      </c>
      <c r="G43" s="241">
        <f>F43*D43</f>
        <v>10</v>
      </c>
      <c r="H43" s="381"/>
      <c r="I43" s="312"/>
      <c r="J43" s="382"/>
      <c r="K43" s="382"/>
      <c r="L43" s="312"/>
      <c r="M43" s="312"/>
      <c r="N43" s="321"/>
      <c r="O43" s="320"/>
      <c r="P43" s="324"/>
      <c r="Q43" s="320"/>
      <c r="R43" s="320"/>
      <c r="S43" s="321"/>
      <c r="T43" s="321"/>
      <c r="U43" s="321"/>
      <c r="V43" s="321"/>
      <c r="W43" s="320"/>
      <c r="X43" s="320"/>
    </row>
    <row r="44" spans="1:24" ht="14.25" x14ac:dyDescent="0.2">
      <c r="A44" s="320"/>
      <c r="B44" s="320"/>
      <c r="C44" s="237" t="str">
        <f>Materiales!D155</f>
        <v>Dossier, hojas, micas impresiones (Adosado-Empotrado)</v>
      </c>
      <c r="D44" s="244">
        <v>1</v>
      </c>
      <c r="E44" s="389" t="s">
        <v>17</v>
      </c>
      <c r="F44" s="241">
        <f>Materiales!G155</f>
        <v>10</v>
      </c>
      <c r="G44" s="241">
        <f>F44*D44</f>
        <v>10</v>
      </c>
      <c r="H44" s="381"/>
      <c r="I44" s="312"/>
      <c r="J44" s="382"/>
      <c r="K44" s="382"/>
      <c r="L44" s="312"/>
      <c r="M44" s="312"/>
      <c r="N44" s="321"/>
      <c r="O44" s="320"/>
      <c r="P44" s="324"/>
      <c r="Q44" s="320"/>
      <c r="R44" s="320"/>
      <c r="S44" s="321"/>
      <c r="T44" s="321"/>
      <c r="U44" s="321"/>
      <c r="V44" s="321"/>
      <c r="W44" s="320"/>
      <c r="X44" s="320"/>
    </row>
    <row r="45" spans="1:24" thickBot="1" x14ac:dyDescent="0.25">
      <c r="A45" s="320"/>
      <c r="B45" s="320"/>
      <c r="C45" s="391" t="str">
        <f>Materiales!D157</f>
        <v>Desgaste de Maquinarias Adosado y empotrado</v>
      </c>
      <c r="D45" s="406">
        <v>1</v>
      </c>
      <c r="E45" s="240" t="s">
        <v>17</v>
      </c>
      <c r="F45" s="242">
        <f>Materiales!G157*0.3</f>
        <v>15</v>
      </c>
      <c r="G45" s="242">
        <f>+F45*D45</f>
        <v>15</v>
      </c>
      <c r="H45" s="381"/>
      <c r="I45" s="312"/>
      <c r="J45" s="382"/>
      <c r="K45" s="382"/>
      <c r="L45" s="312"/>
      <c r="M45" s="312"/>
      <c r="N45" s="321"/>
      <c r="O45" s="320"/>
      <c r="P45" s="324"/>
      <c r="Q45" s="320"/>
      <c r="R45" s="320"/>
      <c r="S45" s="321"/>
      <c r="T45" s="321"/>
      <c r="U45" s="321"/>
      <c r="V45" s="321"/>
      <c r="W45" s="320"/>
      <c r="X45" s="320"/>
    </row>
    <row r="46" spans="1:24" thickBot="1" x14ac:dyDescent="0.25">
      <c r="A46" s="320"/>
      <c r="B46" s="320"/>
      <c r="C46" s="24"/>
      <c r="D46" s="24"/>
      <c r="E46" s="24"/>
      <c r="F46" s="222" t="s">
        <v>83</v>
      </c>
      <c r="G46" s="259">
        <f>SUM(G33:G45)</f>
        <v>112.88171360000001</v>
      </c>
      <c r="H46" s="381"/>
      <c r="I46" s="312"/>
      <c r="J46" s="382"/>
      <c r="K46" s="382"/>
      <c r="L46" s="312"/>
      <c r="M46" s="312"/>
      <c r="N46" s="321"/>
      <c r="O46" s="320"/>
      <c r="P46" s="324"/>
      <c r="Q46" s="320"/>
      <c r="R46" s="320"/>
      <c r="S46" s="321"/>
      <c r="T46" s="321"/>
      <c r="U46" s="321"/>
      <c r="V46" s="321"/>
      <c r="W46" s="320"/>
      <c r="X46" s="320"/>
    </row>
    <row r="47" spans="1:24" ht="15.75" thickBot="1" x14ac:dyDescent="0.3">
      <c r="A47" s="320"/>
      <c r="B47" s="320"/>
      <c r="C47" s="23"/>
      <c r="D47" s="24"/>
      <c r="E47" s="24"/>
      <c r="F47" s="23"/>
      <c r="G47" s="51"/>
      <c r="L47" s="312"/>
      <c r="M47" s="312"/>
      <c r="N47" s="321"/>
      <c r="O47" s="320"/>
      <c r="P47" s="324"/>
      <c r="Q47" s="320"/>
      <c r="R47" s="320"/>
      <c r="S47" s="321"/>
      <c r="T47" s="321"/>
      <c r="U47" s="321"/>
      <c r="V47" s="321"/>
      <c r="W47" s="320"/>
      <c r="X47" s="320"/>
    </row>
    <row r="48" spans="1:24" ht="15.75" thickBot="1" x14ac:dyDescent="0.3">
      <c r="C48" s="23"/>
      <c r="D48" s="24"/>
      <c r="E48" s="24"/>
      <c r="F48" s="260" t="s">
        <v>307</v>
      </c>
      <c r="G48" s="261">
        <f>+G46+F27</f>
        <v>204.98819308666668</v>
      </c>
      <c r="L48" s="312"/>
      <c r="M48" s="312"/>
    </row>
    <row r="49" spans="3:13" ht="15.75" thickBot="1" x14ac:dyDescent="0.3">
      <c r="C49" s="62"/>
      <c r="D49" s="312"/>
      <c r="E49" s="336"/>
      <c r="F49" s="336"/>
      <c r="G49" s="312"/>
      <c r="H49" s="312"/>
      <c r="I49" s="312"/>
      <c r="J49" s="312"/>
      <c r="K49" s="312"/>
      <c r="L49" s="312"/>
      <c r="M49" s="312"/>
    </row>
    <row r="50" spans="3:13" ht="15.75" thickBot="1" x14ac:dyDescent="0.3">
      <c r="C50" s="1202" t="s">
        <v>404</v>
      </c>
      <c r="D50" s="1203"/>
      <c r="E50" s="1203"/>
      <c r="F50" s="1203"/>
      <c r="G50" s="1204"/>
      <c r="H50" s="312"/>
      <c r="I50" s="312"/>
      <c r="J50" s="312"/>
      <c r="K50" s="312"/>
      <c r="L50" s="312"/>
      <c r="M50" s="312"/>
    </row>
    <row r="51" spans="3:13" ht="15.75" thickBot="1" x14ac:dyDescent="0.3">
      <c r="C51" s="1200" t="s">
        <v>46</v>
      </c>
      <c r="D51" s="1201"/>
      <c r="E51" s="262" t="s">
        <v>85</v>
      </c>
      <c r="F51" s="263" t="s">
        <v>307</v>
      </c>
      <c r="G51" s="264" t="s">
        <v>308</v>
      </c>
      <c r="H51" s="312"/>
      <c r="I51" s="312"/>
      <c r="J51" s="312"/>
      <c r="K51" s="312"/>
      <c r="L51" s="312"/>
      <c r="M51" s="312"/>
    </row>
    <row r="52" spans="3:13" x14ac:dyDescent="0.25">
      <c r="C52" s="227" t="s">
        <v>458</v>
      </c>
      <c r="D52" s="41"/>
      <c r="E52" s="431">
        <f>F52+G52</f>
        <v>804.62</v>
      </c>
      <c r="F52" s="42">
        <v>429.62</v>
      </c>
      <c r="G52" s="246">
        <f>+Materiales!E52</f>
        <v>375</v>
      </c>
      <c r="H52" s="312"/>
      <c r="I52" s="312"/>
      <c r="J52" s="312"/>
      <c r="K52" s="312"/>
      <c r="L52" s="312"/>
      <c r="M52" s="312"/>
    </row>
    <row r="53" spans="3:13" x14ac:dyDescent="0.25">
      <c r="C53" s="227" t="s">
        <v>405</v>
      </c>
      <c r="D53" s="41"/>
      <c r="E53" s="431">
        <f>F53+G53</f>
        <v>711.49</v>
      </c>
      <c r="F53" s="42">
        <v>396.49</v>
      </c>
      <c r="G53" s="246">
        <f>Materiales!E51</f>
        <v>315</v>
      </c>
      <c r="H53" s="312"/>
      <c r="I53" s="312"/>
      <c r="J53" s="312"/>
      <c r="K53" s="312"/>
      <c r="L53" s="312"/>
      <c r="M53" s="312"/>
    </row>
    <row r="54" spans="3:13" x14ac:dyDescent="0.25">
      <c r="C54" s="708" t="s">
        <v>1026</v>
      </c>
      <c r="D54" s="41"/>
      <c r="E54" s="431">
        <f>407+90</f>
        <v>497</v>
      </c>
      <c r="F54" s="42">
        <v>324</v>
      </c>
      <c r="G54" s="246">
        <f>+Materiales!E48</f>
        <v>225</v>
      </c>
      <c r="H54" s="312"/>
      <c r="I54" s="312"/>
      <c r="J54" s="312"/>
      <c r="K54" s="312"/>
      <c r="L54" s="312"/>
      <c r="M54" s="312"/>
    </row>
    <row r="55" spans="3:13" x14ac:dyDescent="0.25">
      <c r="C55" s="225" t="s">
        <v>708</v>
      </c>
      <c r="D55" s="31"/>
      <c r="E55" s="432">
        <f>630+190</f>
        <v>820</v>
      </c>
      <c r="F55" s="32">
        <v>363.36</v>
      </c>
      <c r="G55" s="241">
        <f>Materiales!E49</f>
        <v>240</v>
      </c>
      <c r="H55" s="312"/>
      <c r="I55" s="24">
        <v>407</v>
      </c>
      <c r="J55" s="312"/>
      <c r="K55" s="312"/>
      <c r="L55" s="312"/>
      <c r="M55" s="312"/>
    </row>
    <row r="56" spans="3:13" x14ac:dyDescent="0.25">
      <c r="C56" s="225" t="s">
        <v>709</v>
      </c>
      <c r="D56" s="31"/>
      <c r="E56" s="432">
        <f>564+180</f>
        <v>744</v>
      </c>
      <c r="F56" s="32">
        <v>363.36</v>
      </c>
      <c r="G56" s="241">
        <f>Materiales!E49</f>
        <v>240</v>
      </c>
      <c r="H56" s="312"/>
      <c r="I56" s="24">
        <v>407</v>
      </c>
      <c r="J56" s="312"/>
      <c r="K56" s="312"/>
      <c r="L56" s="312"/>
      <c r="M56" s="312"/>
    </row>
    <row r="57" spans="3:13" x14ac:dyDescent="0.25">
      <c r="C57" s="225" t="s">
        <v>710</v>
      </c>
      <c r="D57" s="31"/>
      <c r="E57" s="432">
        <f>564+165</f>
        <v>729</v>
      </c>
      <c r="F57" s="32">
        <v>363.36</v>
      </c>
      <c r="G57" s="241">
        <f>Materiales!E51</f>
        <v>315</v>
      </c>
      <c r="H57" s="312"/>
      <c r="I57" s="24">
        <v>407</v>
      </c>
      <c r="J57" s="312"/>
      <c r="K57" s="312"/>
      <c r="L57" s="312"/>
      <c r="M57" s="312"/>
    </row>
    <row r="58" spans="3:13" x14ac:dyDescent="0.25">
      <c r="C58" s="225" t="s">
        <v>711</v>
      </c>
      <c r="D58" s="31"/>
      <c r="E58" s="432">
        <f>564+150</f>
        <v>714</v>
      </c>
      <c r="F58" s="32">
        <v>363.36</v>
      </c>
      <c r="G58" s="241">
        <f>Materiales!E50</f>
        <v>277.5</v>
      </c>
      <c r="H58" s="312"/>
      <c r="I58" s="24">
        <v>407</v>
      </c>
      <c r="J58" s="312"/>
      <c r="K58" s="312"/>
      <c r="L58" s="312"/>
      <c r="M58" s="312"/>
    </row>
    <row r="59" spans="3:13" x14ac:dyDescent="0.25">
      <c r="C59" s="708" t="s">
        <v>1027</v>
      </c>
      <c r="D59" s="31"/>
      <c r="E59" s="432">
        <f>315+70</f>
        <v>385</v>
      </c>
      <c r="F59" s="32">
        <v>298.01</v>
      </c>
      <c r="G59" s="241">
        <f>Materiales!E47</f>
        <v>150</v>
      </c>
      <c r="H59" s="312"/>
      <c r="I59" s="26">
        <v>315</v>
      </c>
      <c r="J59" s="312"/>
      <c r="K59" s="312"/>
      <c r="L59" s="312"/>
      <c r="M59" s="312"/>
    </row>
    <row r="60" spans="3:13" ht="15.75" thickBot="1" x14ac:dyDescent="0.3">
      <c r="C60" s="707" t="s">
        <v>1028</v>
      </c>
      <c r="D60" s="248"/>
      <c r="E60" s="433">
        <f>239+80</f>
        <v>319</v>
      </c>
      <c r="F60" s="240">
        <v>285.01</v>
      </c>
      <c r="G60" s="242">
        <f>Materiales!E46</f>
        <v>120</v>
      </c>
      <c r="H60" s="312"/>
      <c r="I60" s="26">
        <v>239</v>
      </c>
      <c r="J60" s="312"/>
      <c r="K60" s="312"/>
      <c r="L60" s="312"/>
      <c r="M60" s="312"/>
    </row>
    <row r="61" spans="3:13" ht="15.75" thickBot="1" x14ac:dyDescent="0.3">
      <c r="C61" s="1049" t="s">
        <v>1029</v>
      </c>
      <c r="D61" s="248"/>
      <c r="E61" s="433">
        <f>SUM(F61:G61)</f>
        <v>341.6</v>
      </c>
      <c r="F61" s="240">
        <v>251.6</v>
      </c>
      <c r="G61" s="242">
        <v>90</v>
      </c>
      <c r="H61" s="312"/>
      <c r="I61" s="26">
        <v>239</v>
      </c>
      <c r="J61" s="312"/>
      <c r="K61" s="312"/>
      <c r="L61" s="312"/>
      <c r="M61" s="312"/>
    </row>
    <row r="62" spans="3:13" ht="15.75" thickBot="1" x14ac:dyDescent="0.3">
      <c r="C62" s="1049" t="s">
        <v>1043</v>
      </c>
      <c r="D62" s="248"/>
      <c r="E62" s="433">
        <f>SUM(F62:G62)</f>
        <v>294.99</v>
      </c>
      <c r="F62" s="240">
        <v>204.99</v>
      </c>
      <c r="G62" s="242">
        <v>90</v>
      </c>
      <c r="H62" s="312"/>
      <c r="I62" s="26">
        <v>239</v>
      </c>
      <c r="J62" s="312"/>
      <c r="K62" s="312"/>
      <c r="L62" s="312"/>
      <c r="M62" s="312"/>
    </row>
    <row r="63" spans="3:13" ht="15.75" thickBot="1" x14ac:dyDescent="0.3">
      <c r="C63" s="226" t="s">
        <v>794</v>
      </c>
      <c r="D63" s="248"/>
      <c r="E63" s="433">
        <f>+F63+G63</f>
        <v>218.85</v>
      </c>
      <c r="F63" s="240">
        <v>158.85</v>
      </c>
      <c r="G63" s="242">
        <v>60</v>
      </c>
      <c r="H63" s="312"/>
      <c r="I63" s="26">
        <v>239</v>
      </c>
      <c r="J63" s="312"/>
      <c r="K63" s="312"/>
      <c r="L63" s="312"/>
      <c r="M63" s="312"/>
    </row>
    <row r="64" spans="3:13" ht="15.75" thickBot="1" x14ac:dyDescent="0.3">
      <c r="C64" s="1049" t="s">
        <v>1040</v>
      </c>
      <c r="D64" s="248"/>
      <c r="E64" s="433">
        <v>466.62</v>
      </c>
      <c r="F64" s="240">
        <f>258.45+143.64</f>
        <v>402.09</v>
      </c>
      <c r="G64" s="242">
        <v>95</v>
      </c>
      <c r="H64" s="312"/>
      <c r="I64" s="26">
        <v>239</v>
      </c>
      <c r="J64" s="312"/>
      <c r="K64" s="312"/>
      <c r="L64" s="312"/>
      <c r="M64" s="312"/>
    </row>
    <row r="65" spans="3:24" ht="15.75" thickBot="1" x14ac:dyDescent="0.3">
      <c r="C65" s="1049" t="s">
        <v>1038</v>
      </c>
      <c r="D65" s="248"/>
      <c r="E65" s="433">
        <f>+F65+G65</f>
        <v>447.34</v>
      </c>
      <c r="F65" s="240">
        <v>352.34</v>
      </c>
      <c r="G65" s="242">
        <v>95</v>
      </c>
      <c r="H65" s="312"/>
      <c r="I65" s="26">
        <v>239</v>
      </c>
      <c r="J65" s="312"/>
      <c r="K65" s="312"/>
      <c r="L65" s="312"/>
      <c r="M65" s="312"/>
    </row>
    <row r="66" spans="3:24" x14ac:dyDescent="0.25">
      <c r="C66" s="62"/>
      <c r="D66" s="312"/>
      <c r="E66" s="336"/>
      <c r="F66" s="336"/>
      <c r="G66" s="62"/>
      <c r="H66" s="312"/>
      <c r="I66" s="312"/>
    </row>
    <row r="67" spans="3:24" ht="29.25" customHeight="1" x14ac:dyDescent="0.25">
      <c r="C67" s="1226" t="s">
        <v>46</v>
      </c>
      <c r="D67" s="1227"/>
      <c r="E67" s="371" t="s">
        <v>366</v>
      </c>
      <c r="F67" s="372" t="s">
        <v>367</v>
      </c>
      <c r="G67" s="312"/>
      <c r="H67" s="312"/>
      <c r="I67" s="312"/>
    </row>
    <row r="68" spans="3:24" x14ac:dyDescent="0.25">
      <c r="C68" s="1225" t="s">
        <v>368</v>
      </c>
      <c r="D68" s="1225"/>
      <c r="E68" s="137">
        <v>455.51</v>
      </c>
      <c r="F68" s="375">
        <v>477.07</v>
      </c>
      <c r="G68" s="312"/>
      <c r="H68" s="312"/>
      <c r="I68" s="312"/>
    </row>
    <row r="69" spans="3:24" x14ac:dyDescent="0.25">
      <c r="C69" s="1225" t="s">
        <v>369</v>
      </c>
      <c r="D69" s="1225"/>
      <c r="E69" s="137">
        <v>488.27</v>
      </c>
      <c r="F69" s="375">
        <v>487.67</v>
      </c>
      <c r="G69" s="62"/>
      <c r="H69" s="312"/>
      <c r="I69" s="62"/>
      <c r="J69" s="312"/>
      <c r="K69" s="312"/>
      <c r="L69" s="312"/>
      <c r="M69" s="312"/>
    </row>
    <row r="70" spans="3:24" s="317" customFormat="1" x14ac:dyDescent="0.25">
      <c r="C70" s="1225" t="s">
        <v>370</v>
      </c>
      <c r="D70" s="1225"/>
      <c r="E70" s="137">
        <v>509.84</v>
      </c>
      <c r="F70" s="375">
        <v>508.87</v>
      </c>
      <c r="G70" s="62"/>
      <c r="H70" s="312"/>
      <c r="I70" s="62"/>
      <c r="J70" s="312"/>
      <c r="K70" s="312"/>
      <c r="L70" s="312"/>
      <c r="M70" s="312"/>
      <c r="N70" s="318"/>
      <c r="P70" s="318"/>
      <c r="Q70" s="318"/>
      <c r="R70" s="318"/>
      <c r="T70"/>
      <c r="U70"/>
      <c r="V70"/>
      <c r="W70"/>
      <c r="X70"/>
    </row>
    <row r="71" spans="3:24" s="317" customFormat="1" x14ac:dyDescent="0.25">
      <c r="C71" s="1224" t="s">
        <v>371</v>
      </c>
      <c r="D71" s="1224"/>
      <c r="E71" s="328">
        <v>555.66999999999996</v>
      </c>
      <c r="F71" s="327">
        <v>512.16</v>
      </c>
      <c r="H71" s="318"/>
      <c r="J71" s="318"/>
      <c r="K71" s="321"/>
      <c r="L71" s="321"/>
      <c r="M71" s="318"/>
      <c r="N71" s="318"/>
      <c r="P71" s="318"/>
      <c r="Q71" s="318"/>
      <c r="R71" s="318"/>
      <c r="T71"/>
      <c r="U71"/>
      <c r="V71"/>
      <c r="W71"/>
      <c r="X71"/>
    </row>
    <row r="72" spans="3:24" s="317" customFormat="1" x14ac:dyDescent="0.25">
      <c r="C72" s="1224" t="s">
        <v>372</v>
      </c>
      <c r="D72" s="1224"/>
      <c r="E72" s="326">
        <v>558.05999999999995</v>
      </c>
      <c r="F72" s="327">
        <v>527.33000000000004</v>
      </c>
      <c r="H72" s="318"/>
      <c r="J72" s="318"/>
      <c r="K72" s="321"/>
      <c r="L72" s="321"/>
      <c r="M72" s="318"/>
      <c r="N72" s="318"/>
      <c r="P72" s="318"/>
      <c r="Q72" s="318"/>
      <c r="R72" s="318"/>
      <c r="T72"/>
      <c r="U72"/>
      <c r="V72"/>
      <c r="W72"/>
      <c r="X72"/>
    </row>
    <row r="73" spans="3:24" s="317" customFormat="1" x14ac:dyDescent="0.25">
      <c r="C73" s="1224" t="s">
        <v>373</v>
      </c>
      <c r="D73" s="1224"/>
      <c r="E73" s="326">
        <v>590.51</v>
      </c>
      <c r="F73" s="327">
        <v>545.79</v>
      </c>
      <c r="H73" s="318"/>
      <c r="J73" s="318"/>
      <c r="K73" s="321"/>
      <c r="L73" s="321"/>
      <c r="M73" s="318"/>
      <c r="N73" s="318"/>
      <c r="P73" s="318"/>
      <c r="Q73" s="318"/>
      <c r="R73" s="318"/>
      <c r="T73"/>
      <c r="U73"/>
      <c r="V73"/>
      <c r="W73"/>
      <c r="X73"/>
    </row>
    <row r="74" spans="3:24" s="317" customFormat="1" x14ac:dyDescent="0.25">
      <c r="C74" s="1224" t="s">
        <v>374</v>
      </c>
      <c r="D74" s="1224"/>
      <c r="E74" s="326">
        <v>656.44</v>
      </c>
      <c r="F74" s="327">
        <v>598.44000000000005</v>
      </c>
      <c r="H74" s="318"/>
      <c r="I74" s="318"/>
      <c r="J74" s="318"/>
      <c r="K74" s="321"/>
      <c r="L74" s="321"/>
      <c r="M74" s="318"/>
      <c r="N74" s="318"/>
      <c r="P74" s="318"/>
      <c r="Q74" s="318"/>
      <c r="R74" s="318"/>
      <c r="T74"/>
      <c r="U74"/>
      <c r="V74"/>
      <c r="W74"/>
      <c r="X74"/>
    </row>
    <row r="75" spans="3:24" s="317" customFormat="1" x14ac:dyDescent="0.25">
      <c r="C75" s="1224" t="s">
        <v>375</v>
      </c>
      <c r="D75" s="1224"/>
      <c r="E75" s="326">
        <v>794.27</v>
      </c>
      <c r="F75" s="327">
        <v>622.02</v>
      </c>
      <c r="H75" s="318"/>
      <c r="J75" s="321"/>
      <c r="K75" s="321"/>
      <c r="L75" s="321"/>
      <c r="M75" s="318"/>
      <c r="N75" s="318"/>
      <c r="P75" s="318"/>
      <c r="Q75" s="318"/>
      <c r="R75" s="318"/>
      <c r="T75"/>
      <c r="U75"/>
      <c r="V75"/>
      <c r="W75"/>
      <c r="X75"/>
    </row>
    <row r="76" spans="3:24" s="317" customFormat="1" x14ac:dyDescent="0.25">
      <c r="C76" s="1224" t="s">
        <v>376</v>
      </c>
      <c r="D76" s="1224"/>
      <c r="E76" s="326">
        <v>839.87</v>
      </c>
      <c r="F76" s="327">
        <v>626.54999999999995</v>
      </c>
      <c r="H76" s="318"/>
      <c r="I76" s="318"/>
      <c r="J76" s="321"/>
      <c r="K76" s="321"/>
      <c r="L76" s="321"/>
      <c r="M76" s="318"/>
      <c r="N76" s="318"/>
      <c r="P76" s="318"/>
      <c r="Q76" s="318"/>
      <c r="R76" s="318"/>
      <c r="T76"/>
      <c r="U76"/>
      <c r="V76"/>
      <c r="W76"/>
      <c r="X76"/>
    </row>
    <row r="77" spans="3:24" s="317" customFormat="1" x14ac:dyDescent="0.25">
      <c r="C77" s="1224" t="s">
        <v>377</v>
      </c>
      <c r="D77" s="1224"/>
      <c r="E77" s="326">
        <v>950.15</v>
      </c>
      <c r="F77" s="327">
        <v>649.21</v>
      </c>
      <c r="H77" s="318"/>
      <c r="I77" s="318"/>
      <c r="J77" s="321"/>
      <c r="K77" s="321"/>
      <c r="L77" s="321"/>
      <c r="M77" s="318"/>
      <c r="N77" s="318"/>
      <c r="P77" s="318"/>
      <c r="Q77" s="318"/>
      <c r="R77" s="318"/>
      <c r="T77"/>
      <c r="U77"/>
      <c r="V77"/>
      <c r="W77"/>
      <c r="X77"/>
    </row>
    <row r="78" spans="3:24" s="317" customFormat="1" x14ac:dyDescent="0.25">
      <c r="C78" s="1224" t="s">
        <v>378</v>
      </c>
      <c r="D78" s="1224"/>
      <c r="E78" s="326">
        <v>930.35</v>
      </c>
      <c r="F78" s="329">
        <v>645.6</v>
      </c>
      <c r="H78" s="318"/>
      <c r="I78" s="318"/>
      <c r="J78" s="321"/>
      <c r="K78" s="321"/>
      <c r="L78" s="321"/>
      <c r="M78" s="318"/>
      <c r="N78" s="318"/>
      <c r="P78" s="318"/>
      <c r="Q78" s="318"/>
      <c r="R78" s="318"/>
      <c r="T78"/>
      <c r="U78"/>
      <c r="V78"/>
      <c r="W78"/>
      <c r="X78"/>
    </row>
    <row r="79" spans="3:24" s="317" customFormat="1" x14ac:dyDescent="0.25">
      <c r="C79" s="1224" t="s">
        <v>379</v>
      </c>
      <c r="D79" s="1224"/>
      <c r="E79" s="326">
        <v>948.42</v>
      </c>
      <c r="F79" s="327">
        <v>650.38</v>
      </c>
      <c r="H79" s="318"/>
      <c r="I79" s="318"/>
      <c r="J79" s="321"/>
      <c r="K79" s="321"/>
      <c r="L79" s="321"/>
      <c r="M79" s="318"/>
      <c r="N79" s="318"/>
      <c r="P79" s="318"/>
      <c r="Q79" s="318"/>
      <c r="R79" s="318"/>
      <c r="T79"/>
      <c r="U79"/>
      <c r="V79"/>
      <c r="W79"/>
      <c r="X79"/>
    </row>
    <row r="80" spans="3:24" s="317" customFormat="1" x14ac:dyDescent="0.25">
      <c r="C80" s="1224" t="s">
        <v>380</v>
      </c>
      <c r="D80" s="1224"/>
      <c r="E80" s="326">
        <v>952.59</v>
      </c>
      <c r="F80" s="327">
        <v>669.19</v>
      </c>
      <c r="H80" s="318"/>
      <c r="J80" s="321"/>
      <c r="K80" s="321"/>
      <c r="L80" s="321"/>
      <c r="M80" s="318"/>
      <c r="N80" s="318"/>
      <c r="P80" s="318"/>
      <c r="Q80" s="318"/>
      <c r="R80" s="318"/>
      <c r="T80"/>
      <c r="U80"/>
      <c r="V80"/>
      <c r="W80"/>
      <c r="X80"/>
    </row>
    <row r="81" spans="3:24" s="317" customFormat="1" x14ac:dyDescent="0.25">
      <c r="C81" s="1224" t="s">
        <v>381</v>
      </c>
      <c r="D81" s="1224"/>
      <c r="E81" s="326">
        <v>959.26</v>
      </c>
      <c r="F81" s="327">
        <v>674.21</v>
      </c>
      <c r="H81" s="318"/>
      <c r="I81" s="318"/>
      <c r="J81" s="321"/>
      <c r="K81" s="321"/>
      <c r="L81" s="321"/>
      <c r="M81" s="318"/>
      <c r="N81" s="318"/>
      <c r="P81" s="318"/>
      <c r="Q81" s="318"/>
      <c r="R81" s="318"/>
      <c r="T81"/>
      <c r="U81"/>
      <c r="V81"/>
      <c r="W81"/>
      <c r="X81"/>
    </row>
    <row r="82" spans="3:24" s="317" customFormat="1" x14ac:dyDescent="0.25">
      <c r="C82" s="1224" t="s">
        <v>382</v>
      </c>
      <c r="D82" s="1224"/>
      <c r="E82" s="326">
        <v>987.96</v>
      </c>
      <c r="F82" s="327">
        <v>699.35</v>
      </c>
      <c r="H82" s="318"/>
      <c r="I82" s="318"/>
      <c r="J82" s="321"/>
      <c r="K82" s="321"/>
      <c r="L82" s="321"/>
      <c r="M82" s="318"/>
      <c r="N82" s="318"/>
      <c r="P82" s="318"/>
      <c r="Q82" s="318"/>
      <c r="R82" s="318"/>
      <c r="T82"/>
      <c r="U82"/>
      <c r="V82"/>
      <c r="W82"/>
      <c r="X82"/>
    </row>
    <row r="83" spans="3:24" s="317" customFormat="1" x14ac:dyDescent="0.25">
      <c r="C83" s="1224" t="s">
        <v>383</v>
      </c>
      <c r="D83" s="1224"/>
      <c r="E83" s="326">
        <v>1004.34</v>
      </c>
      <c r="F83" s="327">
        <v>692.77</v>
      </c>
      <c r="H83" s="318"/>
      <c r="J83" s="321"/>
      <c r="K83" s="321"/>
      <c r="L83" s="321"/>
      <c r="M83" s="318"/>
      <c r="N83" s="318"/>
      <c r="P83" s="318"/>
      <c r="Q83" s="318"/>
      <c r="R83" s="318"/>
      <c r="T83"/>
      <c r="U83"/>
      <c r="V83"/>
      <c r="W83"/>
      <c r="X83"/>
    </row>
    <row r="84" spans="3:24" s="317" customFormat="1" x14ac:dyDescent="0.25">
      <c r="C84" s="1224" t="s">
        <v>384</v>
      </c>
      <c r="D84" s="1224"/>
      <c r="E84" s="326">
        <v>1167.24</v>
      </c>
      <c r="F84" s="327">
        <v>716.35</v>
      </c>
      <c r="H84" s="318"/>
      <c r="I84" s="318"/>
      <c r="J84" s="321"/>
      <c r="K84" s="321"/>
      <c r="L84" s="321"/>
      <c r="M84" s="318"/>
      <c r="N84" s="318"/>
      <c r="P84" s="318"/>
      <c r="Q84" s="318"/>
      <c r="R84" s="318"/>
      <c r="T84"/>
      <c r="U84"/>
      <c r="V84"/>
      <c r="W84"/>
      <c r="X84"/>
    </row>
    <row r="85" spans="3:24" s="317" customFormat="1" x14ac:dyDescent="0.25">
      <c r="C85" s="1224" t="s">
        <v>385</v>
      </c>
      <c r="D85" s="1224"/>
      <c r="E85" s="326">
        <v>1201.94</v>
      </c>
      <c r="F85" s="327">
        <v>721.88</v>
      </c>
      <c r="H85" s="318"/>
      <c r="I85" s="318"/>
      <c r="J85" s="321"/>
      <c r="K85" s="321"/>
      <c r="L85" s="321"/>
      <c r="M85" s="318"/>
      <c r="N85" s="318"/>
      <c r="P85" s="318"/>
      <c r="Q85" s="318"/>
      <c r="R85" s="318"/>
      <c r="T85"/>
      <c r="U85"/>
      <c r="V85"/>
      <c r="W85"/>
      <c r="X85"/>
    </row>
  </sheetData>
  <mergeCells count="33">
    <mergeCell ref="C81:D81"/>
    <mergeCell ref="C82:D82"/>
    <mergeCell ref="C83:D83"/>
    <mergeCell ref="C84:D84"/>
    <mergeCell ref="C85:D85"/>
    <mergeCell ref="B2:H2"/>
    <mergeCell ref="C4:D4"/>
    <mergeCell ref="C5:D5"/>
    <mergeCell ref="C31:G31"/>
    <mergeCell ref="C75:D75"/>
    <mergeCell ref="C69:D69"/>
    <mergeCell ref="C70:D70"/>
    <mergeCell ref="C71:D71"/>
    <mergeCell ref="C72:D72"/>
    <mergeCell ref="C73:D73"/>
    <mergeCell ref="C74:D74"/>
    <mergeCell ref="C67:D67"/>
    <mergeCell ref="C68:D68"/>
    <mergeCell ref="C50:G50"/>
    <mergeCell ref="C51:D51"/>
    <mergeCell ref="C16:D16"/>
    <mergeCell ref="C76:D76"/>
    <mergeCell ref="C77:D77"/>
    <mergeCell ref="C78:D78"/>
    <mergeCell ref="C79:D79"/>
    <mergeCell ref="C80:D80"/>
    <mergeCell ref="C15:D15"/>
    <mergeCell ref="F9:G9"/>
    <mergeCell ref="C10:D10"/>
    <mergeCell ref="J17:N17"/>
    <mergeCell ref="N11:P11"/>
    <mergeCell ref="C14:E14"/>
    <mergeCell ref="E15:F15"/>
  </mergeCells>
  <pageMargins left="0.7" right="0.7" top="0.75" bottom="0.75" header="0.3" footer="0.3"/>
  <pageSetup scale="89" orientation="portrait" r:id="rId1"/>
  <colBreaks count="1" manualBreakCount="1">
    <brk id="8" max="47" man="1"/>
  </colBreaks>
  <ignoredErrors>
    <ignoredError sqref="G37" formula="1"/>
  </ignoredError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AM103"/>
  <sheetViews>
    <sheetView view="pageBreakPreview" topLeftCell="A82" zoomScaleNormal="100" zoomScaleSheetLayoutView="100" workbookViewId="0">
      <selection activeCell="H98" sqref="H98"/>
    </sheetView>
  </sheetViews>
  <sheetFormatPr baseColWidth="10" defaultRowHeight="15" x14ac:dyDescent="0.25"/>
  <cols>
    <col min="1" max="1" width="7.42578125" style="2" customWidth="1"/>
    <col min="2" max="2" width="2.7109375" style="3" customWidth="1"/>
    <col min="3" max="3" width="38.85546875" style="3" customWidth="1"/>
    <col min="4" max="4" width="11" style="4" customWidth="1"/>
    <col min="5" max="6" width="16.7109375" style="4" customWidth="1"/>
    <col min="7" max="7" width="15" style="4" customWidth="1"/>
    <col min="8" max="8" width="17.85546875" style="3" customWidth="1"/>
    <col min="9" max="9" width="6.85546875" style="4" customWidth="1"/>
    <col min="10" max="10" width="17.85546875" style="4" customWidth="1"/>
    <col min="11" max="11" width="8.28515625" style="4" customWidth="1"/>
    <col min="12" max="12" width="7" style="4" customWidth="1"/>
    <col min="13" max="13" width="12.5703125" style="4" customWidth="1"/>
    <col min="14" max="14" width="12.42578125" style="4" customWidth="1"/>
    <col min="15" max="15" width="7.7109375" style="4" bestFit="1" customWidth="1"/>
    <col min="16" max="16" width="6.140625" style="4" customWidth="1"/>
    <col min="17" max="17" width="1.7109375" style="4" customWidth="1"/>
    <col min="18" max="18" width="23" style="3" customWidth="1"/>
    <col min="19" max="19" width="8.42578125" style="4" customWidth="1"/>
    <col min="20" max="20" width="1.28515625" style="4" customWidth="1"/>
    <col min="21" max="21" width="8.5703125" style="4" customWidth="1"/>
    <col min="22" max="22" width="11" style="4" customWidth="1"/>
    <col min="23" max="28" width="11.42578125" style="3"/>
    <col min="29" max="29" width="19.42578125" style="2" customWidth="1"/>
    <col min="30" max="16384" width="11.42578125" style="2"/>
  </cols>
  <sheetData>
    <row r="1" spans="2:36" ht="12.75" customHeight="1" thickBot="1" x14ac:dyDescent="0.3"/>
    <row r="2" spans="2:36" ht="15.75" thickBot="1" x14ac:dyDescent="0.3">
      <c r="B2" s="1195" t="s">
        <v>318</v>
      </c>
      <c r="C2" s="1196"/>
      <c r="D2" s="1196"/>
      <c r="E2" s="1196"/>
      <c r="F2" s="1196"/>
      <c r="G2" s="1196"/>
      <c r="H2" s="1196"/>
      <c r="I2" s="234"/>
    </row>
    <row r="3" spans="2:36" ht="9" customHeight="1" x14ac:dyDescent="0.25">
      <c r="N3" s="5"/>
      <c r="AC3" s="6"/>
      <c r="AD3" s="7"/>
      <c r="AE3" s="8"/>
      <c r="AF3" s="8"/>
      <c r="AG3" s="9"/>
      <c r="AH3" s="10"/>
      <c r="AI3" s="11"/>
      <c r="AJ3" s="9"/>
    </row>
    <row r="4" spans="2:36" ht="14.25" customHeight="1" x14ac:dyDescent="0.25">
      <c r="C4" s="1207" t="s">
        <v>88</v>
      </c>
      <c r="D4" s="1208"/>
      <c r="E4" s="215" t="s">
        <v>85</v>
      </c>
      <c r="G4" s="268" t="s">
        <v>319</v>
      </c>
      <c r="H4" s="268">
        <v>3.8</v>
      </c>
      <c r="I4" s="2"/>
      <c r="J4" s="2"/>
      <c r="M4" s="30" t="s">
        <v>24</v>
      </c>
      <c r="N4" s="30"/>
      <c r="O4" s="30" t="s">
        <v>25</v>
      </c>
      <c r="P4" s="30"/>
      <c r="AD4" s="8"/>
      <c r="AE4" s="8"/>
      <c r="AF4" s="8"/>
      <c r="AG4" s="9"/>
      <c r="AH4" s="8"/>
      <c r="AI4" s="9"/>
      <c r="AJ4" s="9"/>
    </row>
    <row r="5" spans="2:36" ht="14.25" customHeight="1" x14ac:dyDescent="0.25">
      <c r="C5" s="1228" t="str">
        <f>+Materiales!$D$81</f>
        <v>Plancha LAF 3mm 1200x2400mm.</v>
      </c>
      <c r="D5" s="1229"/>
      <c r="E5" s="270">
        <f>+Materiales!$G$81</f>
        <v>207.62711864406782</v>
      </c>
      <c r="F5" s="2"/>
      <c r="H5" s="269"/>
      <c r="I5" s="269"/>
      <c r="J5" s="269"/>
      <c r="M5" s="30"/>
      <c r="N5" s="30"/>
      <c r="O5" s="30"/>
      <c r="P5" s="30"/>
      <c r="AD5" s="8"/>
      <c r="AE5" s="8"/>
      <c r="AF5" s="8"/>
      <c r="AG5" s="9"/>
      <c r="AH5" s="8"/>
      <c r="AI5" s="9"/>
      <c r="AJ5" s="9"/>
    </row>
    <row r="6" spans="2:36" ht="14.25" customHeight="1" x14ac:dyDescent="0.25">
      <c r="C6" s="1228" t="str">
        <f>+Materiales!$D$81</f>
        <v>Plancha LAF 3mm 1200x2400mm.</v>
      </c>
      <c r="D6" s="1229"/>
      <c r="E6" s="270">
        <f>+Materiales!$G$81</f>
        <v>207.62711864406782</v>
      </c>
      <c r="F6" s="2"/>
      <c r="H6" s="269"/>
      <c r="I6" s="269"/>
      <c r="J6" s="269"/>
      <c r="M6" s="30"/>
      <c r="N6" s="30"/>
      <c r="O6" s="30"/>
      <c r="P6" s="30"/>
      <c r="AD6" s="8"/>
      <c r="AE6" s="8"/>
      <c r="AF6" s="8"/>
      <c r="AG6" s="9"/>
      <c r="AH6" s="8"/>
      <c r="AI6" s="9"/>
      <c r="AJ6" s="9"/>
    </row>
    <row r="7" spans="2:36" ht="14.25" customHeight="1" x14ac:dyDescent="0.25">
      <c r="C7" s="1228" t="str">
        <f>+Materiales!$D$81</f>
        <v>Plancha LAF 3mm 1200x2400mm.</v>
      </c>
      <c r="D7" s="1229"/>
      <c r="E7" s="270">
        <f>+Materiales!$G$81</f>
        <v>207.62711864406782</v>
      </c>
      <c r="F7" s="2"/>
      <c r="H7" s="269"/>
      <c r="I7" s="269"/>
      <c r="J7" s="269"/>
      <c r="M7" s="30"/>
      <c r="N7" s="30"/>
      <c r="O7" s="30"/>
      <c r="P7" s="30"/>
      <c r="AD7" s="8"/>
      <c r="AE7" s="8"/>
      <c r="AF7" s="8"/>
      <c r="AG7" s="9"/>
      <c r="AH7" s="8"/>
      <c r="AI7" s="9"/>
      <c r="AJ7" s="9"/>
    </row>
    <row r="8" spans="2:36" ht="6.75" customHeight="1" x14ac:dyDescent="0.25">
      <c r="H8" s="269"/>
      <c r="I8" s="269"/>
      <c r="J8" s="269"/>
      <c r="M8" s="30"/>
      <c r="N8" s="30"/>
      <c r="O8" s="30"/>
      <c r="P8" s="30"/>
      <c r="AD8" s="8"/>
      <c r="AE8" s="8"/>
      <c r="AF8" s="8"/>
      <c r="AG8" s="9"/>
      <c r="AH8" s="8"/>
      <c r="AI8" s="9"/>
      <c r="AJ8" s="9"/>
    </row>
    <row r="9" spans="2:36" ht="14.25" customHeight="1" x14ac:dyDescent="0.25">
      <c r="C9" s="219" t="s">
        <v>317</v>
      </c>
      <c r="E9" s="265" t="s">
        <v>300</v>
      </c>
      <c r="H9" s="269"/>
      <c r="I9" s="269"/>
      <c r="J9" s="269"/>
      <c r="M9" s="30"/>
      <c r="N9" s="30"/>
      <c r="O9" s="30"/>
      <c r="P9" s="30"/>
      <c r="AD9" s="8"/>
      <c r="AE9" s="8"/>
      <c r="AF9" s="8"/>
      <c r="AG9" s="9"/>
      <c r="AH9" s="8"/>
      <c r="AI9" s="9"/>
      <c r="AJ9" s="9"/>
    </row>
    <row r="10" spans="2:36" ht="14.25" customHeight="1" x14ac:dyDescent="0.25">
      <c r="C10" s="219" t="s">
        <v>301</v>
      </c>
      <c r="E10" s="30">
        <f>1.2*2.4</f>
        <v>2.88</v>
      </c>
      <c r="H10" s="269"/>
      <c r="I10" s="269"/>
      <c r="J10" s="269"/>
      <c r="M10" s="30"/>
      <c r="N10" s="30"/>
      <c r="O10" s="30"/>
      <c r="P10" s="30"/>
      <c r="AD10" s="8"/>
      <c r="AE10" s="8"/>
      <c r="AF10" s="8"/>
      <c r="AG10" s="9"/>
      <c r="AH10" s="8"/>
      <c r="AI10" s="9"/>
      <c r="AJ10" s="9"/>
    </row>
    <row r="11" spans="2:36" ht="6.75" customHeight="1" x14ac:dyDescent="0.25">
      <c r="H11" s="269"/>
      <c r="I11" s="269"/>
      <c r="J11" s="269"/>
      <c r="M11" s="30"/>
      <c r="N11" s="30"/>
      <c r="O11" s="30"/>
      <c r="P11" s="30"/>
      <c r="AD11" s="8"/>
      <c r="AE11" s="8"/>
      <c r="AF11" s="8"/>
      <c r="AG11" s="9"/>
      <c r="AH11" s="8"/>
      <c r="AI11" s="9"/>
      <c r="AJ11" s="9"/>
    </row>
    <row r="12" spans="2:36" ht="14.25" customHeight="1" x14ac:dyDescent="0.25">
      <c r="C12" s="1205" t="s">
        <v>299</v>
      </c>
      <c r="D12" s="1205"/>
      <c r="M12" s="30" t="s">
        <v>26</v>
      </c>
      <c r="N12" s="30"/>
      <c r="O12" s="2"/>
      <c r="P12" s="30" t="s">
        <v>27</v>
      </c>
      <c r="AD12" s="8"/>
      <c r="AE12" s="8"/>
      <c r="AF12" s="8"/>
      <c r="AG12" s="9"/>
      <c r="AH12" s="8"/>
      <c r="AI12" s="9"/>
      <c r="AJ12" s="9"/>
    </row>
    <row r="13" spans="2:36" ht="14.25" customHeight="1" x14ac:dyDescent="0.25">
      <c r="C13" s="271" t="s">
        <v>30</v>
      </c>
      <c r="D13" s="268">
        <v>2000</v>
      </c>
      <c r="H13" s="2"/>
      <c r="I13" s="2"/>
      <c r="J13" s="2"/>
      <c r="K13" s="2"/>
      <c r="AD13" s="8"/>
      <c r="AE13" s="8"/>
      <c r="AF13" s="8"/>
      <c r="AG13" s="9"/>
      <c r="AH13" s="8"/>
      <c r="AI13" s="9"/>
      <c r="AJ13" s="9"/>
    </row>
    <row r="14" spans="2:36" ht="14.25" customHeight="1" x14ac:dyDescent="0.25">
      <c r="C14" s="271" t="s">
        <v>31</v>
      </c>
      <c r="D14" s="268">
        <v>800</v>
      </c>
      <c r="H14" s="2"/>
      <c r="I14" s="2"/>
      <c r="J14" s="2"/>
      <c r="K14" s="2"/>
      <c r="AD14" s="8"/>
      <c r="AE14" s="8"/>
      <c r="AF14" s="8"/>
      <c r="AG14" s="9"/>
      <c r="AH14" s="8"/>
      <c r="AI14" s="9"/>
      <c r="AJ14" s="9"/>
    </row>
    <row r="15" spans="2:36" ht="14.25" customHeight="1" x14ac:dyDescent="0.25">
      <c r="C15" s="271" t="s">
        <v>37</v>
      </c>
      <c r="D15" s="268">
        <v>450</v>
      </c>
      <c r="H15" s="2"/>
      <c r="I15" s="2"/>
      <c r="J15" s="2"/>
      <c r="K15" s="2"/>
      <c r="AD15" s="8"/>
      <c r="AE15" s="8"/>
      <c r="AF15" s="8"/>
      <c r="AG15" s="9"/>
      <c r="AH15" s="8"/>
      <c r="AI15" s="9"/>
      <c r="AJ15" s="9"/>
    </row>
    <row r="16" spans="2:36" ht="9" customHeight="1" x14ac:dyDescent="0.25">
      <c r="AD16" s="8"/>
      <c r="AE16" s="8"/>
      <c r="AF16" s="8"/>
      <c r="AG16" s="9"/>
      <c r="AH16" s="8"/>
      <c r="AI16" s="9"/>
      <c r="AJ16" s="9"/>
    </row>
    <row r="17" spans="3:39" ht="14.25" customHeight="1" x14ac:dyDescent="0.25">
      <c r="C17" s="1235" t="s">
        <v>324</v>
      </c>
      <c r="D17" s="1236"/>
      <c r="E17" s="1236"/>
      <c r="F17" s="276" t="str">
        <f>C6</f>
        <v>Plancha LAF 3mm 1200x2400mm.</v>
      </c>
      <c r="G17" s="277"/>
      <c r="J17" s="2"/>
      <c r="K17" s="2"/>
      <c r="L17" s="2"/>
      <c r="M17" s="2"/>
      <c r="N17" s="2"/>
      <c r="O17" s="2"/>
      <c r="P17" s="2"/>
      <c r="S17" s="30" t="s">
        <v>29</v>
      </c>
      <c r="AD17" s="8"/>
      <c r="AE17" s="8"/>
      <c r="AF17" s="8"/>
      <c r="AG17" s="9"/>
      <c r="AH17" s="8"/>
      <c r="AI17" s="9"/>
      <c r="AJ17" s="9"/>
    </row>
    <row r="18" spans="3:39" ht="14.25" customHeight="1" x14ac:dyDescent="0.25">
      <c r="C18" s="1233" t="s">
        <v>88</v>
      </c>
      <c r="D18" s="1234"/>
      <c r="E18" s="278" t="s">
        <v>320</v>
      </c>
      <c r="F18" s="280" t="s">
        <v>321</v>
      </c>
      <c r="G18" s="279" t="s">
        <v>322</v>
      </c>
      <c r="H18" s="282"/>
      <c r="J18" s="2"/>
      <c r="K18" s="2"/>
      <c r="L18" s="2"/>
      <c r="M18" s="2"/>
      <c r="N18" s="2"/>
      <c r="O18" s="2"/>
      <c r="P18" s="2"/>
      <c r="S18" s="30"/>
      <c r="AD18" s="8"/>
      <c r="AE18" s="8"/>
      <c r="AF18" s="8"/>
      <c r="AG18" s="9"/>
      <c r="AH18" s="8"/>
      <c r="AI18" s="9"/>
      <c r="AJ18" s="9"/>
    </row>
    <row r="19" spans="3:39" ht="14.25" customHeight="1" x14ac:dyDescent="0.25">
      <c r="C19" s="283" t="s">
        <v>40</v>
      </c>
      <c r="D19" s="284"/>
      <c r="E19" s="270">
        <f>+(D14-4+(46+25+18)*2)/1000</f>
        <v>0.97399999999999998</v>
      </c>
      <c r="F19" s="270">
        <f>+(D15-4+25+18+46+46+15+10)/1000</f>
        <v>0.60599999999999998</v>
      </c>
      <c r="G19" s="270">
        <f>+F19*E19</f>
        <v>0.59024399999999999</v>
      </c>
      <c r="H19" s="286"/>
      <c r="I19" s="13"/>
      <c r="J19" s="2"/>
      <c r="K19" s="2"/>
      <c r="L19" s="2"/>
      <c r="M19" s="2"/>
      <c r="N19" s="2"/>
      <c r="O19" s="2"/>
      <c r="P19" s="2"/>
      <c r="R19" s="52" t="s">
        <v>90</v>
      </c>
      <c r="S19" s="53">
        <f>+V19/30/8</f>
        <v>8.3333333333333339</v>
      </c>
      <c r="U19" s="12" t="s">
        <v>91</v>
      </c>
      <c r="V19" s="53">
        <v>2000</v>
      </c>
      <c r="AD19" s="8"/>
      <c r="AE19" s="8"/>
      <c r="AF19" s="8"/>
      <c r="AG19" s="9"/>
      <c r="AH19" s="8"/>
      <c r="AI19" s="9"/>
      <c r="AJ19" s="9"/>
    </row>
    <row r="20" spans="3:39" ht="14.25" customHeight="1" x14ac:dyDescent="0.25">
      <c r="C20" s="287" t="s">
        <v>41</v>
      </c>
      <c r="D20" s="286"/>
      <c r="E20" s="294">
        <f>+(D14-5-4+20+10+18)/1000*2</f>
        <v>1.6779999999999999</v>
      </c>
      <c r="F20" s="294">
        <f>+(D13-100-5-4+20+20)/1000</f>
        <v>1.931</v>
      </c>
      <c r="G20" s="270">
        <f>+F20*E20</f>
        <v>3.240218</v>
      </c>
      <c r="H20" s="282"/>
      <c r="I20" s="13"/>
      <c r="J20" s="2"/>
      <c r="K20" s="2"/>
      <c r="L20" s="2"/>
      <c r="M20" s="2"/>
      <c r="N20" s="2"/>
      <c r="O20" s="2"/>
      <c r="P20" s="2"/>
      <c r="R20" s="52" t="s">
        <v>92</v>
      </c>
      <c r="S20" s="53">
        <f>+V20/30/8</f>
        <v>6.666666666666667</v>
      </c>
      <c r="U20" s="12" t="s">
        <v>91</v>
      </c>
      <c r="V20" s="53">
        <v>1600</v>
      </c>
      <c r="AD20" s="8"/>
      <c r="AE20" s="8"/>
      <c r="AF20" s="8"/>
      <c r="AG20" s="9"/>
      <c r="AH20" s="8"/>
      <c r="AI20" s="9"/>
      <c r="AJ20" s="9"/>
    </row>
    <row r="21" spans="3:39" ht="14.25" customHeight="1" x14ac:dyDescent="0.25">
      <c r="C21" s="283" t="s">
        <v>59</v>
      </c>
      <c r="D21" s="284"/>
      <c r="E21" s="270">
        <f>+(D13-100+4)/1000</f>
        <v>1.9039999999999999</v>
      </c>
      <c r="F21" s="270">
        <f>+(180)/1000</f>
        <v>0.18</v>
      </c>
      <c r="G21" s="270">
        <f>+F21*E21*2</f>
        <v>0.68543999999999994</v>
      </c>
      <c r="H21" s="282"/>
      <c r="I21" s="13"/>
      <c r="J21" s="2"/>
      <c r="K21" s="2"/>
      <c r="L21" s="2"/>
      <c r="M21" s="2"/>
      <c r="N21" s="2"/>
      <c r="O21" s="2"/>
      <c r="P21" s="2"/>
      <c r="S21" s="20"/>
      <c r="AD21" s="8"/>
      <c r="AE21" s="8"/>
      <c r="AF21" s="8"/>
      <c r="AG21" s="9"/>
      <c r="AH21" s="8"/>
      <c r="AI21" s="9"/>
      <c r="AJ21" s="9"/>
    </row>
    <row r="22" spans="3:39" ht="14.25" customHeight="1" x14ac:dyDescent="0.25">
      <c r="C22" s="287" t="s">
        <v>60</v>
      </c>
      <c r="D22" s="286"/>
      <c r="E22" s="294">
        <f>+(D13-100+4)/1000</f>
        <v>1.9039999999999999</v>
      </c>
      <c r="F22" s="294">
        <f>+(162)/1000</f>
        <v>0.16200000000000001</v>
      </c>
      <c r="G22" s="270">
        <f>+F22*E22*2</f>
        <v>0.616896</v>
      </c>
      <c r="H22" s="282"/>
      <c r="I22" s="13"/>
      <c r="J22" s="2"/>
      <c r="K22" s="2"/>
      <c r="L22" s="2"/>
      <c r="M22" s="2"/>
      <c r="N22" s="2"/>
      <c r="O22" s="2"/>
      <c r="P22" s="2"/>
      <c r="S22" s="20"/>
      <c r="AD22" s="8"/>
      <c r="AE22" s="8"/>
      <c r="AF22" s="8"/>
      <c r="AG22" s="9"/>
      <c r="AH22" s="8"/>
      <c r="AI22" s="9"/>
      <c r="AJ22" s="9"/>
    </row>
    <row r="23" spans="3:39" ht="14.25" customHeight="1" x14ac:dyDescent="0.25">
      <c r="C23" s="283" t="s">
        <v>61</v>
      </c>
      <c r="D23" s="284"/>
      <c r="E23" s="270">
        <f>+(D14-4)/1000</f>
        <v>0.79600000000000004</v>
      </c>
      <c r="F23" s="270">
        <f>+(119)/1000</f>
        <v>0.11899999999999999</v>
      </c>
      <c r="G23" s="270">
        <f>+F23*E23</f>
        <v>9.4724000000000003E-2</v>
      </c>
      <c r="H23" s="282"/>
      <c r="I23" s="13"/>
      <c r="J23" s="2"/>
      <c r="K23" s="2"/>
      <c r="L23" s="2"/>
      <c r="M23" s="2"/>
      <c r="N23" s="2"/>
      <c r="O23" s="2"/>
      <c r="P23" s="2"/>
      <c r="AD23" s="8"/>
      <c r="AE23" s="8"/>
      <c r="AF23" s="8"/>
      <c r="AG23" s="9"/>
      <c r="AH23" s="16"/>
      <c r="AI23" s="17"/>
      <c r="AJ23" s="18"/>
    </row>
    <row r="24" spans="3:39" ht="14.25" customHeight="1" x14ac:dyDescent="0.25">
      <c r="C24" s="287" t="s">
        <v>62</v>
      </c>
      <c r="D24" s="286"/>
      <c r="E24" s="294">
        <f>+(D14-4)/1000</f>
        <v>0.79600000000000004</v>
      </c>
      <c r="F24" s="294">
        <f>+(137)/1000</f>
        <v>0.13700000000000001</v>
      </c>
      <c r="G24" s="270">
        <f>+F24*E24</f>
        <v>0.10905200000000001</v>
      </c>
      <c r="H24" s="282"/>
      <c r="J24" s="2"/>
      <c r="K24" s="2"/>
      <c r="L24" s="2"/>
      <c r="M24" s="2"/>
      <c r="N24" s="2"/>
      <c r="O24" s="2"/>
      <c r="P24" s="2"/>
      <c r="AD24" s="8"/>
      <c r="AE24" s="8"/>
      <c r="AF24" s="8"/>
      <c r="AG24" s="9"/>
      <c r="AH24" s="8"/>
      <c r="AI24" s="9"/>
      <c r="AJ24" s="9"/>
    </row>
    <row r="25" spans="3:39" ht="14.25" customHeight="1" x14ac:dyDescent="0.25">
      <c r="C25" s="283" t="s">
        <v>63</v>
      </c>
      <c r="D25" s="284"/>
      <c r="E25" s="270">
        <f>+(D15-4)/1000</f>
        <v>0.44600000000000001</v>
      </c>
      <c r="F25" s="270">
        <f>+(137)/1000</f>
        <v>0.13700000000000001</v>
      </c>
      <c r="G25" s="270">
        <f>+F25*E25*2</f>
        <v>0.12220400000000001</v>
      </c>
      <c r="H25" s="282"/>
      <c r="J25" s="2"/>
      <c r="K25" s="2"/>
      <c r="L25" s="2"/>
      <c r="M25" s="2"/>
      <c r="N25" s="2"/>
      <c r="O25" s="2"/>
      <c r="P25" s="2"/>
      <c r="AD25" s="8"/>
      <c r="AE25" s="8"/>
      <c r="AF25" s="8"/>
      <c r="AG25" s="9"/>
      <c r="AH25" s="8"/>
      <c r="AI25" s="9"/>
      <c r="AJ25" s="9"/>
    </row>
    <row r="26" spans="3:39" ht="14.25" customHeight="1" x14ac:dyDescent="0.25">
      <c r="C26" s="282"/>
      <c r="D26" s="282"/>
      <c r="E26" s="282"/>
      <c r="F26" s="288" t="s">
        <v>77</v>
      </c>
      <c r="G26" s="294">
        <f>SUM(G19:G25)</f>
        <v>5.4587779999999997</v>
      </c>
      <c r="H26" s="282"/>
      <c r="J26" s="2"/>
      <c r="K26" s="2"/>
      <c r="L26" s="2"/>
      <c r="M26" s="2"/>
      <c r="N26" s="2"/>
      <c r="O26" s="2"/>
      <c r="P26" s="2"/>
      <c r="AD26" s="8"/>
      <c r="AE26" s="8"/>
      <c r="AF26" s="8"/>
      <c r="AG26" s="9"/>
      <c r="AH26" s="8"/>
      <c r="AI26" s="9"/>
      <c r="AJ26" s="9"/>
    </row>
    <row r="27" spans="3:39" ht="14.25" customHeight="1" x14ac:dyDescent="0.25">
      <c r="C27" s="282"/>
      <c r="D27" s="282"/>
      <c r="E27" s="282"/>
      <c r="F27" s="268" t="s">
        <v>323</v>
      </c>
      <c r="G27" s="295">
        <f>G26/E10</f>
        <v>1.8954090277777778</v>
      </c>
      <c r="H27" s="282"/>
      <c r="J27" s="2"/>
      <c r="K27" s="2"/>
      <c r="L27" s="2"/>
      <c r="M27" s="2"/>
      <c r="N27" s="2"/>
      <c r="O27" s="2"/>
      <c r="P27" s="2"/>
      <c r="AD27" s="8"/>
      <c r="AE27" s="8"/>
      <c r="AF27" s="8"/>
      <c r="AG27" s="9"/>
      <c r="AH27" s="8"/>
      <c r="AI27" s="9"/>
      <c r="AJ27" s="9"/>
    </row>
    <row r="28" spans="3:39" ht="14.25" customHeight="1" x14ac:dyDescent="0.25">
      <c r="C28" s="282"/>
      <c r="D28" s="282"/>
      <c r="E28" s="282"/>
      <c r="F28" s="289" t="s">
        <v>326</v>
      </c>
      <c r="G28" s="58">
        <f>+G27*E6</f>
        <v>393.53831508945387</v>
      </c>
      <c r="H28" s="282"/>
      <c r="J28" s="2"/>
      <c r="K28" s="2"/>
      <c r="L28" s="2"/>
      <c r="M28" s="2"/>
      <c r="N28" s="2"/>
      <c r="O28" s="2"/>
      <c r="P28" s="2"/>
      <c r="AD28" s="8"/>
      <c r="AE28" s="8"/>
      <c r="AF28" s="8"/>
      <c r="AG28" s="9"/>
      <c r="AH28" s="8"/>
      <c r="AI28" s="9"/>
      <c r="AJ28" s="9"/>
    </row>
    <row r="29" spans="3:39" ht="14.25" customHeight="1" x14ac:dyDescent="0.25">
      <c r="C29" s="282"/>
      <c r="D29" s="282"/>
      <c r="E29" s="282"/>
      <c r="F29" s="281" t="s">
        <v>101</v>
      </c>
      <c r="G29" s="58">
        <f>G28*0.3</f>
        <v>118.06149452683616</v>
      </c>
      <c r="H29" s="282"/>
      <c r="J29" s="2"/>
      <c r="K29" s="2"/>
      <c r="L29" s="2"/>
      <c r="M29" s="2"/>
      <c r="N29" s="2"/>
      <c r="O29" s="2"/>
      <c r="P29" s="2"/>
      <c r="AD29" s="8"/>
      <c r="AE29" s="8"/>
      <c r="AF29" s="8"/>
      <c r="AG29" s="9"/>
      <c r="AH29" s="8"/>
      <c r="AI29" s="9"/>
      <c r="AJ29" s="9"/>
    </row>
    <row r="30" spans="3:39" ht="14.25" customHeight="1" x14ac:dyDescent="0.25">
      <c r="F30" s="59" t="s">
        <v>327</v>
      </c>
      <c r="G30" s="60">
        <f>G28+G29</f>
        <v>511.59980961629003</v>
      </c>
      <c r="H30" s="4"/>
      <c r="I30" s="13"/>
      <c r="J30" s="2"/>
      <c r="K30" s="2"/>
      <c r="L30" s="2"/>
      <c r="M30" s="2"/>
      <c r="N30" s="2"/>
      <c r="O30" s="2"/>
      <c r="P30" s="2"/>
      <c r="AD30" s="8"/>
      <c r="AE30" s="8"/>
      <c r="AF30" s="8"/>
      <c r="AG30" s="9"/>
      <c r="AH30" s="8"/>
      <c r="AI30" s="9"/>
      <c r="AJ30" s="9"/>
      <c r="AK30" s="8"/>
      <c r="AL30" s="14"/>
      <c r="AM30" s="15"/>
    </row>
    <row r="31" spans="3:39" ht="7.5" customHeight="1" x14ac:dyDescent="0.25">
      <c r="I31" s="13"/>
      <c r="J31" s="2"/>
      <c r="K31" s="2"/>
      <c r="L31" s="2"/>
      <c r="M31" s="2"/>
      <c r="N31" s="2"/>
      <c r="O31" s="2"/>
      <c r="P31" s="2"/>
      <c r="AD31" s="8"/>
      <c r="AE31" s="8"/>
      <c r="AF31" s="8"/>
      <c r="AG31" s="9"/>
      <c r="AH31" s="8"/>
      <c r="AI31" s="9"/>
      <c r="AJ31" s="9"/>
    </row>
    <row r="32" spans="3:39" ht="14.25" customHeight="1" x14ac:dyDescent="0.25">
      <c r="C32" s="1237" t="s">
        <v>325</v>
      </c>
      <c r="D32" s="1238"/>
      <c r="E32" s="1238"/>
      <c r="F32" s="296" t="str">
        <f>C5</f>
        <v>Plancha LAF 3mm 1200x2400mm.</v>
      </c>
      <c r="G32" s="277"/>
      <c r="J32" s="2"/>
      <c r="K32" s="2"/>
      <c r="L32" s="2"/>
      <c r="M32" s="2"/>
      <c r="N32" s="2"/>
      <c r="O32" s="2"/>
      <c r="P32" s="2"/>
      <c r="AD32" s="8"/>
      <c r="AE32" s="8"/>
      <c r="AF32" s="8"/>
      <c r="AG32" s="9"/>
      <c r="AH32" s="8"/>
      <c r="AI32" s="9"/>
      <c r="AJ32" s="9"/>
    </row>
    <row r="33" spans="3:36" ht="14.25" customHeight="1" x14ac:dyDescent="0.25">
      <c r="C33" s="283" t="s">
        <v>64</v>
      </c>
      <c r="D33" s="284"/>
      <c r="E33" s="285">
        <f>+(D14-50-50-3-4+18+18)/1000</f>
        <v>0.72899999999999998</v>
      </c>
      <c r="F33" s="285">
        <f>+(D13-100-50-50-3-4+18+18)/1000</f>
        <v>1.829</v>
      </c>
      <c r="G33" s="270">
        <f>+(D14-50-50-3-4+18+18)/1000*(D13-100-50-50-3-4+18+18)/1000</f>
        <v>1.3333409999999999</v>
      </c>
      <c r="J33" s="2"/>
      <c r="K33" s="2"/>
      <c r="L33" s="2"/>
      <c r="M33" s="2"/>
      <c r="N33" s="2"/>
      <c r="O33" s="2"/>
      <c r="P33" s="2"/>
      <c r="AD33" s="8"/>
      <c r="AE33" s="8"/>
      <c r="AF33" s="8"/>
      <c r="AG33" s="9"/>
      <c r="AH33" s="8"/>
      <c r="AI33" s="9"/>
      <c r="AJ33" s="9"/>
    </row>
    <row r="34" spans="3:36" ht="14.25" customHeight="1" x14ac:dyDescent="0.25">
      <c r="C34" s="297" t="s">
        <v>65</v>
      </c>
      <c r="D34" s="298"/>
      <c r="E34" s="299">
        <f>+(D15-50-50-3-4+18+18)/1000</f>
        <v>0.379</v>
      </c>
      <c r="F34" s="299">
        <f>+(D13-100-50-50-3-4+18+18)/1000</f>
        <v>1.829</v>
      </c>
      <c r="G34" s="304">
        <f>+((D15-50-50-3-4+18+18)/1000*(D13-100-50-50-3-4+18+18)/1000)*2</f>
        <v>1.386382</v>
      </c>
      <c r="J34" s="2"/>
      <c r="K34" s="2"/>
      <c r="L34" s="2"/>
      <c r="M34" s="2"/>
      <c r="N34" s="2"/>
      <c r="O34" s="2"/>
      <c r="P34" s="2"/>
      <c r="AD34" s="8"/>
      <c r="AE34" s="8"/>
      <c r="AF34" s="8"/>
      <c r="AG34" s="9"/>
      <c r="AH34" s="8"/>
      <c r="AI34" s="9"/>
      <c r="AJ34" s="9"/>
    </row>
    <row r="35" spans="3:36" ht="14.25" customHeight="1" x14ac:dyDescent="0.25">
      <c r="C35" s="282"/>
      <c r="D35" s="286"/>
      <c r="E35" s="286"/>
      <c r="F35" s="288" t="s">
        <v>77</v>
      </c>
      <c r="G35" s="295">
        <f>SUM(G33:G34)</f>
        <v>2.7197230000000001</v>
      </c>
      <c r="J35" s="2"/>
      <c r="K35" s="2"/>
      <c r="L35" s="2"/>
      <c r="M35" s="2"/>
      <c r="N35" s="2"/>
      <c r="O35" s="2"/>
      <c r="P35" s="2"/>
      <c r="AD35" s="8"/>
      <c r="AE35" s="8"/>
      <c r="AF35" s="8"/>
      <c r="AG35" s="9"/>
      <c r="AH35" s="8"/>
      <c r="AI35" s="9"/>
      <c r="AJ35" s="9"/>
    </row>
    <row r="36" spans="3:36" ht="14.25" customHeight="1" x14ac:dyDescent="0.25">
      <c r="C36" s="282"/>
      <c r="D36" s="286"/>
      <c r="E36" s="286"/>
      <c r="F36" s="268" t="s">
        <v>323</v>
      </c>
      <c r="G36" s="295">
        <f>G35/E10</f>
        <v>0.94434826388888893</v>
      </c>
      <c r="J36" s="2"/>
      <c r="K36" s="2"/>
      <c r="L36" s="2"/>
      <c r="M36" s="2"/>
      <c r="N36" s="2"/>
      <c r="O36" s="2"/>
      <c r="P36" s="2"/>
      <c r="AD36" s="8"/>
      <c r="AE36" s="8"/>
      <c r="AF36" s="8"/>
      <c r="AG36" s="9"/>
      <c r="AH36" s="16"/>
      <c r="AI36" s="17"/>
      <c r="AJ36" s="18"/>
    </row>
    <row r="37" spans="3:36" ht="14.25" customHeight="1" x14ac:dyDescent="0.25">
      <c r="C37" s="282"/>
      <c r="D37" s="286"/>
      <c r="E37" s="286"/>
      <c r="F37" s="221" t="s">
        <v>326</v>
      </c>
      <c r="G37" s="58">
        <f>+G36*E6</f>
        <v>196.07230902777781</v>
      </c>
      <c r="H37" s="4"/>
      <c r="J37" s="2"/>
      <c r="K37" s="2"/>
      <c r="L37" s="2"/>
      <c r="M37" s="2"/>
      <c r="N37" s="2"/>
      <c r="O37" s="2"/>
      <c r="P37" s="2"/>
      <c r="AC37" s="19"/>
      <c r="AH37" s="10"/>
      <c r="AI37" s="11"/>
    </row>
    <row r="38" spans="3:36" ht="14.25" customHeight="1" x14ac:dyDescent="0.25">
      <c r="C38" s="282"/>
      <c r="D38" s="286"/>
      <c r="E38" s="286"/>
      <c r="F38" s="281" t="s">
        <v>101</v>
      </c>
      <c r="G38" s="58">
        <f>G37*0.3</f>
        <v>58.821692708333337</v>
      </c>
      <c r="H38" s="4"/>
      <c r="J38" s="2"/>
      <c r="K38" s="2"/>
      <c r="L38" s="2"/>
      <c r="M38" s="2"/>
      <c r="N38" s="2"/>
      <c r="O38" s="2"/>
      <c r="P38" s="2"/>
      <c r="AC38" s="19"/>
      <c r="AH38" s="10"/>
      <c r="AI38" s="11"/>
    </row>
    <row r="39" spans="3:36" ht="14.25" customHeight="1" x14ac:dyDescent="0.25">
      <c r="C39" s="282"/>
      <c r="D39" s="286"/>
      <c r="E39" s="286"/>
      <c r="F39" s="59" t="s">
        <v>327</v>
      </c>
      <c r="G39" s="60">
        <f>G37+G38</f>
        <v>254.89400173611114</v>
      </c>
      <c r="H39" s="4"/>
      <c r="J39" s="2"/>
      <c r="K39" s="2"/>
      <c r="L39" s="2"/>
      <c r="M39" s="2"/>
      <c r="N39" s="2"/>
      <c r="O39" s="2"/>
      <c r="P39" s="2"/>
      <c r="AC39" s="19"/>
      <c r="AH39" s="10"/>
      <c r="AI39" s="11"/>
    </row>
    <row r="40" spans="3:36" ht="8.25" customHeight="1" x14ac:dyDescent="0.25">
      <c r="C40" s="282"/>
      <c r="D40" s="198"/>
      <c r="E40" s="198"/>
      <c r="F40" s="286"/>
      <c r="G40" s="286"/>
      <c r="J40" s="2"/>
      <c r="K40" s="2"/>
      <c r="L40" s="2"/>
      <c r="M40" s="2"/>
      <c r="N40" s="2"/>
      <c r="O40" s="2"/>
      <c r="P40" s="2"/>
      <c r="AC40" s="6"/>
      <c r="AD40" s="7"/>
      <c r="AE40" s="8"/>
      <c r="AF40" s="8"/>
      <c r="AG40" s="9"/>
      <c r="AH40" s="8"/>
      <c r="AI40" s="9"/>
      <c r="AJ40" s="9"/>
    </row>
    <row r="41" spans="3:36" ht="14.25" customHeight="1" x14ac:dyDescent="0.25">
      <c r="C41" s="1239" t="s">
        <v>328</v>
      </c>
      <c r="D41" s="1240"/>
      <c r="E41" s="1240"/>
      <c r="F41" s="296" t="str">
        <f>C7</f>
        <v>Plancha LAF 3mm 1200x2400mm.</v>
      </c>
      <c r="G41" s="277"/>
      <c r="J41" s="2"/>
      <c r="K41" s="2"/>
      <c r="L41" s="2"/>
      <c r="M41" s="2"/>
      <c r="N41" s="2"/>
      <c r="O41" s="2"/>
      <c r="P41" s="2"/>
      <c r="AD41" s="8"/>
      <c r="AE41" s="8"/>
      <c r="AF41" s="8"/>
      <c r="AG41" s="9"/>
      <c r="AH41" s="8"/>
      <c r="AI41" s="9"/>
      <c r="AJ41" s="9"/>
    </row>
    <row r="42" spans="3:36" ht="14.25" customHeight="1" x14ac:dyDescent="0.25">
      <c r="C42" s="300" t="s">
        <v>66</v>
      </c>
      <c r="D42" s="301"/>
      <c r="E42" s="301"/>
      <c r="F42" s="301"/>
      <c r="G42" s="295">
        <f>+(D14-5)/1000*(212)/1000</f>
        <v>0.16854000000000002</v>
      </c>
      <c r="AD42" s="8"/>
      <c r="AE42" s="8"/>
      <c r="AF42" s="8"/>
      <c r="AG42" s="9"/>
      <c r="AH42" s="8"/>
      <c r="AI42" s="9"/>
      <c r="AJ42" s="9"/>
    </row>
    <row r="43" spans="3:36" ht="14.25" customHeight="1" x14ac:dyDescent="0.25">
      <c r="C43" s="283" t="s">
        <v>67</v>
      </c>
      <c r="D43" s="284"/>
      <c r="E43" s="284"/>
      <c r="F43" s="302"/>
      <c r="G43" s="305">
        <f>+(D14-5)/1000*(212)/1000</f>
        <v>0.16854000000000002</v>
      </c>
      <c r="AD43" s="8"/>
      <c r="AE43" s="8"/>
      <c r="AF43" s="8"/>
      <c r="AG43" s="9"/>
      <c r="AH43" s="8"/>
      <c r="AI43" s="9"/>
      <c r="AJ43" s="9"/>
    </row>
    <row r="44" spans="3:36" ht="14.25" customHeight="1" x14ac:dyDescent="0.25">
      <c r="C44" s="297" t="s">
        <v>68</v>
      </c>
      <c r="D44" s="298"/>
      <c r="E44" s="298"/>
      <c r="F44" s="298"/>
      <c r="G44" s="304">
        <f>+(D15-5)/1000*(212)/1000</f>
        <v>9.4340000000000007E-2</v>
      </c>
      <c r="AD44" s="8"/>
      <c r="AE44" s="8"/>
      <c r="AF44" s="8"/>
      <c r="AG44" s="9"/>
      <c r="AH44" s="8"/>
      <c r="AI44" s="9"/>
      <c r="AJ44" s="9"/>
    </row>
    <row r="45" spans="3:36" ht="14.25" customHeight="1" x14ac:dyDescent="0.25">
      <c r="C45" s="282"/>
      <c r="D45" s="286"/>
      <c r="E45" s="286"/>
      <c r="F45" s="288" t="s">
        <v>77</v>
      </c>
      <c r="G45" s="294">
        <f>SUM(G42:G44)</f>
        <v>0.43142000000000003</v>
      </c>
      <c r="I45" s="3"/>
      <c r="AD45" s="8"/>
      <c r="AE45" s="8"/>
      <c r="AF45" s="8"/>
      <c r="AG45" s="9"/>
      <c r="AH45" s="8"/>
      <c r="AI45" s="9"/>
      <c r="AJ45" s="9"/>
    </row>
    <row r="46" spans="3:36" ht="14.25" customHeight="1" x14ac:dyDescent="0.25">
      <c r="C46" s="282"/>
      <c r="D46" s="286"/>
      <c r="E46" s="286"/>
      <c r="F46" s="268" t="s">
        <v>323</v>
      </c>
      <c r="G46" s="270">
        <f>+G45/E10</f>
        <v>0.14979861111111112</v>
      </c>
      <c r="I46" s="3"/>
      <c r="AD46" s="8"/>
      <c r="AE46" s="8"/>
      <c r="AF46" s="8"/>
      <c r="AG46" s="9"/>
      <c r="AH46" s="8"/>
      <c r="AI46" s="9"/>
      <c r="AJ46" s="9"/>
    </row>
    <row r="47" spans="3:36" ht="14.25" customHeight="1" x14ac:dyDescent="0.25">
      <c r="C47" s="282"/>
      <c r="D47" s="198"/>
      <c r="E47" s="198"/>
      <c r="F47" s="303" t="s">
        <v>326</v>
      </c>
      <c r="G47" s="58">
        <f>+G46*E7</f>
        <v>31.102254001883246</v>
      </c>
      <c r="AD47" s="8"/>
      <c r="AE47" s="8"/>
      <c r="AF47" s="8"/>
      <c r="AG47" s="9"/>
      <c r="AH47" s="8"/>
      <c r="AI47" s="9"/>
      <c r="AJ47" s="9"/>
    </row>
    <row r="48" spans="3:36" ht="14.25" customHeight="1" x14ac:dyDescent="0.25">
      <c r="C48" s="282"/>
      <c r="D48" s="198"/>
      <c r="E48" s="198"/>
      <c r="F48" s="281" t="s">
        <v>101</v>
      </c>
      <c r="G48" s="58">
        <f>G47*0.3</f>
        <v>9.330676200564973</v>
      </c>
      <c r="AD48" s="8"/>
      <c r="AE48" s="8"/>
      <c r="AF48" s="8"/>
      <c r="AG48" s="9"/>
      <c r="AH48" s="8"/>
      <c r="AI48" s="9"/>
      <c r="AJ48" s="9"/>
    </row>
    <row r="49" spans="3:39" ht="14.25" customHeight="1" x14ac:dyDescent="0.25">
      <c r="C49" s="282"/>
      <c r="D49" s="198"/>
      <c r="E49" s="198"/>
      <c r="F49" s="59" t="s">
        <v>327</v>
      </c>
      <c r="G49" s="60">
        <f>G47+G48</f>
        <v>40.432930202448219</v>
      </c>
      <c r="AD49" s="8"/>
      <c r="AE49" s="8"/>
      <c r="AF49" s="8"/>
      <c r="AG49" s="9"/>
      <c r="AH49" s="8"/>
      <c r="AI49" s="9"/>
      <c r="AJ49" s="9"/>
    </row>
    <row r="50" spans="3:39" ht="7.5" customHeight="1" x14ac:dyDescent="0.25">
      <c r="M50" s="54"/>
      <c r="AD50" s="8"/>
      <c r="AE50" s="8"/>
      <c r="AF50" s="8"/>
      <c r="AG50" s="9"/>
      <c r="AH50" s="8"/>
      <c r="AI50" s="9"/>
      <c r="AJ50" s="9"/>
    </row>
    <row r="51" spans="3:39" ht="14.25" customHeight="1" x14ac:dyDescent="0.25">
      <c r="C51" s="1237" t="s">
        <v>329</v>
      </c>
      <c r="D51" s="1238"/>
      <c r="E51" s="1238"/>
      <c r="F51" s="1241" t="str">
        <f>C6</f>
        <v>Plancha LAF 3mm 1200x2400mm.</v>
      </c>
      <c r="G51" s="1242"/>
      <c r="AD51" s="8"/>
      <c r="AE51" s="8"/>
      <c r="AF51" s="8"/>
      <c r="AG51" s="9"/>
      <c r="AH51" s="8"/>
      <c r="AI51" s="9"/>
      <c r="AJ51" s="9"/>
    </row>
    <row r="52" spans="3:39" ht="14.25" customHeight="1" x14ac:dyDescent="0.25">
      <c r="C52" s="283" t="s">
        <v>43</v>
      </c>
      <c r="D52" s="302"/>
      <c r="E52" s="285">
        <f>+(D14-150+15+15-3)/1000</f>
        <v>0.67700000000000005</v>
      </c>
      <c r="F52" s="285">
        <f>+(D13-200-4+15+15)/1000</f>
        <v>1.8260000000000001</v>
      </c>
      <c r="G52" s="270">
        <f>+(D14-150+15+15-3)/1000*(D13-200-4+15+15)/1000</f>
        <v>1.236202</v>
      </c>
      <c r="H52" s="282"/>
      <c r="I52" s="3"/>
      <c r="AD52" s="8"/>
      <c r="AE52" s="8"/>
      <c r="AF52" s="8"/>
      <c r="AG52" s="9"/>
      <c r="AH52" s="8"/>
      <c r="AI52" s="9"/>
      <c r="AJ52" s="9"/>
    </row>
    <row r="53" spans="3:39" ht="14.25" customHeight="1" x14ac:dyDescent="0.25">
      <c r="C53" s="283" t="s">
        <v>93</v>
      </c>
      <c r="D53" s="302"/>
      <c r="E53" s="285">
        <f>+(D14-150+15+15-3)/1000</f>
        <v>0.67700000000000005</v>
      </c>
      <c r="F53" s="285">
        <f>+(D13-200-4+15+15)/1000</f>
        <v>1.8260000000000001</v>
      </c>
      <c r="G53" s="270">
        <f>E53*F53</f>
        <v>1.236202</v>
      </c>
      <c r="H53" s="282"/>
      <c r="I53" s="3"/>
      <c r="AD53" s="8"/>
      <c r="AE53" s="8"/>
      <c r="AF53" s="8"/>
      <c r="AG53" s="9"/>
      <c r="AH53" s="8"/>
      <c r="AI53" s="9"/>
      <c r="AJ53" s="9"/>
    </row>
    <row r="54" spans="3:39" ht="14.25" customHeight="1" x14ac:dyDescent="0.25">
      <c r="C54" s="282"/>
      <c r="D54" s="286"/>
      <c r="E54" s="286"/>
      <c r="F54" s="268" t="s">
        <v>323</v>
      </c>
      <c r="G54" s="295">
        <f>SUM(G52:G53)/E10</f>
        <v>0.8584736111111112</v>
      </c>
      <c r="H54" s="282"/>
      <c r="I54" s="3"/>
      <c r="AD54" s="8"/>
      <c r="AE54" s="8"/>
      <c r="AF54" s="8"/>
      <c r="AG54" s="9"/>
      <c r="AH54" s="8"/>
      <c r="AI54" s="9"/>
      <c r="AJ54" s="9"/>
    </row>
    <row r="55" spans="3:39" ht="14.25" customHeight="1" x14ac:dyDescent="0.25">
      <c r="C55" s="282"/>
      <c r="D55" s="198"/>
      <c r="E55" s="198"/>
      <c r="F55" s="267" t="s">
        <v>326</v>
      </c>
      <c r="G55" s="58">
        <f>+G54*E6</f>
        <v>178.24240230696802</v>
      </c>
      <c r="H55" s="282"/>
      <c r="AD55" s="8"/>
      <c r="AE55" s="8"/>
      <c r="AF55" s="8"/>
      <c r="AG55" s="9"/>
      <c r="AH55" s="8"/>
      <c r="AI55" s="9"/>
      <c r="AJ55" s="9"/>
      <c r="AK55" s="8"/>
      <c r="AL55" s="14"/>
      <c r="AM55" s="15"/>
    </row>
    <row r="56" spans="3:39" ht="14.25" customHeight="1" x14ac:dyDescent="0.25">
      <c r="C56" s="282"/>
      <c r="D56" s="198"/>
      <c r="E56" s="198"/>
      <c r="F56" s="281" t="s">
        <v>101</v>
      </c>
      <c r="G56" s="58">
        <f>G55*0.3</f>
        <v>53.472720692090405</v>
      </c>
      <c r="H56" s="282"/>
      <c r="AD56" s="8"/>
      <c r="AE56" s="8"/>
      <c r="AF56" s="8"/>
      <c r="AG56" s="9"/>
      <c r="AH56" s="8"/>
      <c r="AI56" s="9"/>
      <c r="AJ56" s="9"/>
      <c r="AK56" s="8"/>
      <c r="AL56" s="14"/>
      <c r="AM56" s="15"/>
    </row>
    <row r="57" spans="3:39" ht="14.25" customHeight="1" x14ac:dyDescent="0.25">
      <c r="C57" s="282"/>
      <c r="D57" s="198"/>
      <c r="E57" s="198"/>
      <c r="F57" s="59" t="s">
        <v>327</v>
      </c>
      <c r="G57" s="60">
        <f>G55+G56</f>
        <v>231.71512299905842</v>
      </c>
      <c r="H57" s="282"/>
      <c r="AD57" s="8"/>
      <c r="AE57" s="8"/>
      <c r="AF57" s="8"/>
      <c r="AG57" s="9"/>
      <c r="AH57" s="8"/>
      <c r="AI57" s="9"/>
      <c r="AJ57" s="9"/>
      <c r="AK57" s="8"/>
      <c r="AL57" s="14"/>
      <c r="AM57" s="15"/>
    </row>
    <row r="58" spans="3:39" ht="9.75" customHeight="1" x14ac:dyDescent="0.25">
      <c r="AD58" s="8"/>
      <c r="AE58" s="8"/>
      <c r="AF58" s="8"/>
      <c r="AG58" s="9"/>
      <c r="AH58" s="8"/>
      <c r="AI58" s="9"/>
      <c r="AJ58" s="9"/>
      <c r="AK58" s="8"/>
      <c r="AL58" s="14"/>
      <c r="AM58" s="15"/>
    </row>
    <row r="59" spans="3:39" ht="14.25" customHeight="1" x14ac:dyDescent="0.25">
      <c r="C59" s="1230" t="s">
        <v>330</v>
      </c>
      <c r="D59" s="1231"/>
      <c r="E59" s="1231"/>
      <c r="F59" s="276" t="str">
        <f>C5</f>
        <v>Plancha LAF 3mm 1200x2400mm.</v>
      </c>
      <c r="G59" s="306"/>
      <c r="AD59" s="8"/>
      <c r="AE59" s="8"/>
      <c r="AF59" s="8"/>
      <c r="AG59" s="9"/>
      <c r="AH59" s="8"/>
      <c r="AI59" s="9"/>
      <c r="AJ59" s="9"/>
      <c r="AK59" s="8"/>
      <c r="AL59" s="14"/>
      <c r="AM59" s="15"/>
    </row>
    <row r="60" spans="3:39" ht="14.25" customHeight="1" x14ac:dyDescent="0.25">
      <c r="C60" s="283" t="s">
        <v>94</v>
      </c>
      <c r="D60" s="302"/>
      <c r="E60" s="285">
        <f>+(D14-50+15+15-3)/1000</f>
        <v>0.77700000000000002</v>
      </c>
      <c r="F60" s="285">
        <f>+(D15-100-4+15+15)/1000</f>
        <v>0.376</v>
      </c>
      <c r="G60" s="285">
        <f>+(D14-50+15+15-3)/1000*(D15-100-4+15+15)/1000</f>
        <v>0.29215199999999997</v>
      </c>
      <c r="AD60" s="8"/>
      <c r="AE60" s="8"/>
      <c r="AF60" s="8"/>
      <c r="AG60" s="9"/>
      <c r="AH60" s="8"/>
      <c r="AI60" s="9"/>
      <c r="AJ60" s="9"/>
      <c r="AK60" s="8"/>
      <c r="AL60" s="14"/>
      <c r="AM60" s="15"/>
    </row>
    <row r="61" spans="3:39" ht="14.25" customHeight="1" x14ac:dyDescent="0.25">
      <c r="C61" s="282"/>
      <c r="D61" s="286"/>
      <c r="E61" s="286"/>
      <c r="F61" s="268" t="s">
        <v>323</v>
      </c>
      <c r="G61" s="307">
        <f>G60/E10</f>
        <v>0.10144166666666665</v>
      </c>
      <c r="AD61" s="8"/>
      <c r="AE61" s="8"/>
      <c r="AF61" s="8"/>
      <c r="AG61" s="9"/>
      <c r="AH61" s="8"/>
      <c r="AI61" s="9"/>
      <c r="AJ61" s="9"/>
      <c r="AK61" s="8"/>
      <c r="AL61" s="14"/>
      <c r="AM61" s="15"/>
    </row>
    <row r="62" spans="3:39" ht="14.25" customHeight="1" x14ac:dyDescent="0.25">
      <c r="C62" s="282"/>
      <c r="D62" s="198"/>
      <c r="E62" s="198"/>
      <c r="F62" s="267" t="s">
        <v>326</v>
      </c>
      <c r="G62" s="58">
        <f>+G61*E5</f>
        <v>21.062040960451977</v>
      </c>
      <c r="AD62" s="8"/>
      <c r="AE62" s="8"/>
      <c r="AF62" s="8"/>
      <c r="AG62" s="9"/>
      <c r="AH62" s="8"/>
      <c r="AI62" s="9"/>
      <c r="AJ62" s="9"/>
    </row>
    <row r="63" spans="3:39" ht="14.25" customHeight="1" x14ac:dyDescent="0.25">
      <c r="C63" s="282"/>
      <c r="D63" s="198"/>
      <c r="E63" s="198"/>
      <c r="F63" s="281" t="s">
        <v>101</v>
      </c>
      <c r="G63" s="58">
        <f>G62*0.3</f>
        <v>6.3186122881355926</v>
      </c>
      <c r="AD63" s="8"/>
      <c r="AE63" s="8"/>
      <c r="AF63" s="8"/>
      <c r="AG63" s="9"/>
      <c r="AH63" s="8"/>
      <c r="AI63" s="9"/>
      <c r="AJ63" s="9"/>
    </row>
    <row r="64" spans="3:39" ht="14.25" customHeight="1" x14ac:dyDescent="0.25">
      <c r="C64" s="282"/>
      <c r="D64" s="198"/>
      <c r="E64" s="198"/>
      <c r="F64" s="59" t="s">
        <v>327</v>
      </c>
      <c r="G64" s="60">
        <f>G62+G63</f>
        <v>27.380653248587571</v>
      </c>
      <c r="AD64" s="8"/>
      <c r="AE64" s="8"/>
      <c r="AF64" s="8"/>
      <c r="AG64" s="9"/>
      <c r="AH64" s="8"/>
      <c r="AI64" s="9"/>
      <c r="AJ64" s="9"/>
    </row>
    <row r="65" spans="3:36" ht="6.75" customHeight="1" x14ac:dyDescent="0.25">
      <c r="AD65" s="8"/>
      <c r="AE65" s="8"/>
      <c r="AF65" s="8"/>
      <c r="AG65" s="9"/>
      <c r="AH65" s="8"/>
      <c r="AI65" s="9"/>
      <c r="AJ65" s="9"/>
    </row>
    <row r="66" spans="3:36" ht="15" customHeight="1" x14ac:dyDescent="0.25">
      <c r="E66" s="1232" t="s">
        <v>95</v>
      </c>
      <c r="F66" s="1232"/>
      <c r="G66" s="308">
        <f>G30+G39+G49+G57+G64</f>
        <v>1066.0225178024955</v>
      </c>
      <c r="H66" s="20"/>
      <c r="I66" s="4">
        <v>567.92999999999995</v>
      </c>
      <c r="J66" s="54">
        <f>G66-I66</f>
        <v>498.09251780249554</v>
      </c>
      <c r="O66" s="3"/>
      <c r="R66" s="4"/>
      <c r="S66" s="3"/>
      <c r="T66" s="2"/>
      <c r="U66" s="2"/>
      <c r="V66" s="2"/>
      <c r="W66" s="2"/>
      <c r="X66" s="2"/>
      <c r="Y66" s="2"/>
      <c r="Z66" s="2"/>
      <c r="AA66" s="2"/>
      <c r="AB66" s="2"/>
    </row>
    <row r="67" spans="3:36" ht="14.25" customHeight="1" thickBot="1" x14ac:dyDescent="0.3">
      <c r="AD67" s="8"/>
      <c r="AE67" s="8"/>
      <c r="AF67" s="8"/>
      <c r="AG67" s="9"/>
      <c r="AH67" s="8"/>
      <c r="AI67" s="9"/>
      <c r="AJ67" s="9"/>
    </row>
    <row r="68" spans="3:36" ht="14.25" customHeight="1" thickBot="1" x14ac:dyDescent="0.3">
      <c r="C68" s="1202" t="s">
        <v>331</v>
      </c>
      <c r="D68" s="1203"/>
      <c r="E68" s="1203"/>
      <c r="F68" s="1203"/>
      <c r="G68" s="1204"/>
      <c r="H68" s="4"/>
      <c r="AD68" s="8"/>
      <c r="AE68" s="8"/>
      <c r="AF68" s="8"/>
      <c r="AG68" s="9"/>
      <c r="AH68" s="8"/>
      <c r="AI68" s="9"/>
      <c r="AJ68" s="9"/>
    </row>
    <row r="69" spans="3:36" ht="14.25" customHeight="1" thickBot="1" x14ac:dyDescent="0.3">
      <c r="C69" s="273" t="s">
        <v>32</v>
      </c>
      <c r="D69" s="274" t="s">
        <v>33</v>
      </c>
      <c r="E69" s="275" t="s">
        <v>315</v>
      </c>
      <c r="F69" s="274" t="s">
        <v>34</v>
      </c>
      <c r="G69" s="417" t="s">
        <v>35</v>
      </c>
      <c r="H69" s="4"/>
      <c r="AD69" s="8"/>
      <c r="AE69" s="8"/>
      <c r="AF69" s="8"/>
      <c r="AG69" s="9"/>
      <c r="AH69" s="8"/>
      <c r="AI69" s="9"/>
      <c r="AJ69" s="9"/>
    </row>
    <row r="70" spans="3:36" ht="14.25" customHeight="1" x14ac:dyDescent="0.25">
      <c r="C70" s="408" t="str">
        <f>Materiales!D83</f>
        <v>Pintura polvo m2</v>
      </c>
      <c r="D70" s="412">
        <f>(+G45+G35+G26+G52+G60)/4*2</f>
        <v>5.0691375000000001</v>
      </c>
      <c r="E70" s="416" t="s">
        <v>45</v>
      </c>
      <c r="F70" s="422">
        <f>Materiales!G83</f>
        <v>19</v>
      </c>
      <c r="G70" s="418">
        <f t="shared" ref="G70:G76" si="0">+F70*D70</f>
        <v>96.313612500000005</v>
      </c>
      <c r="H70" s="4"/>
      <c r="AD70" s="8"/>
      <c r="AE70" s="8"/>
      <c r="AF70" s="8"/>
      <c r="AG70" s="9"/>
      <c r="AH70" s="8"/>
      <c r="AI70" s="9"/>
      <c r="AJ70" s="9"/>
    </row>
    <row r="71" spans="3:36" ht="14.25" customHeight="1" x14ac:dyDescent="0.25">
      <c r="C71" s="409" t="str">
        <f>Materiales!D144</f>
        <v>Bisagra Autosoportados</v>
      </c>
      <c r="D71" s="413">
        <v>4</v>
      </c>
      <c r="E71" s="298" t="s">
        <v>315</v>
      </c>
      <c r="F71" s="423">
        <v>25</v>
      </c>
      <c r="G71" s="419">
        <f t="shared" si="0"/>
        <v>100</v>
      </c>
      <c r="H71" s="4"/>
      <c r="AD71" s="8"/>
      <c r="AE71" s="8"/>
      <c r="AF71" s="8"/>
      <c r="AG71" s="9"/>
      <c r="AH71" s="8"/>
      <c r="AI71" s="9"/>
      <c r="AJ71" s="9"/>
    </row>
    <row r="72" spans="3:36" ht="14.25" customHeight="1" x14ac:dyDescent="0.25">
      <c r="C72" s="410" t="str">
        <f>Materiales!D86</f>
        <v>Chapa para Autosoportado</v>
      </c>
      <c r="D72" s="414">
        <v>1</v>
      </c>
      <c r="E72" s="284" t="s">
        <v>315</v>
      </c>
      <c r="F72" s="424">
        <f>Materiales!G86</f>
        <v>88</v>
      </c>
      <c r="G72" s="420">
        <f t="shared" si="0"/>
        <v>88</v>
      </c>
      <c r="H72" s="4"/>
      <c r="AD72" s="8"/>
      <c r="AE72" s="8"/>
      <c r="AF72" s="8"/>
      <c r="AG72" s="9"/>
      <c r="AH72" s="8"/>
      <c r="AI72" s="9"/>
      <c r="AJ72" s="9"/>
    </row>
    <row r="73" spans="3:36" ht="14.25" customHeight="1" x14ac:dyDescent="0.25">
      <c r="C73" s="410" t="str">
        <f>Materiales!D141</f>
        <v>Pernos Gabinete autosoportado</v>
      </c>
      <c r="D73" s="414">
        <v>1</v>
      </c>
      <c r="E73" s="284" t="s">
        <v>17</v>
      </c>
      <c r="F73" s="424">
        <f>Materiales!G141</f>
        <v>40</v>
      </c>
      <c r="G73" s="420">
        <f t="shared" si="0"/>
        <v>40</v>
      </c>
      <c r="H73" s="4"/>
      <c r="AD73" s="8"/>
      <c r="AE73" s="8"/>
      <c r="AF73" s="8"/>
      <c r="AG73" s="9"/>
      <c r="AH73" s="8"/>
      <c r="AI73" s="9"/>
      <c r="AJ73" s="9"/>
    </row>
    <row r="74" spans="3:36" ht="14.25" customHeight="1" x14ac:dyDescent="0.25">
      <c r="C74" s="410" t="str">
        <f>Materiales!D136</f>
        <v>Frisa plana Adhesiva 1" X 5 MM</v>
      </c>
      <c r="D74" s="414">
        <f>6*2</f>
        <v>12</v>
      </c>
      <c r="E74" s="284" t="s">
        <v>44</v>
      </c>
      <c r="F74" s="424">
        <f>Materiales!G136</f>
        <v>2.12</v>
      </c>
      <c r="G74" s="420">
        <f t="shared" si="0"/>
        <v>25.44</v>
      </c>
      <c r="H74" s="4"/>
      <c r="AD74" s="8"/>
      <c r="AE74" s="8"/>
      <c r="AF74" s="8"/>
      <c r="AG74" s="9"/>
      <c r="AH74" s="8"/>
      <c r="AI74" s="9"/>
      <c r="AJ74" s="9"/>
    </row>
    <row r="75" spans="3:36" ht="14.25" customHeight="1" x14ac:dyDescent="0.25">
      <c r="C75" s="410" t="str">
        <f>Materiales!D138</f>
        <v>Lijas y trapo industrial</v>
      </c>
      <c r="D75" s="414">
        <v>3</v>
      </c>
      <c r="E75" s="284" t="s">
        <v>315</v>
      </c>
      <c r="F75" s="425">
        <f>Materiales!G138*2</f>
        <v>5</v>
      </c>
      <c r="G75" s="420">
        <f t="shared" si="0"/>
        <v>15</v>
      </c>
      <c r="H75" s="4"/>
      <c r="AD75" s="8"/>
      <c r="AE75" s="8"/>
      <c r="AF75" s="8"/>
      <c r="AG75" s="9"/>
      <c r="AH75" s="8"/>
      <c r="AI75" s="9"/>
      <c r="AJ75" s="9"/>
    </row>
    <row r="76" spans="3:36" ht="14.25" customHeight="1" x14ac:dyDescent="0.25">
      <c r="C76" s="411" t="str">
        <f>Materiales!D149</f>
        <v>Rotulo Logo peligro pintado</v>
      </c>
      <c r="D76" s="415">
        <v>1</v>
      </c>
      <c r="E76" s="301" t="s">
        <v>17</v>
      </c>
      <c r="F76" s="426">
        <f>Materiales!G149</f>
        <v>10</v>
      </c>
      <c r="G76" s="421">
        <f t="shared" si="0"/>
        <v>10</v>
      </c>
      <c r="H76" s="4"/>
      <c r="AD76" s="8"/>
      <c r="AE76" s="8"/>
      <c r="AF76" s="8"/>
      <c r="AG76" s="9"/>
      <c r="AH76" s="8"/>
      <c r="AI76" s="9"/>
      <c r="AJ76" s="9"/>
    </row>
    <row r="77" spans="3:36" ht="14.25" customHeight="1" x14ac:dyDescent="0.25">
      <c r="C77" s="410" t="str">
        <f>Materiales!D147</f>
        <v>Portaplanos Autosoportado</v>
      </c>
      <c r="D77" s="414">
        <v>1</v>
      </c>
      <c r="E77" s="284" t="s">
        <v>17</v>
      </c>
      <c r="F77" s="424">
        <f>Materiales!G147</f>
        <v>45</v>
      </c>
      <c r="G77" s="420">
        <f>F77*D77</f>
        <v>45</v>
      </c>
      <c r="H77" s="4"/>
      <c r="K77" s="4">
        <f>104/1.18</f>
        <v>88.13559322033899</v>
      </c>
      <c r="AD77" s="8"/>
      <c r="AE77" s="8"/>
      <c r="AF77" s="8"/>
      <c r="AG77" s="9"/>
      <c r="AH77" s="8"/>
      <c r="AI77" s="9"/>
      <c r="AJ77" s="9"/>
    </row>
    <row r="78" spans="3:36" ht="14.25" customHeight="1" x14ac:dyDescent="0.25">
      <c r="C78" s="410" t="str">
        <f>Materiales!D150</f>
        <v>Rotulo placa Nombre de tablero</v>
      </c>
      <c r="D78" s="414">
        <v>1</v>
      </c>
      <c r="E78" s="284" t="s">
        <v>17</v>
      </c>
      <c r="F78" s="424">
        <f>Materiales!G150</f>
        <v>5.5</v>
      </c>
      <c r="G78" s="420">
        <f>F78*D78</f>
        <v>5.5</v>
      </c>
      <c r="H78" s="4"/>
      <c r="AD78" s="8"/>
      <c r="AE78" s="8"/>
      <c r="AF78" s="8"/>
      <c r="AG78" s="9"/>
      <c r="AH78" s="8"/>
      <c r="AI78" s="9"/>
      <c r="AJ78" s="9"/>
    </row>
    <row r="79" spans="3:36" ht="14.25" customHeight="1" x14ac:dyDescent="0.25">
      <c r="C79" s="410" t="str">
        <f>Materiales!D151</f>
        <v>Rotulo placa circuitos derivados</v>
      </c>
      <c r="D79" s="414">
        <v>20</v>
      </c>
      <c r="E79" s="284" t="s">
        <v>315</v>
      </c>
      <c r="F79" s="424">
        <f>Materiales!G151</f>
        <v>1.5</v>
      </c>
      <c r="G79" s="420">
        <f>F79*D79</f>
        <v>30</v>
      </c>
      <c r="H79" s="4"/>
      <c r="AD79" s="8"/>
      <c r="AE79" s="8"/>
      <c r="AF79" s="8"/>
      <c r="AG79" s="9"/>
      <c r="AH79" s="8"/>
      <c r="AI79" s="9"/>
      <c r="AJ79" s="9"/>
    </row>
    <row r="80" spans="3:36" ht="14.25" customHeight="1" x14ac:dyDescent="0.25">
      <c r="C80" s="410" t="str">
        <f>Materiales!D154</f>
        <v>Embalaje Autosoportado</v>
      </c>
      <c r="D80" s="414">
        <v>1</v>
      </c>
      <c r="E80" s="284" t="s">
        <v>315</v>
      </c>
      <c r="F80" s="424">
        <f>Materiales!G154</f>
        <v>50</v>
      </c>
      <c r="G80" s="420">
        <f>D80*F80</f>
        <v>50</v>
      </c>
      <c r="H80" s="4"/>
      <c r="AD80" s="8"/>
      <c r="AE80" s="8"/>
      <c r="AF80" s="8"/>
      <c r="AG80" s="9"/>
      <c r="AH80" s="8"/>
      <c r="AI80" s="9"/>
      <c r="AJ80" s="9"/>
    </row>
    <row r="81" spans="3:36" ht="14.25" customHeight="1" x14ac:dyDescent="0.25">
      <c r="C81" s="410" t="str">
        <f>Materiales!D156</f>
        <v>Dossier, hojas, micas impresiones (Autosoportado)</v>
      </c>
      <c r="D81" s="414">
        <v>1</v>
      </c>
      <c r="E81" s="284" t="s">
        <v>17</v>
      </c>
      <c r="F81" s="424">
        <f>Materiales!G156</f>
        <v>50</v>
      </c>
      <c r="G81" s="420">
        <f>F81*D81</f>
        <v>50</v>
      </c>
      <c r="H81" s="4"/>
      <c r="AD81" s="8"/>
      <c r="AE81" s="8"/>
      <c r="AF81" s="8"/>
      <c r="AG81" s="9"/>
      <c r="AH81" s="8"/>
      <c r="AI81" s="9"/>
      <c r="AJ81" s="9"/>
    </row>
    <row r="82" spans="3:36" ht="14.25" customHeight="1" x14ac:dyDescent="0.25">
      <c r="C82" s="410" t="str">
        <f>Materiales!D158</f>
        <v>Desgaste de Maquinarias Autosoportado</v>
      </c>
      <c r="D82" s="414">
        <v>1</v>
      </c>
      <c r="E82" s="284" t="s">
        <v>17</v>
      </c>
      <c r="F82" s="424">
        <f>Materiales!G158</f>
        <v>100</v>
      </c>
      <c r="G82" s="420">
        <f>F82*D82</f>
        <v>100</v>
      </c>
      <c r="H82" s="4"/>
      <c r="AD82" s="8"/>
      <c r="AE82" s="8"/>
      <c r="AF82" s="8"/>
      <c r="AG82" s="9"/>
      <c r="AH82" s="8"/>
      <c r="AI82" s="9"/>
      <c r="AJ82" s="9"/>
    </row>
    <row r="83" spans="3:36" ht="14.25" customHeight="1" thickBot="1" x14ac:dyDescent="0.3">
      <c r="C83" s="911" t="str">
        <f>Materiales!D148</f>
        <v>Cancamos de izaje</v>
      </c>
      <c r="D83" s="414">
        <v>4</v>
      </c>
      <c r="E83" s="912" t="s">
        <v>17</v>
      </c>
      <c r="F83" s="424">
        <f>Materiales!G148</f>
        <v>25</v>
      </c>
      <c r="G83" s="424">
        <f>F83*D83</f>
        <v>100</v>
      </c>
      <c r="H83" s="4"/>
      <c r="AD83" s="8"/>
      <c r="AE83" s="8"/>
      <c r="AF83" s="8"/>
      <c r="AG83" s="9"/>
      <c r="AH83" s="8"/>
      <c r="AI83" s="9"/>
      <c r="AJ83" s="9"/>
    </row>
    <row r="84" spans="3:36" ht="14.25" customHeight="1" thickBot="1" x14ac:dyDescent="0.3">
      <c r="C84" s="311"/>
      <c r="D84" s="286"/>
      <c r="E84" s="286"/>
      <c r="F84" s="427" t="s">
        <v>83</v>
      </c>
      <c r="G84" s="428">
        <f>SUM(G70:G83)</f>
        <v>755.25361249999992</v>
      </c>
      <c r="H84" s="4"/>
      <c r="AD84" s="8"/>
      <c r="AE84" s="8"/>
      <c r="AF84" s="8"/>
      <c r="AG84" s="9"/>
      <c r="AH84" s="8"/>
      <c r="AI84" s="9"/>
      <c r="AJ84" s="9"/>
    </row>
    <row r="85" spans="3:36" ht="14.25" customHeight="1" thickBot="1" x14ac:dyDescent="0.3">
      <c r="C85" s="286"/>
      <c r="D85" s="286"/>
      <c r="E85" s="286"/>
      <c r="F85" s="286"/>
      <c r="G85" s="286"/>
      <c r="H85" s="4"/>
      <c r="AD85" s="8"/>
      <c r="AE85" s="8"/>
      <c r="AF85" s="8"/>
      <c r="AG85" s="9"/>
      <c r="AH85" s="8"/>
      <c r="AI85" s="9"/>
      <c r="AJ85" s="9"/>
    </row>
    <row r="86" spans="3:36" ht="14.25" customHeight="1" thickBot="1" x14ac:dyDescent="0.3">
      <c r="C86" s="286"/>
      <c r="D86" s="286"/>
      <c r="E86" s="286"/>
      <c r="F86" s="429" t="s">
        <v>307</v>
      </c>
      <c r="G86" s="430">
        <f>G84+G66</f>
        <v>1821.2761303024954</v>
      </c>
      <c r="H86" s="309"/>
      <c r="I86" s="310"/>
      <c r="AD86" s="8"/>
      <c r="AE86" s="8"/>
      <c r="AF86" s="8"/>
      <c r="AG86" s="9"/>
      <c r="AH86" s="8"/>
      <c r="AI86" s="9"/>
      <c r="AJ86" s="9"/>
    </row>
    <row r="87" spans="3:36" ht="14.25" customHeight="1" x14ac:dyDescent="0.25">
      <c r="C87" s="4"/>
      <c r="H87" s="4"/>
      <c r="AD87" s="8"/>
      <c r="AE87" s="8"/>
      <c r="AF87" s="8"/>
      <c r="AG87" s="9"/>
      <c r="AH87" s="8"/>
      <c r="AI87" s="9"/>
      <c r="AJ87" s="9"/>
    </row>
    <row r="88" spans="3:36" ht="14.25" customHeight="1" x14ac:dyDescent="0.25">
      <c r="AD88" s="8"/>
      <c r="AE88" s="8"/>
      <c r="AF88" s="8"/>
      <c r="AG88" s="9"/>
      <c r="AH88" s="8"/>
      <c r="AI88" s="9"/>
      <c r="AJ88" s="9"/>
    </row>
    <row r="89" spans="3:36" ht="14.25" customHeight="1" x14ac:dyDescent="0.25">
      <c r="C89" s="1205" t="s">
        <v>338</v>
      </c>
      <c r="D89" s="1205"/>
      <c r="E89" s="1205"/>
      <c r="F89" s="1205"/>
      <c r="G89" s="1205"/>
      <c r="AD89" s="8"/>
      <c r="AE89" s="8"/>
      <c r="AF89" s="8"/>
      <c r="AG89" s="9"/>
      <c r="AH89" s="8"/>
      <c r="AI89" s="9"/>
      <c r="AJ89" s="9"/>
    </row>
    <row r="90" spans="3:36" ht="42" customHeight="1" x14ac:dyDescent="0.25">
      <c r="C90" s="1243" t="s">
        <v>46</v>
      </c>
      <c r="D90" s="1243"/>
      <c r="E90" s="888" t="s">
        <v>85</v>
      </c>
      <c r="F90" s="889" t="s">
        <v>307</v>
      </c>
      <c r="G90" s="889" t="s">
        <v>308</v>
      </c>
      <c r="H90" s="913" t="s">
        <v>899</v>
      </c>
      <c r="AD90" s="8"/>
      <c r="AE90" s="8"/>
      <c r="AF90" s="8"/>
      <c r="AG90" s="9"/>
      <c r="AH90" s="8"/>
      <c r="AI90" s="9"/>
      <c r="AJ90" s="9"/>
    </row>
    <row r="91" spans="3:36" ht="14.25" customHeight="1" x14ac:dyDescent="0.25">
      <c r="C91" s="892" t="s">
        <v>878</v>
      </c>
      <c r="D91" s="893"/>
      <c r="E91" s="894"/>
      <c r="F91" s="895"/>
      <c r="G91" s="895"/>
      <c r="H91" s="52"/>
      <c r="AD91" s="8"/>
      <c r="AE91" s="8"/>
      <c r="AF91" s="8"/>
      <c r="AG91" s="9"/>
      <c r="AH91" s="8"/>
      <c r="AI91" s="9"/>
      <c r="AJ91" s="9"/>
    </row>
    <row r="92" spans="3:36" ht="14.25" customHeight="1" x14ac:dyDescent="0.25">
      <c r="C92" s="1244" t="s">
        <v>972</v>
      </c>
      <c r="D92" s="1244"/>
      <c r="E92" s="890">
        <f>+E93</f>
        <v>2575.73</v>
      </c>
      <c r="F92" s="887">
        <v>1715.15</v>
      </c>
      <c r="G92" s="887">
        <f>+G93</f>
        <v>860.58</v>
      </c>
      <c r="H92" s="52"/>
      <c r="AD92" s="8"/>
      <c r="AE92" s="8"/>
      <c r="AF92" s="8"/>
      <c r="AG92" s="9"/>
      <c r="AH92" s="8"/>
      <c r="AI92" s="9"/>
      <c r="AJ92" s="9"/>
    </row>
    <row r="93" spans="3:36" ht="14.25" customHeight="1" x14ac:dyDescent="0.25">
      <c r="C93" s="1244" t="s">
        <v>909</v>
      </c>
      <c r="D93" s="1244"/>
      <c r="E93" s="890">
        <f>F93+G93</f>
        <v>2575.73</v>
      </c>
      <c r="F93" s="887">
        <v>1715.15</v>
      </c>
      <c r="G93" s="887">
        <f>+'M. Obra Autosoportado'!D90</f>
        <v>860.58</v>
      </c>
      <c r="H93" s="52"/>
      <c r="AD93" s="8"/>
      <c r="AE93" s="8"/>
      <c r="AF93" s="8"/>
      <c r="AG93" s="9"/>
      <c r="AH93" s="8"/>
      <c r="AI93" s="9"/>
      <c r="AJ93" s="9"/>
    </row>
    <row r="94" spans="3:36" ht="14.25" customHeight="1" x14ac:dyDescent="0.25">
      <c r="C94" s="1244" t="s">
        <v>910</v>
      </c>
      <c r="D94" s="1244"/>
      <c r="E94" s="890">
        <f>+F94+G94</f>
        <v>2780.86</v>
      </c>
      <c r="F94" s="887">
        <v>1821.28</v>
      </c>
      <c r="G94" s="887">
        <f>+'M. Obra Autosoportado'!D91</f>
        <v>959.58</v>
      </c>
      <c r="H94" s="52"/>
      <c r="AD94" s="8"/>
      <c r="AE94" s="8"/>
      <c r="AF94" s="8"/>
      <c r="AG94" s="9"/>
      <c r="AH94" s="8"/>
      <c r="AI94" s="9"/>
      <c r="AJ94" s="9"/>
    </row>
    <row r="95" spans="3:36" ht="14.25" customHeight="1" x14ac:dyDescent="0.25">
      <c r="C95" s="1244" t="s">
        <v>908</v>
      </c>
      <c r="D95" s="1244"/>
      <c r="E95" s="890">
        <f>F95+G95</f>
        <v>2979.42</v>
      </c>
      <c r="F95" s="887">
        <v>1968.71</v>
      </c>
      <c r="G95" s="887">
        <f>+'M. Obra Autosoportado'!D92</f>
        <v>1010.71</v>
      </c>
      <c r="H95" s="52"/>
      <c r="AD95" s="8"/>
      <c r="AE95" s="8"/>
      <c r="AF95" s="8"/>
      <c r="AG95" s="9"/>
      <c r="AH95" s="8"/>
      <c r="AI95" s="9"/>
      <c r="AJ95" s="9"/>
    </row>
    <row r="96" spans="3:36" ht="14.25" customHeight="1" x14ac:dyDescent="0.25">
      <c r="C96" s="892" t="s">
        <v>879</v>
      </c>
      <c r="D96" s="891"/>
      <c r="E96" s="890"/>
      <c r="F96" s="887"/>
      <c r="G96" s="887"/>
      <c r="H96" s="52"/>
      <c r="AD96" s="8"/>
      <c r="AE96" s="8"/>
      <c r="AF96" s="8"/>
      <c r="AG96" s="9"/>
      <c r="AH96" s="8"/>
      <c r="AI96" s="9"/>
      <c r="AJ96" s="9"/>
    </row>
    <row r="97" spans="3:36" ht="14.25" customHeight="1" x14ac:dyDescent="0.25">
      <c r="C97" s="1244" t="s">
        <v>885</v>
      </c>
      <c r="D97" s="1244"/>
      <c r="E97" s="890">
        <f>(F97+G97)+H97</f>
        <v>3930.25</v>
      </c>
      <c r="F97" s="887">
        <v>2275.79</v>
      </c>
      <c r="G97" s="887">
        <f>+'M. Obra Autosoportado'!D93</f>
        <v>1359.46</v>
      </c>
      <c r="H97" s="887">
        <v>295</v>
      </c>
      <c r="AD97" s="8"/>
      <c r="AE97" s="8"/>
      <c r="AF97" s="8"/>
      <c r="AG97" s="9"/>
      <c r="AH97" s="8"/>
      <c r="AI97" s="9"/>
      <c r="AJ97" s="9"/>
    </row>
    <row r="98" spans="3:36" ht="14.25" customHeight="1" x14ac:dyDescent="0.25">
      <c r="C98" s="1244" t="s">
        <v>886</v>
      </c>
      <c r="D98" s="1244"/>
      <c r="E98" s="890">
        <f>(F98+G98)+H98</f>
        <v>4003.61</v>
      </c>
      <c r="F98" s="887">
        <v>2344.15</v>
      </c>
      <c r="G98" s="887">
        <f>+'M. Obra Autosoportado'!D93</f>
        <v>1359.46</v>
      </c>
      <c r="H98" s="887">
        <v>300</v>
      </c>
      <c r="AD98" s="8"/>
      <c r="AE98" s="8"/>
      <c r="AF98" s="8"/>
      <c r="AG98" s="9"/>
      <c r="AH98" s="8"/>
      <c r="AI98" s="9"/>
      <c r="AJ98" s="9"/>
    </row>
    <row r="99" spans="3:36" ht="14.25" customHeight="1" x14ac:dyDescent="0.25">
      <c r="C99" s="1244" t="s">
        <v>887</v>
      </c>
      <c r="D99" s="1244"/>
      <c r="E99" s="890">
        <f>(F99+G99)+H99</f>
        <v>4475.92</v>
      </c>
      <c r="F99" s="887">
        <v>2598.46</v>
      </c>
      <c r="G99" s="887">
        <f>+'M. Obra Autosoportado'!D94</f>
        <v>1557.46</v>
      </c>
      <c r="H99" s="887">
        <v>320</v>
      </c>
      <c r="AD99" s="8"/>
      <c r="AE99" s="8"/>
      <c r="AF99" s="8"/>
      <c r="AG99" s="9"/>
      <c r="AH99" s="8"/>
      <c r="AI99" s="9"/>
      <c r="AJ99" s="9"/>
    </row>
    <row r="100" spans="3:36" ht="14.25" customHeight="1" x14ac:dyDescent="0.25">
      <c r="C100" s="1244" t="s">
        <v>889</v>
      </c>
      <c r="D100" s="1244"/>
      <c r="E100" s="890">
        <f>(F100+G100)+H100</f>
        <v>4242.1383333333333</v>
      </c>
      <c r="F100" s="887">
        <v>2755.43</v>
      </c>
      <c r="G100" s="887">
        <f>+'M. Obra Autosoportado'!D95</f>
        <v>1136.7083333333333</v>
      </c>
      <c r="H100" s="887">
        <v>350</v>
      </c>
      <c r="AD100" s="8"/>
      <c r="AE100" s="8"/>
      <c r="AF100" s="8"/>
      <c r="AG100" s="9"/>
      <c r="AH100" s="8"/>
      <c r="AI100" s="9"/>
      <c r="AJ100" s="9"/>
    </row>
    <row r="101" spans="3:36" ht="12.75" customHeight="1" x14ac:dyDescent="0.25">
      <c r="AC101" s="21"/>
      <c r="AD101" s="22"/>
      <c r="AE101" s="22"/>
      <c r="AF101" s="8"/>
      <c r="AG101" s="9"/>
      <c r="AH101" s="8"/>
      <c r="AI101" s="9"/>
      <c r="AJ101" s="9"/>
    </row>
    <row r="102" spans="3:36" ht="12.75" customHeight="1" x14ac:dyDescent="0.25">
      <c r="AC102" s="21"/>
      <c r="AD102" s="22"/>
      <c r="AE102" s="22"/>
      <c r="AF102" s="8"/>
      <c r="AG102" s="9"/>
      <c r="AH102" s="8"/>
      <c r="AI102" s="9"/>
      <c r="AJ102" s="9"/>
    </row>
    <row r="103" spans="3:36" x14ac:dyDescent="0.25">
      <c r="AD103" s="8"/>
      <c r="AE103" s="8"/>
      <c r="AF103" s="8"/>
      <c r="AG103" s="9"/>
      <c r="AH103" s="16"/>
      <c r="AI103" s="17"/>
      <c r="AJ103" s="18"/>
    </row>
  </sheetData>
  <mergeCells count="25">
    <mergeCell ref="C89:G89"/>
    <mergeCell ref="C90:D90"/>
    <mergeCell ref="C99:D99"/>
    <mergeCell ref="C97:D97"/>
    <mergeCell ref="C100:D100"/>
    <mergeCell ref="C92:D92"/>
    <mergeCell ref="C94:D94"/>
    <mergeCell ref="C93:D93"/>
    <mergeCell ref="C95:D95"/>
    <mergeCell ref="C98:D98"/>
    <mergeCell ref="B2:H2"/>
    <mergeCell ref="C4:D4"/>
    <mergeCell ref="C6:D6"/>
    <mergeCell ref="C5:D5"/>
    <mergeCell ref="C68:G68"/>
    <mergeCell ref="C59:E59"/>
    <mergeCell ref="E66:F66"/>
    <mergeCell ref="C12:D12"/>
    <mergeCell ref="C7:D7"/>
    <mergeCell ref="C18:D18"/>
    <mergeCell ref="C17:E17"/>
    <mergeCell ref="C32:E32"/>
    <mergeCell ref="C41:E41"/>
    <mergeCell ref="F51:G51"/>
    <mergeCell ref="C51:E51"/>
  </mergeCells>
  <pageMargins left="0.55118110236220474" right="0.55118110236220474" top="0.47244094488188981" bottom="0.51181102362204722" header="0.31496062992125984" footer="0.31496062992125984"/>
  <pageSetup paperSize="9" scale="78" orientation="portrait" verticalDpi="4294967293" r:id="rId1"/>
  <rowBreaks count="1" manualBreakCount="1">
    <brk id="66" min="1" max="7" man="1"/>
  </rowBreaks>
  <colBreaks count="1" manualBreakCount="1">
    <brk id="8" max="87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BD6D6-6734-4811-9122-990786652738}">
  <dimension ref="B1:X102"/>
  <sheetViews>
    <sheetView view="pageBreakPreview" topLeftCell="A85" zoomScaleNormal="100" zoomScaleSheetLayoutView="100" workbookViewId="0">
      <selection activeCell="J99" sqref="J99"/>
    </sheetView>
  </sheetViews>
  <sheetFormatPr baseColWidth="10" defaultRowHeight="12.75" x14ac:dyDescent="0.2"/>
  <cols>
    <col min="1" max="1" width="11.42578125" style="89"/>
    <col min="2" max="2" width="18.7109375" style="89" customWidth="1"/>
    <col min="3" max="3" width="12.140625" style="89" customWidth="1"/>
    <col min="4" max="4" width="11" style="89" customWidth="1"/>
    <col min="5" max="5" width="10.7109375" style="89" customWidth="1"/>
    <col min="6" max="6" width="10" style="89" customWidth="1"/>
    <col min="7" max="7" width="10.85546875" style="89" customWidth="1"/>
    <col min="8" max="8" width="12" style="89" customWidth="1"/>
    <col min="9" max="9" width="17.42578125" style="89" customWidth="1"/>
    <col min="10" max="11" width="11.42578125" style="89"/>
    <col min="12" max="12" width="11.5703125" style="89" customWidth="1"/>
    <col min="13" max="16" width="11.42578125" style="89"/>
    <col min="17" max="17" width="12" style="89" customWidth="1"/>
    <col min="18" max="19" width="11" style="89" customWidth="1"/>
    <col min="20" max="20" width="12.140625" style="89" customWidth="1"/>
    <col min="21" max="22" width="10.7109375" style="89" customWidth="1"/>
    <col min="23" max="23" width="11.85546875" style="89" customWidth="1"/>
    <col min="24" max="24" width="10.85546875" style="89" customWidth="1"/>
    <col min="25" max="16384" width="11.42578125" style="89"/>
  </cols>
  <sheetData>
    <row r="1" spans="2:24" ht="13.5" thickBot="1" x14ac:dyDescent="0.25"/>
    <row r="2" spans="2:24" ht="18.75" thickBot="1" x14ac:dyDescent="0.3">
      <c r="B2" s="762" t="s">
        <v>828</v>
      </c>
      <c r="C2" s="763"/>
      <c r="D2" s="763"/>
      <c r="E2" s="763"/>
      <c r="F2" s="763"/>
      <c r="G2" s="763"/>
      <c r="H2" s="763"/>
      <c r="I2" s="763"/>
      <c r="J2" s="763"/>
      <c r="K2" s="763"/>
      <c r="L2" s="763"/>
      <c r="M2" s="763"/>
      <c r="N2" s="763"/>
      <c r="O2" s="763"/>
      <c r="P2" s="763"/>
      <c r="Q2" s="763"/>
      <c r="R2" s="763"/>
      <c r="S2" s="763"/>
      <c r="T2" s="763"/>
      <c r="U2" s="763"/>
      <c r="V2" s="764"/>
      <c r="W2" s="764"/>
      <c r="X2" s="765"/>
    </row>
    <row r="3" spans="2:24" ht="13.5" thickBot="1" x14ac:dyDescent="0.25">
      <c r="B3" s="590"/>
      <c r="C3" s="590"/>
      <c r="D3" s="590"/>
      <c r="E3" s="590"/>
      <c r="F3" s="590"/>
      <c r="G3" s="590"/>
      <c r="H3" s="590"/>
      <c r="I3" s="590"/>
      <c r="J3" s="590"/>
      <c r="K3" s="590"/>
      <c r="L3" s="590"/>
      <c r="M3" s="590"/>
      <c r="N3" s="590"/>
      <c r="O3" s="590"/>
      <c r="P3" s="590"/>
      <c r="Q3" s="590"/>
      <c r="R3" s="590"/>
      <c r="S3" s="590"/>
      <c r="T3" s="590"/>
      <c r="U3" s="590"/>
    </row>
    <row r="4" spans="2:24" ht="14.25" x14ac:dyDescent="0.2">
      <c r="B4" s="590"/>
      <c r="C4" s="590"/>
      <c r="D4" s="590"/>
      <c r="E4" s="590"/>
      <c r="F4" s="590"/>
      <c r="G4" s="590"/>
      <c r="H4" s="590"/>
      <c r="I4" s="766" t="s">
        <v>829</v>
      </c>
      <c r="J4" s="767">
        <v>30</v>
      </c>
      <c r="K4" s="590"/>
      <c r="L4" s="590"/>
      <c r="M4" s="590"/>
      <c r="N4" s="590"/>
      <c r="O4" s="590"/>
      <c r="P4" s="590"/>
      <c r="Q4" s="590"/>
      <c r="R4" s="590"/>
      <c r="S4" s="590"/>
      <c r="T4" s="590"/>
      <c r="U4" s="590"/>
    </row>
    <row r="5" spans="2:24" ht="15" thickBot="1" x14ac:dyDescent="0.25">
      <c r="B5" s="590"/>
      <c r="C5" s="590"/>
      <c r="D5" s="590"/>
      <c r="E5" s="590"/>
      <c r="F5" s="590"/>
      <c r="G5" s="590"/>
      <c r="H5" s="590"/>
      <c r="I5" s="768" t="s">
        <v>830</v>
      </c>
      <c r="J5" s="769">
        <v>8</v>
      </c>
      <c r="K5" s="590"/>
      <c r="L5" s="590"/>
      <c r="M5" s="590"/>
      <c r="N5" s="590"/>
      <c r="O5" s="590"/>
      <c r="P5" s="590"/>
      <c r="Q5" s="590"/>
      <c r="R5" s="590"/>
      <c r="S5" s="590"/>
      <c r="T5" s="590"/>
      <c r="U5" s="590"/>
    </row>
    <row r="6" spans="2:24" ht="15" thickBot="1" x14ac:dyDescent="0.25">
      <c r="B6" s="590"/>
      <c r="C6" s="590"/>
      <c r="D6" s="590"/>
      <c r="E6" s="590"/>
      <c r="F6" s="590"/>
      <c r="G6" s="770"/>
      <c r="H6" s="771"/>
      <c r="I6" s="771"/>
      <c r="J6" s="590"/>
      <c r="K6" s="590"/>
      <c r="L6" s="590"/>
      <c r="M6" s="590"/>
      <c r="N6" s="590"/>
      <c r="O6" s="590"/>
      <c r="P6" s="590"/>
      <c r="Q6" s="590"/>
      <c r="R6" s="590"/>
      <c r="S6" s="590"/>
      <c r="T6" s="590"/>
      <c r="U6" s="590"/>
    </row>
    <row r="7" spans="2:24" ht="14.25" customHeight="1" thickBot="1" x14ac:dyDescent="0.25">
      <c r="B7" s="1247" t="s">
        <v>292</v>
      </c>
      <c r="C7" s="1248"/>
      <c r="D7" s="1248"/>
      <c r="E7" s="1248"/>
      <c r="F7" s="1248"/>
      <c r="G7" s="1248"/>
      <c r="H7" s="1248"/>
      <c r="I7" s="1248"/>
      <c r="J7" s="1249"/>
      <c r="K7" s="590"/>
      <c r="L7" s="590"/>
      <c r="M7" s="590"/>
      <c r="N7" s="590"/>
      <c r="O7" s="590"/>
      <c r="P7" s="590"/>
      <c r="Q7" s="590"/>
      <c r="R7" s="590"/>
      <c r="S7" s="590"/>
      <c r="T7" s="590"/>
      <c r="U7" s="590"/>
    </row>
    <row r="8" spans="2:24" ht="14.25" customHeight="1" thickBot="1" x14ac:dyDescent="0.25">
      <c r="B8" s="590"/>
      <c r="C8" s="590"/>
      <c r="D8" s="590"/>
      <c r="E8" s="590"/>
      <c r="F8" s="590"/>
      <c r="G8" s="590"/>
      <c r="H8" s="590"/>
      <c r="I8" s="590"/>
      <c r="J8" s="590"/>
      <c r="K8" s="590"/>
      <c r="L8" s="590"/>
      <c r="M8" s="590"/>
      <c r="N8" s="590"/>
      <c r="O8" s="590"/>
      <c r="P8" s="590"/>
      <c r="Q8" s="590"/>
      <c r="R8" s="590"/>
      <c r="S8" s="590"/>
      <c r="T8" s="590"/>
      <c r="U8" s="590"/>
    </row>
    <row r="9" spans="2:24" ht="26.25" thickBot="1" x14ac:dyDescent="0.25">
      <c r="B9" s="590"/>
      <c r="C9" s="590"/>
      <c r="D9" s="590"/>
      <c r="E9" s="772" t="s">
        <v>831</v>
      </c>
      <c r="F9" s="590"/>
      <c r="G9" s="590"/>
      <c r="H9" s="1250" t="s">
        <v>880</v>
      </c>
      <c r="I9" s="1251"/>
      <c r="J9" s="1252"/>
      <c r="K9" s="773"/>
      <c r="L9" s="773"/>
      <c r="M9" s="774"/>
      <c r="N9" s="774"/>
      <c r="O9" s="774"/>
      <c r="P9" s="1253" t="s">
        <v>832</v>
      </c>
      <c r="Q9" s="1253"/>
      <c r="R9" s="1254"/>
      <c r="S9" s="1255" t="s">
        <v>833</v>
      </c>
      <c r="T9" s="1256"/>
      <c r="U9" s="1257"/>
      <c r="V9" s="1258" t="s">
        <v>834</v>
      </c>
      <c r="W9" s="1259"/>
      <c r="X9" s="1260"/>
    </row>
    <row r="10" spans="2:24" ht="28.5" customHeight="1" thickBot="1" x14ac:dyDescent="0.25">
      <c r="B10" s="1245" t="s">
        <v>835</v>
      </c>
      <c r="C10" s="1246"/>
      <c r="D10" s="775" t="s">
        <v>836</v>
      </c>
      <c r="E10" s="776">
        <v>1.35</v>
      </c>
      <c r="F10" s="777" t="s">
        <v>837</v>
      </c>
      <c r="G10" s="778" t="s">
        <v>838</v>
      </c>
      <c r="H10" s="779" t="s">
        <v>839</v>
      </c>
      <c r="I10" s="780" t="s">
        <v>829</v>
      </c>
      <c r="J10" s="781" t="s">
        <v>840</v>
      </c>
      <c r="K10" s="782"/>
      <c r="L10" s="782"/>
      <c r="M10" s="782"/>
      <c r="N10" s="782"/>
      <c r="O10" s="782"/>
      <c r="P10" s="780" t="s">
        <v>829</v>
      </c>
      <c r="Q10" s="783" t="s">
        <v>839</v>
      </c>
      <c r="R10" s="784" t="s">
        <v>840</v>
      </c>
      <c r="S10" s="785" t="s">
        <v>829</v>
      </c>
      <c r="T10" s="783" t="s">
        <v>839</v>
      </c>
      <c r="U10" s="784" t="s">
        <v>840</v>
      </c>
      <c r="V10" s="786" t="s">
        <v>829</v>
      </c>
      <c r="W10" s="787" t="s">
        <v>839</v>
      </c>
      <c r="X10" s="788" t="s">
        <v>840</v>
      </c>
    </row>
    <row r="11" spans="2:24" ht="14.25" x14ac:dyDescent="0.2">
      <c r="B11" s="1262" t="s">
        <v>841</v>
      </c>
      <c r="C11" s="789" t="s">
        <v>842</v>
      </c>
      <c r="D11" s="790">
        <v>2400</v>
      </c>
      <c r="E11" s="791">
        <f>+D11*E10</f>
        <v>3240</v>
      </c>
      <c r="F11" s="790">
        <f>+E11/J4</f>
        <v>108</v>
      </c>
      <c r="G11" s="792">
        <f>+F11/J5</f>
        <v>13.5</v>
      </c>
      <c r="H11" s="793"/>
      <c r="I11" s="794">
        <v>1</v>
      </c>
      <c r="J11" s="795">
        <f t="shared" ref="J11:J20" si="0">+I11*F11</f>
        <v>108</v>
      </c>
      <c r="K11" s="102"/>
      <c r="L11" s="102"/>
      <c r="M11" s="102"/>
      <c r="N11" s="102"/>
      <c r="O11" s="102"/>
      <c r="P11" s="796" t="s">
        <v>843</v>
      </c>
      <c r="Q11" s="794">
        <v>3</v>
      </c>
      <c r="R11" s="795">
        <f>+Q11*G11</f>
        <v>40.5</v>
      </c>
      <c r="S11" s="797">
        <v>1.5</v>
      </c>
      <c r="T11" s="794" t="s">
        <v>843</v>
      </c>
      <c r="U11" s="795">
        <f t="shared" ref="U11:U20" si="1">+S11*F11</f>
        <v>162</v>
      </c>
      <c r="V11" s="798">
        <v>2.5</v>
      </c>
      <c r="W11" s="799" t="s">
        <v>843</v>
      </c>
      <c r="X11" s="800">
        <f t="shared" ref="X11:X24" si="2">+V11*F11</f>
        <v>270</v>
      </c>
    </row>
    <row r="12" spans="2:24" ht="15" thickBot="1" x14ac:dyDescent="0.25">
      <c r="B12" s="1264"/>
      <c r="C12" s="801" t="s">
        <v>844</v>
      </c>
      <c r="D12" s="802">
        <v>2000</v>
      </c>
      <c r="E12" s="803">
        <f>+D12*E10</f>
        <v>2700</v>
      </c>
      <c r="F12" s="804">
        <f>+E12/J4</f>
        <v>90</v>
      </c>
      <c r="G12" s="805">
        <f>+F12/J5</f>
        <v>11.25</v>
      </c>
      <c r="H12" s="806"/>
      <c r="I12" s="218">
        <v>1</v>
      </c>
      <c r="J12" s="807">
        <f t="shared" si="0"/>
        <v>90</v>
      </c>
      <c r="K12" s="102"/>
      <c r="L12" s="102"/>
      <c r="M12" s="102"/>
      <c r="N12" s="102"/>
      <c r="O12" s="102"/>
      <c r="P12" s="808" t="s">
        <v>843</v>
      </c>
      <c r="Q12" s="218">
        <v>3</v>
      </c>
      <c r="R12" s="807">
        <f>+Q12*G12</f>
        <v>33.75</v>
      </c>
      <c r="S12" s="809">
        <v>1.5</v>
      </c>
      <c r="T12" s="218" t="s">
        <v>843</v>
      </c>
      <c r="U12" s="807">
        <f t="shared" si="1"/>
        <v>135</v>
      </c>
      <c r="V12" s="810">
        <v>2.5</v>
      </c>
      <c r="W12" s="811" t="s">
        <v>843</v>
      </c>
      <c r="X12" s="812">
        <f t="shared" si="2"/>
        <v>225</v>
      </c>
    </row>
    <row r="13" spans="2:24" ht="14.25" x14ac:dyDescent="0.2">
      <c r="B13" s="1262" t="s">
        <v>845</v>
      </c>
      <c r="C13" s="813" t="s">
        <v>842</v>
      </c>
      <c r="D13" s="814">
        <v>2400</v>
      </c>
      <c r="E13" s="815">
        <f>+D13*E10</f>
        <v>3240</v>
      </c>
      <c r="F13" s="814">
        <f>+E13/J4</f>
        <v>108</v>
      </c>
      <c r="G13" s="121">
        <f>+F13/J5</f>
        <v>13.5</v>
      </c>
      <c r="H13" s="816"/>
      <c r="I13" s="205">
        <v>1</v>
      </c>
      <c r="J13" s="817">
        <f t="shared" si="0"/>
        <v>108</v>
      </c>
      <c r="K13" s="102"/>
      <c r="L13" s="102"/>
      <c r="M13" s="102"/>
      <c r="N13" s="102"/>
      <c r="O13" s="102"/>
      <c r="P13" s="818" t="s">
        <v>843</v>
      </c>
      <c r="Q13" s="205">
        <v>5</v>
      </c>
      <c r="R13" s="817">
        <f>+Q13*G13</f>
        <v>67.5</v>
      </c>
      <c r="S13" s="819">
        <v>1</v>
      </c>
      <c r="T13" s="205" t="s">
        <v>843</v>
      </c>
      <c r="U13" s="817">
        <f t="shared" si="1"/>
        <v>108</v>
      </c>
      <c r="V13" s="820">
        <v>2.5</v>
      </c>
      <c r="W13" s="821" t="s">
        <v>843</v>
      </c>
      <c r="X13" s="822">
        <f t="shared" si="2"/>
        <v>270</v>
      </c>
    </row>
    <row r="14" spans="2:24" ht="15" thickBot="1" x14ac:dyDescent="0.25">
      <c r="B14" s="1264"/>
      <c r="C14" s="813" t="s">
        <v>844</v>
      </c>
      <c r="D14" s="814">
        <v>2000</v>
      </c>
      <c r="E14" s="815">
        <f>+D14*E10</f>
        <v>2700</v>
      </c>
      <c r="F14" s="823">
        <f>+E14/J4</f>
        <v>90</v>
      </c>
      <c r="G14" s="824">
        <f>+F14/J5</f>
        <v>11.25</v>
      </c>
      <c r="H14" s="816"/>
      <c r="I14" s="205">
        <v>1</v>
      </c>
      <c r="J14" s="817">
        <f t="shared" si="0"/>
        <v>90</v>
      </c>
      <c r="K14" s="102"/>
      <c r="L14" s="102"/>
      <c r="M14" s="102"/>
      <c r="N14" s="102"/>
      <c r="O14" s="102"/>
      <c r="P14" s="818" t="s">
        <v>843</v>
      </c>
      <c r="Q14" s="205">
        <v>5</v>
      </c>
      <c r="R14" s="817">
        <f>+Q14*G14</f>
        <v>56.25</v>
      </c>
      <c r="S14" s="819">
        <v>1</v>
      </c>
      <c r="T14" s="205" t="s">
        <v>843</v>
      </c>
      <c r="U14" s="817">
        <f t="shared" si="1"/>
        <v>90</v>
      </c>
      <c r="V14" s="820">
        <v>2.5</v>
      </c>
      <c r="W14" s="821" t="s">
        <v>843</v>
      </c>
      <c r="X14" s="822">
        <f t="shared" si="2"/>
        <v>225</v>
      </c>
    </row>
    <row r="15" spans="2:24" ht="14.25" x14ac:dyDescent="0.2">
      <c r="B15" s="1262" t="s">
        <v>361</v>
      </c>
      <c r="C15" s="789" t="s">
        <v>846</v>
      </c>
      <c r="D15" s="790">
        <v>2400</v>
      </c>
      <c r="E15" s="791">
        <f>+D15*E10</f>
        <v>3240</v>
      </c>
      <c r="F15" s="790">
        <f>+E15/J4</f>
        <v>108</v>
      </c>
      <c r="G15" s="792">
        <f>+F15/J5</f>
        <v>13.5</v>
      </c>
      <c r="H15" s="793"/>
      <c r="I15" s="794">
        <v>1</v>
      </c>
      <c r="J15" s="795">
        <f t="shared" si="0"/>
        <v>108</v>
      </c>
      <c r="K15" s="102"/>
      <c r="L15" s="102"/>
      <c r="M15" s="102"/>
      <c r="N15" s="102"/>
      <c r="O15" s="102"/>
      <c r="P15" s="825">
        <v>0.5</v>
      </c>
      <c r="Q15" s="794" t="s">
        <v>843</v>
      </c>
      <c r="R15" s="795">
        <f>+P15*F15</f>
        <v>54</v>
      </c>
      <c r="S15" s="797">
        <v>1.5</v>
      </c>
      <c r="T15" s="794" t="s">
        <v>843</v>
      </c>
      <c r="U15" s="795">
        <f t="shared" si="1"/>
        <v>162</v>
      </c>
      <c r="V15" s="798">
        <v>3</v>
      </c>
      <c r="W15" s="799" t="s">
        <v>843</v>
      </c>
      <c r="X15" s="800">
        <f t="shared" si="2"/>
        <v>324</v>
      </c>
    </row>
    <row r="16" spans="2:24" ht="15" thickBot="1" x14ac:dyDescent="0.25">
      <c r="B16" s="1264"/>
      <c r="C16" s="801" t="s">
        <v>844</v>
      </c>
      <c r="D16" s="802">
        <v>2000</v>
      </c>
      <c r="E16" s="803">
        <f>+D16*E10</f>
        <v>2700</v>
      </c>
      <c r="F16" s="804">
        <f>+E16/J4</f>
        <v>90</v>
      </c>
      <c r="G16" s="805">
        <f>+F16/J5</f>
        <v>11.25</v>
      </c>
      <c r="H16" s="806"/>
      <c r="I16" s="218">
        <v>1</v>
      </c>
      <c r="J16" s="807">
        <f t="shared" si="0"/>
        <v>90</v>
      </c>
      <c r="K16" s="102"/>
      <c r="L16" s="102"/>
      <c r="M16" s="102"/>
      <c r="N16" s="102"/>
      <c r="O16" s="102"/>
      <c r="P16" s="826">
        <v>0.5</v>
      </c>
      <c r="Q16" s="218" t="s">
        <v>843</v>
      </c>
      <c r="R16" s="807">
        <f>+P16*F16</f>
        <v>45</v>
      </c>
      <c r="S16" s="809">
        <v>1.5</v>
      </c>
      <c r="T16" s="218" t="s">
        <v>843</v>
      </c>
      <c r="U16" s="807">
        <f t="shared" si="1"/>
        <v>135</v>
      </c>
      <c r="V16" s="810">
        <v>3</v>
      </c>
      <c r="W16" s="811" t="s">
        <v>843</v>
      </c>
      <c r="X16" s="812">
        <f t="shared" si="2"/>
        <v>270</v>
      </c>
    </row>
    <row r="17" spans="2:24" ht="14.25" x14ac:dyDescent="0.2">
      <c r="B17" s="1262" t="s">
        <v>847</v>
      </c>
      <c r="C17" s="789" t="s">
        <v>846</v>
      </c>
      <c r="D17" s="790">
        <v>2400</v>
      </c>
      <c r="E17" s="791">
        <f>+D17*E10</f>
        <v>3240</v>
      </c>
      <c r="F17" s="790">
        <f>+E17/J4</f>
        <v>108</v>
      </c>
      <c r="G17" s="792">
        <f>+F17/J5</f>
        <v>13.5</v>
      </c>
      <c r="H17" s="793" t="s">
        <v>843</v>
      </c>
      <c r="I17" s="794"/>
      <c r="J17" s="795">
        <f t="shared" si="0"/>
        <v>0</v>
      </c>
      <c r="K17" s="102"/>
      <c r="L17" s="102"/>
      <c r="M17" s="102"/>
      <c r="N17" s="102"/>
      <c r="O17" s="102"/>
      <c r="P17" s="825" t="s">
        <v>843</v>
      </c>
      <c r="Q17" s="794">
        <v>6</v>
      </c>
      <c r="R17" s="795">
        <f>+Q17*G17</f>
        <v>81</v>
      </c>
      <c r="S17" s="797">
        <v>1.5</v>
      </c>
      <c r="T17" s="794" t="s">
        <v>843</v>
      </c>
      <c r="U17" s="795">
        <f t="shared" si="1"/>
        <v>162</v>
      </c>
      <c r="V17" s="798">
        <v>3</v>
      </c>
      <c r="W17" s="799" t="s">
        <v>843</v>
      </c>
      <c r="X17" s="800">
        <f t="shared" si="2"/>
        <v>324</v>
      </c>
    </row>
    <row r="18" spans="2:24" ht="15" thickBot="1" x14ac:dyDescent="0.25">
      <c r="B18" s="1264"/>
      <c r="C18" s="801" t="s">
        <v>844</v>
      </c>
      <c r="D18" s="802">
        <v>2000</v>
      </c>
      <c r="E18" s="803">
        <f>+D18*E10</f>
        <v>2700</v>
      </c>
      <c r="F18" s="804">
        <f>+E18/J4</f>
        <v>90</v>
      </c>
      <c r="G18" s="805">
        <f>+F18/J5</f>
        <v>11.25</v>
      </c>
      <c r="H18" s="806" t="s">
        <v>843</v>
      </c>
      <c r="I18" s="218"/>
      <c r="J18" s="807">
        <f t="shared" si="0"/>
        <v>0</v>
      </c>
      <c r="K18" s="102"/>
      <c r="L18" s="102"/>
      <c r="M18" s="102"/>
      <c r="N18" s="102"/>
      <c r="O18" s="102"/>
      <c r="P18" s="826" t="s">
        <v>843</v>
      </c>
      <c r="Q18" s="218">
        <v>6</v>
      </c>
      <c r="R18" s="807">
        <f>+Q18*G18</f>
        <v>67.5</v>
      </c>
      <c r="S18" s="809">
        <v>1.5</v>
      </c>
      <c r="T18" s="218" t="s">
        <v>843</v>
      </c>
      <c r="U18" s="807">
        <f t="shared" si="1"/>
        <v>135</v>
      </c>
      <c r="V18" s="810">
        <v>3</v>
      </c>
      <c r="W18" s="811" t="s">
        <v>843</v>
      </c>
      <c r="X18" s="812">
        <f t="shared" si="2"/>
        <v>270</v>
      </c>
    </row>
    <row r="19" spans="2:24" ht="14.25" x14ac:dyDescent="0.2">
      <c r="B19" s="1262" t="s">
        <v>848</v>
      </c>
      <c r="C19" s="789" t="s">
        <v>842</v>
      </c>
      <c r="D19" s="790">
        <v>2400</v>
      </c>
      <c r="E19" s="791">
        <f>+D19*E10</f>
        <v>3240</v>
      </c>
      <c r="F19" s="790">
        <f>+E19/J4</f>
        <v>108</v>
      </c>
      <c r="G19" s="792">
        <f>+F19/J5</f>
        <v>13.5</v>
      </c>
      <c r="H19" s="793" t="s">
        <v>843</v>
      </c>
      <c r="I19" s="794">
        <v>1</v>
      </c>
      <c r="J19" s="795">
        <f t="shared" si="0"/>
        <v>108</v>
      </c>
      <c r="K19" s="102"/>
      <c r="L19" s="102"/>
      <c r="M19" s="102"/>
      <c r="N19" s="102"/>
      <c r="O19" s="102"/>
      <c r="P19" s="796">
        <v>1</v>
      </c>
      <c r="Q19" s="794" t="s">
        <v>843</v>
      </c>
      <c r="R19" s="795">
        <f>+P19*F19</f>
        <v>108</v>
      </c>
      <c r="S19" s="827">
        <v>2.5</v>
      </c>
      <c r="T19" s="794" t="s">
        <v>843</v>
      </c>
      <c r="U19" s="795">
        <f t="shared" si="1"/>
        <v>270</v>
      </c>
      <c r="V19" s="798">
        <v>4</v>
      </c>
      <c r="W19" s="799" t="s">
        <v>843</v>
      </c>
      <c r="X19" s="800">
        <f t="shared" si="2"/>
        <v>432</v>
      </c>
    </row>
    <row r="20" spans="2:24" ht="15" thickBot="1" x14ac:dyDescent="0.25">
      <c r="B20" s="1264"/>
      <c r="C20" s="801" t="s">
        <v>844</v>
      </c>
      <c r="D20" s="802">
        <v>2000</v>
      </c>
      <c r="E20" s="803">
        <f>+D20*E10</f>
        <v>2700</v>
      </c>
      <c r="F20" s="804">
        <f>+E20/J4</f>
        <v>90</v>
      </c>
      <c r="G20" s="805">
        <f>+F20/J5</f>
        <v>11.25</v>
      </c>
      <c r="H20" s="806" t="s">
        <v>843</v>
      </c>
      <c r="I20" s="218">
        <v>1</v>
      </c>
      <c r="J20" s="807">
        <f t="shared" si="0"/>
        <v>90</v>
      </c>
      <c r="K20" s="102"/>
      <c r="L20" s="102"/>
      <c r="M20" s="102"/>
      <c r="N20" s="102"/>
      <c r="O20" s="102"/>
      <c r="P20" s="808">
        <v>1</v>
      </c>
      <c r="Q20" s="218" t="s">
        <v>843</v>
      </c>
      <c r="R20" s="807">
        <f>+P20*F20</f>
        <v>90</v>
      </c>
      <c r="S20" s="828">
        <v>2.5</v>
      </c>
      <c r="T20" s="218" t="s">
        <v>843</v>
      </c>
      <c r="U20" s="807">
        <f t="shared" si="1"/>
        <v>225</v>
      </c>
      <c r="V20" s="810">
        <v>4</v>
      </c>
      <c r="W20" s="811" t="s">
        <v>843</v>
      </c>
      <c r="X20" s="812">
        <f t="shared" si="2"/>
        <v>360</v>
      </c>
    </row>
    <row r="21" spans="2:24" ht="14.25" x14ac:dyDescent="0.2">
      <c r="B21" s="1262" t="s">
        <v>569</v>
      </c>
      <c r="C21" s="789" t="s">
        <v>849</v>
      </c>
      <c r="D21" s="790">
        <v>2400</v>
      </c>
      <c r="E21" s="791">
        <f>+D21*E10</f>
        <v>3240</v>
      </c>
      <c r="F21" s="790">
        <f>+E21/J4</f>
        <v>108</v>
      </c>
      <c r="G21" s="792">
        <f>+F21/J5</f>
        <v>13.5</v>
      </c>
      <c r="H21" s="793">
        <v>1</v>
      </c>
      <c r="I21" s="794"/>
      <c r="J21" s="795">
        <f>+H21*G21</f>
        <v>13.5</v>
      </c>
      <c r="K21" s="102"/>
      <c r="L21" s="102"/>
      <c r="M21" s="102"/>
      <c r="N21" s="102"/>
      <c r="O21" s="102"/>
      <c r="P21" s="796" t="s">
        <v>843</v>
      </c>
      <c r="Q21" s="794">
        <v>2</v>
      </c>
      <c r="R21" s="795">
        <f>+Q21*G21</f>
        <v>27</v>
      </c>
      <c r="S21" s="827" t="s">
        <v>843</v>
      </c>
      <c r="T21" s="794">
        <v>5</v>
      </c>
      <c r="U21" s="795">
        <f>+T21*G21</f>
        <v>67.5</v>
      </c>
      <c r="V21" s="798">
        <v>1.5</v>
      </c>
      <c r="W21" s="799" t="s">
        <v>843</v>
      </c>
      <c r="X21" s="800">
        <f t="shared" si="2"/>
        <v>162</v>
      </c>
    </row>
    <row r="22" spans="2:24" ht="15" thickBot="1" x14ac:dyDescent="0.25">
      <c r="B22" s="1264"/>
      <c r="C22" s="801" t="s">
        <v>844</v>
      </c>
      <c r="D22" s="802">
        <v>2000</v>
      </c>
      <c r="E22" s="803">
        <f>+D22*E10</f>
        <v>2700</v>
      </c>
      <c r="F22" s="804">
        <f>+E22/J4</f>
        <v>90</v>
      </c>
      <c r="G22" s="805">
        <f>+F22/J5</f>
        <v>11.25</v>
      </c>
      <c r="H22" s="806">
        <v>1</v>
      </c>
      <c r="I22" s="218"/>
      <c r="J22" s="807">
        <f>+H22*G22</f>
        <v>11.25</v>
      </c>
      <c r="K22" s="102"/>
      <c r="L22" s="102"/>
      <c r="M22" s="102"/>
      <c r="N22" s="102"/>
      <c r="O22" s="102"/>
      <c r="P22" s="808" t="s">
        <v>843</v>
      </c>
      <c r="Q22" s="218">
        <v>2</v>
      </c>
      <c r="R22" s="807">
        <f>+Q22*G22</f>
        <v>22.5</v>
      </c>
      <c r="S22" s="828" t="s">
        <v>843</v>
      </c>
      <c r="T22" s="218">
        <v>5</v>
      </c>
      <c r="U22" s="807">
        <f>+T22*G22</f>
        <v>56.25</v>
      </c>
      <c r="V22" s="810">
        <v>1.5</v>
      </c>
      <c r="W22" s="811" t="s">
        <v>843</v>
      </c>
      <c r="X22" s="812">
        <f t="shared" si="2"/>
        <v>135</v>
      </c>
    </row>
    <row r="23" spans="2:24" ht="14.25" x14ac:dyDescent="0.2">
      <c r="B23" s="1262" t="s">
        <v>850</v>
      </c>
      <c r="C23" s="813" t="s">
        <v>842</v>
      </c>
      <c r="D23" s="814">
        <v>2400</v>
      </c>
      <c r="E23" s="815">
        <f>+D23*E10</f>
        <v>3240</v>
      </c>
      <c r="F23" s="814">
        <f>+E23/J4</f>
        <v>108</v>
      </c>
      <c r="G23" s="121">
        <f>+F23/J5</f>
        <v>13.5</v>
      </c>
      <c r="H23" s="816">
        <v>1</v>
      </c>
      <c r="I23" s="205"/>
      <c r="J23" s="817">
        <f>+H23*G23</f>
        <v>13.5</v>
      </c>
      <c r="K23" s="102"/>
      <c r="L23" s="102"/>
      <c r="M23" s="102"/>
      <c r="N23" s="102"/>
      <c r="O23" s="102"/>
      <c r="P23" s="818">
        <v>1</v>
      </c>
      <c r="Q23" s="205" t="s">
        <v>843</v>
      </c>
      <c r="R23" s="817">
        <f>+P23*F23</f>
        <v>108</v>
      </c>
      <c r="S23" s="829">
        <v>1</v>
      </c>
      <c r="T23" s="205" t="s">
        <v>843</v>
      </c>
      <c r="U23" s="817">
        <f>+S23*F23</f>
        <v>108</v>
      </c>
      <c r="V23" s="820">
        <v>1</v>
      </c>
      <c r="W23" s="821" t="s">
        <v>843</v>
      </c>
      <c r="X23" s="822">
        <f t="shared" si="2"/>
        <v>108</v>
      </c>
    </row>
    <row r="24" spans="2:24" ht="15" thickBot="1" x14ac:dyDescent="0.25">
      <c r="B24" s="1264"/>
      <c r="C24" s="801" t="s">
        <v>844</v>
      </c>
      <c r="D24" s="802">
        <v>2000</v>
      </c>
      <c r="E24" s="803">
        <f>+D24*E10</f>
        <v>2700</v>
      </c>
      <c r="F24" s="804">
        <f>+E24/J4</f>
        <v>90</v>
      </c>
      <c r="G24" s="805">
        <f>+F24/J5</f>
        <v>11.25</v>
      </c>
      <c r="H24" s="806">
        <v>1</v>
      </c>
      <c r="I24" s="218"/>
      <c r="J24" s="807">
        <f>+H24*G24</f>
        <v>11.25</v>
      </c>
      <c r="K24" s="102"/>
      <c r="L24" s="102"/>
      <c r="M24" s="102"/>
      <c r="N24" s="102"/>
      <c r="O24" s="102"/>
      <c r="P24" s="808">
        <v>1</v>
      </c>
      <c r="Q24" s="218" t="s">
        <v>843</v>
      </c>
      <c r="R24" s="807">
        <f>+P24*F24</f>
        <v>90</v>
      </c>
      <c r="S24" s="828">
        <v>1</v>
      </c>
      <c r="T24" s="218" t="s">
        <v>843</v>
      </c>
      <c r="U24" s="807">
        <f>+S24*F24</f>
        <v>90</v>
      </c>
      <c r="V24" s="810">
        <v>1</v>
      </c>
      <c r="W24" s="811" t="s">
        <v>843</v>
      </c>
      <c r="X24" s="812">
        <f t="shared" si="2"/>
        <v>90</v>
      </c>
    </row>
    <row r="25" spans="2:24" ht="15" thickBot="1" x14ac:dyDescent="0.25">
      <c r="B25" s="590"/>
      <c r="C25" s="590"/>
      <c r="D25" s="102"/>
      <c r="E25" s="102"/>
      <c r="F25" s="102"/>
      <c r="G25" s="102"/>
      <c r="H25" s="151"/>
      <c r="I25" s="151"/>
      <c r="J25" s="830">
        <f>SUM(J11:J24)</f>
        <v>841.5</v>
      </c>
      <c r="K25" s="115"/>
      <c r="L25" s="115"/>
      <c r="M25" s="115"/>
      <c r="N25" s="115"/>
      <c r="O25" s="115"/>
      <c r="P25" s="818"/>
      <c r="Q25" s="151"/>
      <c r="R25" s="102"/>
      <c r="S25" s="151"/>
      <c r="T25" s="151"/>
      <c r="U25" s="102"/>
      <c r="V25" s="831"/>
      <c r="W25" s="831"/>
      <c r="X25" s="832"/>
    </row>
    <row r="26" spans="2:24" ht="14.25" x14ac:dyDescent="0.2">
      <c r="B26" s="590"/>
      <c r="C26" s="590"/>
      <c r="D26" s="102"/>
      <c r="E26" s="102"/>
      <c r="F26" s="102"/>
      <c r="G26" s="102"/>
      <c r="H26" s="151"/>
      <c r="I26" s="151"/>
      <c r="J26" s="102"/>
      <c r="K26" s="102"/>
      <c r="L26" s="102"/>
      <c r="M26" s="102"/>
      <c r="N26" s="102"/>
      <c r="O26" s="102"/>
      <c r="P26" s="818"/>
      <c r="Q26" s="151"/>
      <c r="R26" s="102"/>
      <c r="S26" s="151"/>
      <c r="T26" s="151"/>
      <c r="U26" s="102"/>
      <c r="V26" s="831"/>
      <c r="W26" s="831"/>
      <c r="X26" s="832"/>
    </row>
    <row r="27" spans="2:24" ht="15" thickBot="1" x14ac:dyDescent="0.25">
      <c r="B27" s="590"/>
      <c r="C27" s="590"/>
      <c r="D27" s="102"/>
      <c r="E27" s="102"/>
      <c r="F27" s="102"/>
      <c r="G27" s="102"/>
      <c r="H27" s="151"/>
      <c r="I27" s="151"/>
      <c r="J27" s="102"/>
      <c r="K27" s="102"/>
      <c r="L27" s="102"/>
      <c r="M27" s="102"/>
      <c r="N27" s="102"/>
      <c r="O27" s="102"/>
      <c r="P27" s="818"/>
      <c r="Q27" s="151"/>
      <c r="R27" s="102"/>
      <c r="S27" s="151"/>
      <c r="T27" s="151"/>
      <c r="U27" s="102"/>
      <c r="V27" s="831"/>
      <c r="W27" s="831"/>
      <c r="X27" s="832"/>
    </row>
    <row r="28" spans="2:24" ht="26.25" thickBot="1" x14ac:dyDescent="0.25">
      <c r="B28" s="590"/>
      <c r="C28" s="590"/>
      <c r="D28" s="590"/>
      <c r="E28" s="772" t="s">
        <v>831</v>
      </c>
      <c r="F28" s="590"/>
      <c r="G28" s="590"/>
      <c r="H28" s="1250" t="s">
        <v>880</v>
      </c>
      <c r="I28" s="1251"/>
      <c r="J28" s="1252"/>
      <c r="K28" s="773"/>
      <c r="L28" s="773"/>
      <c r="M28" s="774"/>
      <c r="N28" s="102"/>
      <c r="O28" s="102"/>
      <c r="P28" s="818"/>
      <c r="Q28" s="151"/>
      <c r="R28" s="102"/>
      <c r="S28" s="151"/>
      <c r="T28" s="151"/>
      <c r="U28" s="102"/>
      <c r="V28" s="831"/>
      <c r="W28" s="831"/>
      <c r="X28" s="832"/>
    </row>
    <row r="29" spans="2:24" ht="28.5" customHeight="1" thickBot="1" x14ac:dyDescent="0.25">
      <c r="B29" s="1245" t="s">
        <v>835</v>
      </c>
      <c r="C29" s="1246"/>
      <c r="D29" s="833" t="s">
        <v>836</v>
      </c>
      <c r="E29" s="776">
        <v>1.35</v>
      </c>
      <c r="F29" s="777" t="s">
        <v>837</v>
      </c>
      <c r="G29" s="904" t="s">
        <v>838</v>
      </c>
      <c r="H29" s="779" t="s">
        <v>839</v>
      </c>
      <c r="I29" s="780" t="s">
        <v>829</v>
      </c>
      <c r="J29" s="781" t="s">
        <v>840</v>
      </c>
      <c r="K29" s="834"/>
      <c r="L29" s="834"/>
      <c r="M29" s="782"/>
      <c r="N29" s="102"/>
      <c r="O29" s="102"/>
      <c r="P29" s="818"/>
      <c r="Q29" s="151"/>
      <c r="R29" s="102"/>
      <c r="S29" s="151"/>
      <c r="T29" s="151"/>
      <c r="U29" s="102"/>
      <c r="V29" s="831"/>
      <c r="W29" s="831"/>
      <c r="X29" s="832"/>
    </row>
    <row r="30" spans="2:24" ht="14.25" x14ac:dyDescent="0.2">
      <c r="B30" s="1262" t="s">
        <v>851</v>
      </c>
      <c r="C30" s="789" t="s">
        <v>842</v>
      </c>
      <c r="D30" s="790">
        <v>2400</v>
      </c>
      <c r="E30" s="791">
        <f>+D30*E10</f>
        <v>3240</v>
      </c>
      <c r="F30" s="790">
        <f>+E30/J4</f>
        <v>108</v>
      </c>
      <c r="G30" s="792">
        <f>+F30/J5</f>
        <v>13.5</v>
      </c>
      <c r="H30" s="793" t="s">
        <v>843</v>
      </c>
      <c r="I30" s="835">
        <v>3</v>
      </c>
      <c r="J30" s="791">
        <f>+I30*F30</f>
        <v>324</v>
      </c>
      <c r="K30" s="836"/>
      <c r="L30" s="836"/>
      <c r="M30" s="102"/>
      <c r="N30" s="102"/>
      <c r="O30" s="102"/>
      <c r="P30" s="910"/>
      <c r="Q30" s="151"/>
      <c r="R30" s="102"/>
      <c r="S30" s="151"/>
      <c r="T30" s="151"/>
      <c r="U30" s="102"/>
      <c r="V30" s="831"/>
      <c r="W30" s="831"/>
      <c r="X30" s="832"/>
    </row>
    <row r="31" spans="2:24" ht="14.25" x14ac:dyDescent="0.2">
      <c r="B31" s="1263"/>
      <c r="C31" s="813" t="s">
        <v>852</v>
      </c>
      <c r="D31" s="814">
        <v>2000</v>
      </c>
      <c r="E31" s="815">
        <f>+D31*E10</f>
        <v>2700</v>
      </c>
      <c r="F31" s="823">
        <f>+E31/J4</f>
        <v>90</v>
      </c>
      <c r="G31" s="116">
        <f>+F31/J5</f>
        <v>11.25</v>
      </c>
      <c r="H31" s="816" t="s">
        <v>843</v>
      </c>
      <c r="I31" s="151">
        <v>3</v>
      </c>
      <c r="J31" s="815">
        <f>+I31*F31</f>
        <v>270</v>
      </c>
      <c r="K31" s="836"/>
      <c r="L31" s="836"/>
      <c r="M31" s="102"/>
      <c r="N31" s="102"/>
      <c r="O31" s="102"/>
      <c r="P31" s="910"/>
      <c r="Q31" s="151"/>
      <c r="R31" s="102"/>
      <c r="S31" s="151"/>
      <c r="T31" s="151"/>
      <c r="U31" s="102"/>
      <c r="V31" s="831"/>
      <c r="W31" s="831"/>
      <c r="X31" s="832"/>
    </row>
    <row r="32" spans="2:24" ht="15" thickBot="1" x14ac:dyDescent="0.25">
      <c r="B32" s="1264"/>
      <c r="C32" s="801" t="s">
        <v>853</v>
      </c>
      <c r="D32" s="802">
        <v>1600</v>
      </c>
      <c r="E32" s="803">
        <f>+D32*E10</f>
        <v>2160</v>
      </c>
      <c r="F32" s="804">
        <f>+E32/J4</f>
        <v>72</v>
      </c>
      <c r="G32" s="805">
        <f>+F32/J5</f>
        <v>9</v>
      </c>
      <c r="H32" s="806" t="s">
        <v>843</v>
      </c>
      <c r="I32" s="837">
        <v>3</v>
      </c>
      <c r="J32" s="803">
        <f>+I32*F32</f>
        <v>216</v>
      </c>
      <c r="K32" s="836"/>
      <c r="L32" s="836"/>
      <c r="M32" s="102"/>
      <c r="N32" s="102"/>
      <c r="O32" s="102"/>
      <c r="P32" s="910"/>
      <c r="Q32" s="151"/>
      <c r="R32" s="102"/>
      <c r="S32" s="151"/>
      <c r="T32" s="151"/>
      <c r="U32" s="102"/>
      <c r="V32" s="831"/>
      <c r="W32" s="831"/>
      <c r="X32" s="832"/>
    </row>
    <row r="33" spans="2:24" ht="15.75" thickBot="1" x14ac:dyDescent="0.3">
      <c r="B33" s="838"/>
      <c r="C33" s="590"/>
      <c r="D33" s="115"/>
      <c r="E33" s="115"/>
      <c r="F33" s="102"/>
      <c r="G33" s="102"/>
      <c r="H33" s="98"/>
      <c r="I33" s="98"/>
      <c r="J33" s="909">
        <f>+SUM(J30:J32)</f>
        <v>810</v>
      </c>
      <c r="K33" s="839"/>
      <c r="L33" s="839"/>
      <c r="M33" s="840"/>
      <c r="N33" s="840"/>
      <c r="O33" s="840"/>
      <c r="P33" s="102"/>
      <c r="Q33" s="98"/>
      <c r="R33" s="905"/>
      <c r="S33" s="102"/>
      <c r="T33" s="98"/>
      <c r="U33" s="906"/>
      <c r="V33" s="92"/>
      <c r="W33" s="92"/>
      <c r="X33" s="907"/>
    </row>
    <row r="34" spans="2:24" ht="15" x14ac:dyDescent="0.25">
      <c r="B34" s="590"/>
      <c r="C34" s="590"/>
      <c r="D34" s="115"/>
      <c r="E34" s="115"/>
      <c r="F34" s="102"/>
      <c r="G34" s="102"/>
      <c r="H34" s="98"/>
      <c r="I34" s="98"/>
      <c r="J34" s="839"/>
      <c r="K34" s="839"/>
      <c r="L34" s="839"/>
      <c r="M34" s="840"/>
      <c r="N34" s="840"/>
      <c r="O34" s="840"/>
      <c r="P34" s="102"/>
      <c r="Q34" s="98"/>
      <c r="R34" s="905"/>
      <c r="S34" s="102"/>
      <c r="T34" s="98"/>
      <c r="U34" s="906"/>
      <c r="V34" s="92"/>
      <c r="W34" s="92"/>
      <c r="X34" s="907"/>
    </row>
    <row r="35" spans="2:24" ht="15.75" thickBot="1" x14ac:dyDescent="0.3">
      <c r="B35" s="590"/>
      <c r="C35" s="590"/>
      <c r="D35" s="115"/>
      <c r="E35" s="115"/>
      <c r="F35" s="102"/>
      <c r="G35" s="102"/>
      <c r="H35" s="98"/>
      <c r="I35" s="98"/>
      <c r="J35" s="839"/>
      <c r="K35" s="839"/>
      <c r="L35" s="839"/>
      <c r="M35" s="840"/>
      <c r="N35" s="840"/>
      <c r="O35" s="840"/>
      <c r="P35" s="102"/>
      <c r="Q35" s="98"/>
      <c r="R35" s="905"/>
      <c r="S35" s="102"/>
      <c r="T35" s="98"/>
      <c r="U35" s="906"/>
      <c r="V35" s="92"/>
      <c r="W35" s="92"/>
      <c r="X35" s="907"/>
    </row>
    <row r="36" spans="2:24" ht="26.25" thickBot="1" x14ac:dyDescent="0.25">
      <c r="B36" s="590"/>
      <c r="C36" s="590"/>
      <c r="D36" s="590"/>
      <c r="E36" s="772" t="s">
        <v>831</v>
      </c>
      <c r="F36" s="590"/>
      <c r="G36" s="590"/>
      <c r="H36" s="1250" t="s">
        <v>880</v>
      </c>
      <c r="I36" s="1251"/>
      <c r="J36" s="1252"/>
      <c r="K36" s="773"/>
      <c r="L36" s="773"/>
      <c r="M36" s="774"/>
      <c r="N36" s="102"/>
      <c r="O36" s="102"/>
      <c r="P36" s="818"/>
      <c r="Q36" s="151"/>
      <c r="R36" s="102"/>
      <c r="S36" s="151"/>
      <c r="T36" s="151"/>
      <c r="U36" s="102"/>
      <c r="V36" s="831"/>
      <c r="W36" s="831"/>
      <c r="X36" s="832"/>
    </row>
    <row r="37" spans="2:24" ht="50.25" customHeight="1" thickBot="1" x14ac:dyDescent="0.25">
      <c r="B37" s="917" t="s">
        <v>895</v>
      </c>
      <c r="C37" s="918"/>
      <c r="D37" s="833" t="s">
        <v>836</v>
      </c>
      <c r="E37" s="776">
        <v>1.35</v>
      </c>
      <c r="F37" s="777" t="s">
        <v>837</v>
      </c>
      <c r="G37" s="904" t="s">
        <v>838</v>
      </c>
      <c r="H37" s="779" t="s">
        <v>839</v>
      </c>
      <c r="I37" s="780" t="s">
        <v>829</v>
      </c>
      <c r="J37" s="781" t="s">
        <v>840</v>
      </c>
      <c r="K37" s="834"/>
      <c r="L37" s="834"/>
      <c r="M37" s="782"/>
      <c r="N37" s="102"/>
      <c r="O37" s="102"/>
      <c r="P37" s="818"/>
      <c r="Q37" s="151"/>
      <c r="R37" s="102"/>
      <c r="S37" s="151"/>
      <c r="T37" s="151"/>
      <c r="U37" s="102"/>
      <c r="V37" s="831"/>
      <c r="W37" s="831"/>
      <c r="X37" s="832"/>
    </row>
    <row r="38" spans="2:24" ht="14.25" x14ac:dyDescent="0.2">
      <c r="B38" s="1262" t="s">
        <v>851</v>
      </c>
      <c r="C38" s="789" t="s">
        <v>842</v>
      </c>
      <c r="D38" s="790">
        <v>2400</v>
      </c>
      <c r="E38" s="791">
        <f>+D38*E37</f>
        <v>3240</v>
      </c>
      <c r="F38" s="790">
        <f>+E38/J4</f>
        <v>108</v>
      </c>
      <c r="G38" s="792">
        <f>+F38/J5</f>
        <v>13.5</v>
      </c>
      <c r="H38" s="793" t="s">
        <v>843</v>
      </c>
      <c r="I38" s="835">
        <v>3.5</v>
      </c>
      <c r="J38" s="791">
        <f>+I38*F38</f>
        <v>378</v>
      </c>
      <c r="K38" s="836"/>
      <c r="L38" s="836"/>
      <c r="M38" s="102"/>
      <c r="N38" s="102"/>
      <c r="O38" s="102"/>
      <c r="P38" s="910"/>
      <c r="Q38" s="151"/>
      <c r="R38" s="102"/>
      <c r="S38" s="151"/>
      <c r="T38" s="151"/>
      <c r="U38" s="102"/>
      <c r="V38" s="831"/>
      <c r="W38" s="831"/>
      <c r="X38" s="832"/>
    </row>
    <row r="39" spans="2:24" ht="14.25" x14ac:dyDescent="0.2">
      <c r="B39" s="1263"/>
      <c r="C39" s="813" t="s">
        <v>852</v>
      </c>
      <c r="D39" s="814">
        <v>2000</v>
      </c>
      <c r="E39" s="815">
        <f>+D39*E37</f>
        <v>2700</v>
      </c>
      <c r="F39" s="823">
        <f>+E39/J4</f>
        <v>90</v>
      </c>
      <c r="G39" s="116">
        <f>+F39/J5</f>
        <v>11.25</v>
      </c>
      <c r="H39" s="816" t="s">
        <v>843</v>
      </c>
      <c r="I39" s="151">
        <v>3.5</v>
      </c>
      <c r="J39" s="815">
        <f>+I39*F39</f>
        <v>315</v>
      </c>
      <c r="K39" s="836"/>
      <c r="L39" s="836"/>
      <c r="M39" s="102"/>
      <c r="N39" s="102"/>
      <c r="O39" s="102"/>
      <c r="P39" s="910"/>
      <c r="Q39" s="151"/>
      <c r="R39" s="102"/>
      <c r="S39" s="151"/>
      <c r="T39" s="151"/>
      <c r="U39" s="102"/>
      <c r="V39" s="831"/>
      <c r="W39" s="831"/>
      <c r="X39" s="832"/>
    </row>
    <row r="40" spans="2:24" ht="15" thickBot="1" x14ac:dyDescent="0.25">
      <c r="B40" s="1264"/>
      <c r="C40" s="801" t="s">
        <v>853</v>
      </c>
      <c r="D40" s="802">
        <v>1600</v>
      </c>
      <c r="E40" s="803">
        <f>+D40*E37</f>
        <v>2160</v>
      </c>
      <c r="F40" s="804">
        <f>+E40/J4</f>
        <v>72</v>
      </c>
      <c r="G40" s="805">
        <f>+F40/J5</f>
        <v>9</v>
      </c>
      <c r="H40" s="806" t="s">
        <v>843</v>
      </c>
      <c r="I40" s="837">
        <v>3.5</v>
      </c>
      <c r="J40" s="803">
        <f>+I40*F40</f>
        <v>252</v>
      </c>
      <c r="K40" s="836"/>
      <c r="L40" s="836"/>
      <c r="M40" s="102"/>
      <c r="N40" s="102"/>
      <c r="O40" s="102"/>
      <c r="P40" s="910"/>
      <c r="Q40" s="151"/>
      <c r="R40" s="102"/>
      <c r="S40" s="151"/>
      <c r="T40" s="151"/>
      <c r="U40" s="102"/>
      <c r="V40" s="831"/>
      <c r="W40" s="831"/>
      <c r="X40" s="832"/>
    </row>
    <row r="41" spans="2:24" ht="15.75" thickBot="1" x14ac:dyDescent="0.3">
      <c r="B41" s="838"/>
      <c r="C41" s="590"/>
      <c r="D41" s="115"/>
      <c r="E41" s="115"/>
      <c r="F41" s="102"/>
      <c r="G41" s="102"/>
      <c r="H41" s="98"/>
      <c r="I41" s="98"/>
      <c r="J41" s="909">
        <f>+SUM(J38:J40)</f>
        <v>945</v>
      </c>
      <c r="K41" s="839"/>
      <c r="L41" s="839"/>
      <c r="M41" s="840"/>
      <c r="N41" s="840"/>
      <c r="O41" s="840"/>
      <c r="P41" s="102"/>
      <c r="Q41" s="98"/>
      <c r="R41" s="905"/>
      <c r="S41" s="102"/>
      <c r="T41" s="98"/>
      <c r="U41" s="906"/>
      <c r="V41" s="92"/>
      <c r="W41" s="92"/>
      <c r="X41" s="907"/>
    </row>
    <row r="42" spans="2:24" ht="15.75" thickBot="1" x14ac:dyDescent="0.3">
      <c r="B42" s="590"/>
      <c r="C42" s="590"/>
      <c r="D42" s="115"/>
      <c r="E42" s="115"/>
      <c r="F42" s="102"/>
      <c r="G42" s="102"/>
      <c r="H42" s="98"/>
      <c r="I42" s="98"/>
      <c r="J42" s="839"/>
      <c r="K42" s="839"/>
      <c r="L42" s="839"/>
      <c r="M42" s="840"/>
      <c r="N42" s="840"/>
      <c r="O42" s="840"/>
      <c r="P42" s="102"/>
      <c r="Q42" s="98"/>
      <c r="R42" s="905"/>
      <c r="S42" s="102"/>
      <c r="T42" s="98"/>
      <c r="U42" s="906"/>
      <c r="V42" s="92"/>
      <c r="W42" s="92"/>
      <c r="X42" s="907"/>
    </row>
    <row r="43" spans="2:24" ht="26.25" thickBot="1" x14ac:dyDescent="0.25">
      <c r="B43" s="590"/>
      <c r="C43" s="590"/>
      <c r="D43" s="590"/>
      <c r="E43" s="772" t="s">
        <v>831</v>
      </c>
      <c r="F43" s="590"/>
      <c r="G43" s="590"/>
      <c r="H43" s="1250" t="s">
        <v>880</v>
      </c>
      <c r="I43" s="1251"/>
      <c r="J43" s="1252"/>
      <c r="K43" s="773"/>
      <c r="L43" s="773"/>
      <c r="M43" s="774"/>
      <c r="N43" s="102"/>
      <c r="O43" s="102"/>
      <c r="P43" s="818"/>
      <c r="Q43" s="151"/>
      <c r="R43" s="102"/>
      <c r="S43" s="151"/>
      <c r="T43" s="151"/>
      <c r="U43" s="102"/>
      <c r="V43" s="831"/>
      <c r="W43" s="831"/>
      <c r="X43" s="832"/>
    </row>
    <row r="44" spans="2:24" ht="51" customHeight="1" thickBot="1" x14ac:dyDescent="0.25">
      <c r="B44" s="917" t="s">
        <v>898</v>
      </c>
      <c r="C44" s="918"/>
      <c r="D44" s="833" t="s">
        <v>836</v>
      </c>
      <c r="E44" s="776">
        <v>1.35</v>
      </c>
      <c r="F44" s="777" t="s">
        <v>837</v>
      </c>
      <c r="G44" s="904" t="s">
        <v>838</v>
      </c>
      <c r="H44" s="779" t="s">
        <v>839</v>
      </c>
      <c r="I44" s="780" t="s">
        <v>829</v>
      </c>
      <c r="J44" s="781" t="s">
        <v>840</v>
      </c>
      <c r="K44" s="834"/>
      <c r="L44" s="834"/>
      <c r="M44" s="782"/>
      <c r="N44" s="102"/>
      <c r="O44" s="102"/>
      <c r="P44" s="818"/>
      <c r="Q44" s="151"/>
      <c r="R44" s="102"/>
      <c r="S44" s="151"/>
      <c r="T44" s="151"/>
      <c r="U44" s="102"/>
      <c r="V44" s="831"/>
      <c r="W44" s="831"/>
      <c r="X44" s="832"/>
    </row>
    <row r="45" spans="2:24" ht="14.25" x14ac:dyDescent="0.2">
      <c r="B45" s="1262" t="s">
        <v>851</v>
      </c>
      <c r="C45" s="789" t="s">
        <v>842</v>
      </c>
      <c r="D45" s="790">
        <v>2400</v>
      </c>
      <c r="E45" s="791">
        <f>+D45*E44</f>
        <v>3240</v>
      </c>
      <c r="F45" s="790">
        <f>+E45/J4</f>
        <v>108</v>
      </c>
      <c r="G45" s="792">
        <f>+F45/J5</f>
        <v>13.5</v>
      </c>
      <c r="H45" s="793" t="s">
        <v>843</v>
      </c>
      <c r="I45" s="835">
        <v>4.5</v>
      </c>
      <c r="J45" s="791">
        <f>+I45*F45</f>
        <v>486</v>
      </c>
      <c r="K45" s="836"/>
      <c r="L45" s="836"/>
      <c r="M45" s="102"/>
      <c r="N45" s="102"/>
      <c r="O45" s="102"/>
      <c r="P45" s="910"/>
      <c r="Q45" s="151"/>
      <c r="R45" s="102"/>
      <c r="S45" s="151"/>
      <c r="T45" s="151"/>
      <c r="U45" s="102"/>
      <c r="V45" s="831"/>
      <c r="W45" s="831"/>
      <c r="X45" s="832"/>
    </row>
    <row r="46" spans="2:24" ht="14.25" x14ac:dyDescent="0.2">
      <c r="B46" s="1263"/>
      <c r="C46" s="813" t="s">
        <v>852</v>
      </c>
      <c r="D46" s="814">
        <v>2000</v>
      </c>
      <c r="E46" s="815">
        <f>+D46*E44</f>
        <v>2700</v>
      </c>
      <c r="F46" s="823">
        <f>+E46/J4</f>
        <v>90</v>
      </c>
      <c r="G46" s="116">
        <f>+F46/J5</f>
        <v>11.25</v>
      </c>
      <c r="H46" s="816" t="s">
        <v>843</v>
      </c>
      <c r="I46" s="151">
        <v>4.5</v>
      </c>
      <c r="J46" s="815">
        <f>+I46*F46</f>
        <v>405</v>
      </c>
      <c r="K46" s="836"/>
      <c r="L46" s="836"/>
      <c r="M46" s="102"/>
      <c r="N46" s="102"/>
      <c r="O46" s="102"/>
      <c r="P46" s="910"/>
      <c r="Q46" s="151"/>
      <c r="R46" s="102"/>
      <c r="S46" s="151"/>
      <c r="T46" s="151"/>
      <c r="U46" s="102"/>
      <c r="V46" s="831"/>
      <c r="W46" s="831"/>
      <c r="X46" s="832"/>
    </row>
    <row r="47" spans="2:24" ht="15" thickBot="1" x14ac:dyDescent="0.25">
      <c r="B47" s="1264"/>
      <c r="C47" s="801" t="s">
        <v>853</v>
      </c>
      <c r="D47" s="802">
        <v>1600</v>
      </c>
      <c r="E47" s="803">
        <f>+D47*E44</f>
        <v>2160</v>
      </c>
      <c r="F47" s="804">
        <f>+E47/J4</f>
        <v>72</v>
      </c>
      <c r="G47" s="805">
        <f>+F47/J5</f>
        <v>9</v>
      </c>
      <c r="H47" s="806" t="s">
        <v>843</v>
      </c>
      <c r="I47" s="837">
        <v>4.5</v>
      </c>
      <c r="J47" s="803">
        <f>+I47*F47</f>
        <v>324</v>
      </c>
      <c r="K47" s="836"/>
      <c r="L47" s="836"/>
      <c r="M47" s="102"/>
      <c r="N47" s="102"/>
      <c r="O47" s="102"/>
      <c r="P47" s="910"/>
      <c r="Q47" s="151"/>
      <c r="R47" s="102"/>
      <c r="S47" s="151"/>
      <c r="T47" s="151"/>
      <c r="U47" s="102"/>
      <c r="V47" s="831"/>
      <c r="W47" s="831"/>
      <c r="X47" s="832"/>
    </row>
    <row r="48" spans="2:24" ht="15.75" thickBot="1" x14ac:dyDescent="0.3">
      <c r="B48" s="838"/>
      <c r="C48" s="590"/>
      <c r="D48" s="115"/>
      <c r="E48" s="115"/>
      <c r="F48" s="102"/>
      <c r="G48" s="102"/>
      <c r="H48" s="98"/>
      <c r="I48" s="98"/>
      <c r="J48" s="909">
        <f>+SUM(J45:J47)</f>
        <v>1215</v>
      </c>
      <c r="K48" s="839"/>
      <c r="L48" s="839"/>
      <c r="M48" s="840"/>
      <c r="N48" s="840"/>
      <c r="O48" s="840"/>
      <c r="P48" s="102"/>
      <c r="Q48" s="98"/>
      <c r="R48" s="905"/>
      <c r="S48" s="102"/>
      <c r="T48" s="98"/>
      <c r="U48" s="906"/>
      <c r="V48" s="92"/>
      <c r="W48" s="92"/>
      <c r="X48" s="907"/>
    </row>
    <row r="49" spans="2:24" ht="15.75" thickBot="1" x14ac:dyDescent="0.3">
      <c r="B49" s="590"/>
      <c r="C49" s="590"/>
      <c r="D49" s="115"/>
      <c r="E49" s="115"/>
      <c r="F49" s="102"/>
      <c r="G49" s="102"/>
      <c r="H49" s="98"/>
      <c r="I49" s="98"/>
      <c r="J49" s="839"/>
      <c r="K49" s="839"/>
      <c r="L49" s="839"/>
      <c r="M49" s="840"/>
      <c r="N49" s="840"/>
      <c r="O49" s="840"/>
      <c r="P49" s="102"/>
      <c r="Q49" s="98"/>
      <c r="R49" s="905"/>
      <c r="S49" s="102"/>
      <c r="T49" s="98"/>
      <c r="U49" s="906"/>
      <c r="V49" s="92"/>
      <c r="W49" s="92"/>
      <c r="X49" s="907"/>
    </row>
    <row r="50" spans="2:24" ht="26.25" thickBot="1" x14ac:dyDescent="0.25">
      <c r="B50" s="590"/>
      <c r="C50" s="590"/>
      <c r="D50" s="590"/>
      <c r="E50" s="772" t="s">
        <v>831</v>
      </c>
      <c r="F50" s="590"/>
      <c r="G50" s="590"/>
      <c r="H50" s="1250" t="s">
        <v>880</v>
      </c>
      <c r="I50" s="1251"/>
      <c r="J50" s="1252"/>
      <c r="K50" s="773"/>
      <c r="L50" s="773"/>
      <c r="M50" s="774"/>
      <c r="N50" s="102"/>
      <c r="O50" s="102"/>
      <c r="P50" s="818"/>
      <c r="Q50" s="151"/>
      <c r="R50" s="102"/>
      <c r="S50" s="151"/>
      <c r="T50" s="151"/>
      <c r="U50" s="102"/>
      <c r="V50" s="831"/>
      <c r="W50" s="831"/>
      <c r="X50" s="832"/>
    </row>
    <row r="51" spans="2:24" ht="49.5" customHeight="1" thickBot="1" x14ac:dyDescent="0.25">
      <c r="B51" s="917" t="s">
        <v>897</v>
      </c>
      <c r="C51" s="918"/>
      <c r="D51" s="833" t="s">
        <v>836</v>
      </c>
      <c r="E51" s="776">
        <v>1.35</v>
      </c>
      <c r="F51" s="777" t="s">
        <v>837</v>
      </c>
      <c r="G51" s="904" t="s">
        <v>838</v>
      </c>
      <c r="H51" s="779" t="s">
        <v>839</v>
      </c>
      <c r="I51" s="780" t="s">
        <v>829</v>
      </c>
      <c r="J51" s="781" t="s">
        <v>840</v>
      </c>
      <c r="K51" s="834"/>
      <c r="L51" s="834"/>
      <c r="M51" s="782"/>
      <c r="N51" s="102"/>
      <c r="O51" s="102"/>
      <c r="P51" s="818"/>
      <c r="Q51" s="151"/>
      <c r="R51" s="102"/>
      <c r="S51" s="151"/>
      <c r="T51" s="151"/>
      <c r="U51" s="102"/>
      <c r="V51" s="831"/>
      <c r="W51" s="831"/>
      <c r="X51" s="832"/>
    </row>
    <row r="52" spans="2:24" ht="14.25" x14ac:dyDescent="0.2">
      <c r="B52" s="1262" t="s">
        <v>851</v>
      </c>
      <c r="C52" s="789" t="s">
        <v>842</v>
      </c>
      <c r="D52" s="790">
        <v>2400</v>
      </c>
      <c r="E52" s="791">
        <f>+D52*E51</f>
        <v>3240</v>
      </c>
      <c r="F52" s="790">
        <f>+E52/J4</f>
        <v>108</v>
      </c>
      <c r="G52" s="792">
        <f>+F52/J5</f>
        <v>13.5</v>
      </c>
      <c r="H52" s="793" t="s">
        <v>843</v>
      </c>
      <c r="I52" s="835">
        <v>4</v>
      </c>
      <c r="J52" s="791">
        <f>+I52*F52</f>
        <v>432</v>
      </c>
      <c r="K52" s="836"/>
      <c r="L52" s="836"/>
      <c r="M52" s="102"/>
      <c r="N52" s="102"/>
      <c r="O52" s="102"/>
      <c r="P52" s="910"/>
      <c r="Q52" s="151"/>
      <c r="R52" s="102"/>
      <c r="S52" s="151"/>
      <c r="T52" s="151"/>
      <c r="U52" s="102"/>
      <c r="V52" s="831"/>
      <c r="W52" s="831"/>
      <c r="X52" s="832"/>
    </row>
    <row r="53" spans="2:24" ht="14.25" x14ac:dyDescent="0.2">
      <c r="B53" s="1263"/>
      <c r="C53" s="813" t="s">
        <v>852</v>
      </c>
      <c r="D53" s="814">
        <v>2000</v>
      </c>
      <c r="E53" s="815">
        <f>+D53*E51</f>
        <v>2700</v>
      </c>
      <c r="F53" s="823">
        <f>+E53/J4</f>
        <v>90</v>
      </c>
      <c r="G53" s="116">
        <f>+F53/J5</f>
        <v>11.25</v>
      </c>
      <c r="H53" s="816" t="s">
        <v>843</v>
      </c>
      <c r="I53" s="151">
        <v>4</v>
      </c>
      <c r="J53" s="815">
        <f>+I53*F53</f>
        <v>360</v>
      </c>
      <c r="K53" s="836"/>
      <c r="L53" s="836"/>
      <c r="M53" s="102"/>
      <c r="N53" s="102"/>
      <c r="O53" s="102"/>
      <c r="P53" s="910"/>
      <c r="Q53" s="151"/>
      <c r="R53" s="102"/>
      <c r="S53" s="151"/>
      <c r="T53" s="151"/>
      <c r="U53" s="102"/>
      <c r="V53" s="831"/>
      <c r="W53" s="831"/>
      <c r="X53" s="832"/>
    </row>
    <row r="54" spans="2:24" ht="15" thickBot="1" x14ac:dyDescent="0.25">
      <c r="B54" s="1264"/>
      <c r="C54" s="801" t="s">
        <v>853</v>
      </c>
      <c r="D54" s="802">
        <v>1600</v>
      </c>
      <c r="E54" s="803">
        <f>+D54*E51</f>
        <v>2160</v>
      </c>
      <c r="F54" s="804">
        <f>+E54/J4</f>
        <v>72</v>
      </c>
      <c r="G54" s="805">
        <f>+F54/J5</f>
        <v>9</v>
      </c>
      <c r="H54" s="806" t="s">
        <v>843</v>
      </c>
      <c r="I54" s="837">
        <v>4</v>
      </c>
      <c r="J54" s="803">
        <f>+I54*F54</f>
        <v>288</v>
      </c>
      <c r="K54" s="836"/>
      <c r="L54" s="836"/>
      <c r="M54" s="102"/>
      <c r="N54" s="102"/>
      <c r="O54" s="102"/>
      <c r="P54" s="910"/>
      <c r="Q54" s="151"/>
      <c r="R54" s="102"/>
      <c r="S54" s="151"/>
      <c r="T54" s="151"/>
      <c r="U54" s="102"/>
      <c r="V54" s="831"/>
      <c r="W54" s="831"/>
      <c r="X54" s="832"/>
    </row>
    <row r="55" spans="2:24" ht="15.75" thickBot="1" x14ac:dyDescent="0.3">
      <c r="B55" s="838"/>
      <c r="C55" s="590"/>
      <c r="D55" s="115"/>
      <c r="E55" s="115"/>
      <c r="F55" s="102"/>
      <c r="G55" s="102"/>
      <c r="H55" s="98"/>
      <c r="I55" s="98"/>
      <c r="J55" s="909">
        <f>+SUM(J52:J54)</f>
        <v>1080</v>
      </c>
      <c r="K55" s="839"/>
      <c r="L55" s="839"/>
      <c r="M55" s="840"/>
      <c r="N55" s="840"/>
      <c r="O55" s="840"/>
      <c r="P55" s="102"/>
      <c r="Q55" s="98"/>
      <c r="R55" s="905"/>
      <c r="S55" s="102"/>
      <c r="T55" s="98"/>
      <c r="U55" s="906"/>
      <c r="V55" s="92"/>
      <c r="W55" s="92"/>
      <c r="X55" s="907"/>
    </row>
    <row r="56" spans="2:24" ht="15.75" thickBot="1" x14ac:dyDescent="0.3">
      <c r="B56" s="590"/>
      <c r="C56" s="590"/>
      <c r="D56" s="115"/>
      <c r="E56" s="115"/>
      <c r="F56" s="102"/>
      <c r="G56" s="102"/>
      <c r="H56" s="98"/>
      <c r="I56" s="98"/>
      <c r="J56" s="839"/>
      <c r="K56" s="839"/>
      <c r="L56" s="839"/>
      <c r="M56" s="840"/>
      <c r="N56" s="840"/>
      <c r="O56" s="840"/>
      <c r="P56" s="102"/>
      <c r="Q56" s="98"/>
      <c r="R56" s="905"/>
      <c r="S56" s="102"/>
      <c r="T56" s="98"/>
      <c r="U56" s="906"/>
      <c r="V56" s="92"/>
      <c r="W56" s="92"/>
      <c r="X56" s="907"/>
    </row>
    <row r="57" spans="2:24" ht="26.25" thickBot="1" x14ac:dyDescent="0.25">
      <c r="B57" s="590"/>
      <c r="C57" s="590"/>
      <c r="D57" s="590"/>
      <c r="E57" s="772" t="s">
        <v>831</v>
      </c>
      <c r="F57" s="590"/>
      <c r="G57" s="590"/>
      <c r="H57" s="1250" t="s">
        <v>880</v>
      </c>
      <c r="I57" s="1251"/>
      <c r="J57" s="1252"/>
      <c r="K57" s="773"/>
      <c r="L57" s="773"/>
      <c r="M57" s="774"/>
      <c r="N57" s="102"/>
      <c r="O57" s="102"/>
      <c r="P57" s="818"/>
      <c r="Q57" s="151"/>
      <c r="R57" s="102"/>
      <c r="S57" s="151"/>
      <c r="T57" s="151"/>
      <c r="U57" s="102"/>
      <c r="V57" s="831"/>
      <c r="W57" s="831"/>
      <c r="X57" s="832"/>
    </row>
    <row r="58" spans="2:24" ht="63.75" customHeight="1" thickBot="1" x14ac:dyDescent="0.25">
      <c r="B58" s="917" t="s">
        <v>896</v>
      </c>
      <c r="C58" s="918"/>
      <c r="D58" s="833" t="s">
        <v>836</v>
      </c>
      <c r="E58" s="776">
        <v>1.35</v>
      </c>
      <c r="F58" s="777" t="s">
        <v>837</v>
      </c>
      <c r="G58" s="904" t="s">
        <v>838</v>
      </c>
      <c r="H58" s="779" t="s">
        <v>839</v>
      </c>
      <c r="I58" s="780" t="s">
        <v>829</v>
      </c>
      <c r="J58" s="781" t="s">
        <v>840</v>
      </c>
      <c r="K58" s="834"/>
      <c r="L58" s="834"/>
      <c r="M58" s="782"/>
      <c r="N58" s="102"/>
      <c r="O58" s="102"/>
      <c r="P58" s="818"/>
      <c r="Q58" s="151"/>
      <c r="R58" s="102"/>
      <c r="S58" s="151"/>
      <c r="T58" s="151"/>
      <c r="U58" s="102"/>
      <c r="V58" s="831"/>
      <c r="W58" s="831"/>
      <c r="X58" s="832"/>
    </row>
    <row r="59" spans="2:24" ht="14.25" x14ac:dyDescent="0.2">
      <c r="B59" s="1262" t="s">
        <v>851</v>
      </c>
      <c r="C59" s="789" t="s">
        <v>842</v>
      </c>
      <c r="D59" s="790">
        <v>2400</v>
      </c>
      <c r="E59" s="791">
        <f>+D59*E58</f>
        <v>3240</v>
      </c>
      <c r="F59" s="790">
        <f>+E59/J4</f>
        <v>108</v>
      </c>
      <c r="G59" s="792">
        <f>+F59/J5</f>
        <v>13.5</v>
      </c>
      <c r="H59" s="793" t="s">
        <v>843</v>
      </c>
      <c r="I59" s="835">
        <v>4.5</v>
      </c>
      <c r="J59" s="791">
        <f>+I59*F59</f>
        <v>486</v>
      </c>
      <c r="K59" s="836"/>
      <c r="L59" s="836"/>
      <c r="M59" s="102"/>
      <c r="N59" s="102"/>
      <c r="O59" s="102"/>
      <c r="P59" s="910"/>
      <c r="Q59" s="151"/>
      <c r="R59" s="102"/>
      <c r="S59" s="151"/>
      <c r="T59" s="151"/>
      <c r="U59" s="102"/>
      <c r="V59" s="831"/>
      <c r="W59" s="831"/>
      <c r="X59" s="832"/>
    </row>
    <row r="60" spans="2:24" ht="14.25" x14ac:dyDescent="0.2">
      <c r="B60" s="1263"/>
      <c r="C60" s="813" t="s">
        <v>852</v>
      </c>
      <c r="D60" s="814">
        <v>2000</v>
      </c>
      <c r="E60" s="815">
        <f>+D60*E58</f>
        <v>2700</v>
      </c>
      <c r="F60" s="823">
        <f>+E60/J4</f>
        <v>90</v>
      </c>
      <c r="G60" s="116">
        <f>+F60/J5</f>
        <v>11.25</v>
      </c>
      <c r="H60" s="816" t="s">
        <v>843</v>
      </c>
      <c r="I60" s="151">
        <v>4.5</v>
      </c>
      <c r="J60" s="815">
        <f>+I60*F60</f>
        <v>405</v>
      </c>
      <c r="K60" s="836"/>
      <c r="L60" s="836"/>
      <c r="M60" s="102"/>
      <c r="N60" s="102"/>
      <c r="O60" s="102"/>
      <c r="P60" s="910"/>
      <c r="Q60" s="151"/>
      <c r="R60" s="102"/>
      <c r="S60" s="151"/>
      <c r="T60" s="151"/>
      <c r="U60" s="102"/>
      <c r="V60" s="831"/>
      <c r="W60" s="831"/>
      <c r="X60" s="832"/>
    </row>
    <row r="61" spans="2:24" ht="15" thickBot="1" x14ac:dyDescent="0.25">
      <c r="B61" s="1264"/>
      <c r="C61" s="801" t="s">
        <v>853</v>
      </c>
      <c r="D61" s="802">
        <v>1600</v>
      </c>
      <c r="E61" s="803">
        <f>+D61*E58</f>
        <v>2160</v>
      </c>
      <c r="F61" s="804">
        <f>+E61/J4</f>
        <v>72</v>
      </c>
      <c r="G61" s="805">
        <f>+F61/J5</f>
        <v>9</v>
      </c>
      <c r="H61" s="806" t="s">
        <v>843</v>
      </c>
      <c r="I61" s="837">
        <v>4.5</v>
      </c>
      <c r="J61" s="803">
        <f>+I61*F61</f>
        <v>324</v>
      </c>
      <c r="K61" s="836"/>
      <c r="L61" s="836"/>
      <c r="M61" s="102"/>
      <c r="N61" s="102"/>
      <c r="O61" s="102"/>
      <c r="P61" s="910"/>
      <c r="Q61" s="151"/>
      <c r="R61" s="102"/>
      <c r="S61" s="151"/>
      <c r="T61" s="151"/>
      <c r="U61" s="102"/>
      <c r="V61" s="831"/>
      <c r="W61" s="831"/>
      <c r="X61" s="832"/>
    </row>
    <row r="62" spans="2:24" ht="15.75" thickBot="1" x14ac:dyDescent="0.3">
      <c r="B62" s="838"/>
      <c r="C62" s="590"/>
      <c r="D62" s="115"/>
      <c r="E62" s="115"/>
      <c r="F62" s="102"/>
      <c r="G62" s="102"/>
      <c r="H62" s="98"/>
      <c r="I62" s="98"/>
      <c r="J62" s="909">
        <f>+SUM(J59:J61)</f>
        <v>1215</v>
      </c>
      <c r="K62" s="839"/>
      <c r="L62" s="839"/>
      <c r="M62" s="840"/>
      <c r="N62" s="840"/>
      <c r="O62" s="840"/>
      <c r="P62" s="102"/>
      <c r="Q62" s="98"/>
      <c r="R62" s="905"/>
      <c r="S62" s="102"/>
      <c r="T62" s="98"/>
      <c r="U62" s="906"/>
      <c r="V62" s="92"/>
      <c r="W62" s="92"/>
      <c r="X62" s="907"/>
    </row>
    <row r="63" spans="2:24" ht="15" x14ac:dyDescent="0.25">
      <c r="B63" s="590"/>
      <c r="C63" s="590"/>
      <c r="D63" s="115"/>
      <c r="E63" s="115"/>
      <c r="F63" s="102"/>
      <c r="G63" s="102"/>
      <c r="H63" s="98"/>
      <c r="I63" s="98"/>
      <c r="J63" s="839"/>
      <c r="K63" s="839"/>
      <c r="L63" s="839"/>
      <c r="M63" s="840"/>
      <c r="N63" s="840"/>
      <c r="O63" s="840"/>
      <c r="P63" s="102"/>
      <c r="Q63" s="98"/>
      <c r="R63" s="905"/>
      <c r="S63" s="102"/>
      <c r="T63" s="98"/>
      <c r="U63" s="906"/>
      <c r="V63" s="92"/>
      <c r="W63" s="92"/>
      <c r="X63" s="907"/>
    </row>
    <row r="64" spans="2:24" x14ac:dyDescent="0.2">
      <c r="B64" s="841"/>
      <c r="C64" s="841"/>
      <c r="D64" s="841"/>
      <c r="E64" s="841"/>
      <c r="F64" s="841"/>
      <c r="G64" s="841"/>
      <c r="H64" s="841"/>
      <c r="I64" s="841"/>
      <c r="J64" s="908"/>
      <c r="K64" s="842"/>
      <c r="L64" s="842"/>
      <c r="M64" s="842"/>
      <c r="N64" s="842"/>
      <c r="O64" s="842"/>
      <c r="P64" s="842"/>
      <c r="Q64" s="590"/>
      <c r="R64" s="842"/>
      <c r="S64" s="842"/>
      <c r="T64" s="590"/>
      <c r="U64" s="590"/>
    </row>
    <row r="65" spans="2:23" ht="13.5" thickBot="1" x14ac:dyDescent="0.25">
      <c r="B65" s="841"/>
      <c r="C65" s="841"/>
      <c r="D65" s="841"/>
      <c r="E65" s="841"/>
      <c r="F65" s="841"/>
      <c r="G65" s="841"/>
      <c r="H65" s="841"/>
      <c r="I65" s="841"/>
      <c r="J65" s="842"/>
      <c r="K65" s="842"/>
      <c r="L65" s="842"/>
      <c r="M65" s="842"/>
      <c r="N65" s="842"/>
      <c r="O65" s="842"/>
      <c r="P65" s="842"/>
      <c r="Q65" s="590"/>
      <c r="R65" s="842"/>
      <c r="S65" s="842"/>
      <c r="T65" s="590"/>
      <c r="U65" s="590"/>
    </row>
    <row r="66" spans="2:23" ht="39" thickBot="1" x14ac:dyDescent="0.25">
      <c r="B66" s="843" t="s">
        <v>854</v>
      </c>
      <c r="C66" s="844" t="s">
        <v>855</v>
      </c>
      <c r="D66" s="845" t="s">
        <v>856</v>
      </c>
      <c r="E66" s="845" t="s">
        <v>857</v>
      </c>
      <c r="F66" s="846" t="s">
        <v>858</v>
      </c>
      <c r="G66" s="590"/>
      <c r="H66" s="590"/>
      <c r="I66" s="590"/>
      <c r="J66" s="1265"/>
      <c r="K66" s="1265"/>
      <c r="L66" s="1265"/>
      <c r="M66" s="1265"/>
      <c r="N66" s="1265"/>
      <c r="O66" s="1265"/>
      <c r="P66" s="1265"/>
      <c r="Q66" s="1265"/>
      <c r="R66" s="847"/>
      <c r="S66" s="847"/>
      <c r="T66" s="848"/>
      <c r="U66" s="849"/>
      <c r="V66" s="850"/>
      <c r="W66" s="90"/>
    </row>
    <row r="67" spans="2:23" ht="12.75" customHeight="1" x14ac:dyDescent="0.2">
      <c r="B67" s="851" t="s">
        <v>859</v>
      </c>
      <c r="C67" s="852">
        <v>10000</v>
      </c>
      <c r="D67" s="852">
        <f>+C67*E10</f>
        <v>13500</v>
      </c>
      <c r="E67" s="852">
        <f>+D67/J4</f>
        <v>450</v>
      </c>
      <c r="F67" s="121">
        <f>+E67/J5</f>
        <v>56.25</v>
      </c>
      <c r="G67" s="590"/>
      <c r="H67" s="590"/>
      <c r="I67" s="590"/>
      <c r="J67" s="1261"/>
      <c r="K67" s="1261"/>
      <c r="L67" s="1261"/>
      <c r="M67" s="1261"/>
      <c r="N67" s="1261"/>
      <c r="O67" s="1261"/>
      <c r="P67" s="1261"/>
      <c r="Q67" s="1261"/>
      <c r="R67" s="836"/>
      <c r="S67" s="836"/>
      <c r="T67" s="848"/>
      <c r="U67" s="836"/>
      <c r="V67" s="853"/>
      <c r="W67" s="90"/>
    </row>
    <row r="68" spans="2:23" ht="12.75" customHeight="1" x14ac:dyDescent="0.2">
      <c r="B68" s="854" t="s">
        <v>860</v>
      </c>
      <c r="C68" s="855">
        <v>6000</v>
      </c>
      <c r="D68" s="855">
        <f>+C68*E10</f>
        <v>8100.0000000000009</v>
      </c>
      <c r="E68" s="855">
        <f>+D68/J4</f>
        <v>270.00000000000006</v>
      </c>
      <c r="F68" s="116">
        <f>+E68/J5</f>
        <v>33.750000000000007</v>
      </c>
      <c r="G68" s="590"/>
      <c r="H68" s="590"/>
      <c r="I68" s="590"/>
      <c r="J68" s="1261"/>
      <c r="K68" s="1261"/>
      <c r="L68" s="1261"/>
      <c r="M68" s="1261"/>
      <c r="N68" s="1261"/>
      <c r="O68" s="1261"/>
      <c r="P68" s="1261"/>
      <c r="Q68" s="1261"/>
      <c r="R68" s="836"/>
      <c r="S68" s="836"/>
      <c r="T68" s="848"/>
      <c r="U68" s="836"/>
      <c r="V68" s="853"/>
      <c r="W68" s="90"/>
    </row>
    <row r="69" spans="2:23" ht="14.25" x14ac:dyDescent="0.2">
      <c r="B69" s="854" t="s">
        <v>861</v>
      </c>
      <c r="C69" s="855">
        <v>3000</v>
      </c>
      <c r="D69" s="855">
        <f>+C69*E10</f>
        <v>4050.0000000000005</v>
      </c>
      <c r="E69" s="855">
        <f>+D69/J4</f>
        <v>135.00000000000003</v>
      </c>
      <c r="F69" s="116">
        <f>+E69/J5</f>
        <v>16.875000000000004</v>
      </c>
      <c r="G69" s="590"/>
      <c r="H69" s="590"/>
      <c r="I69" s="590"/>
      <c r="J69" s="1261"/>
      <c r="K69" s="1261"/>
      <c r="L69" s="1261"/>
      <c r="M69" s="1261"/>
      <c r="N69" s="1261"/>
      <c r="O69" s="1261"/>
      <c r="P69" s="1261"/>
      <c r="Q69" s="1261"/>
      <c r="R69" s="836"/>
      <c r="S69" s="836"/>
      <c r="T69" s="848"/>
      <c r="U69" s="836"/>
      <c r="V69" s="853"/>
      <c r="W69" s="90"/>
    </row>
    <row r="70" spans="2:23" ht="14.25" x14ac:dyDescent="0.2">
      <c r="B70" s="854" t="s">
        <v>862</v>
      </c>
      <c r="C70" s="855">
        <v>3000</v>
      </c>
      <c r="D70" s="855">
        <f>+C70*E10</f>
        <v>4050.0000000000005</v>
      </c>
      <c r="E70" s="855">
        <f>+D70/J4</f>
        <v>135.00000000000003</v>
      </c>
      <c r="F70" s="116">
        <f>+E70/J5</f>
        <v>16.875000000000004</v>
      </c>
      <c r="G70" s="590"/>
      <c r="H70" s="590"/>
      <c r="I70" s="590"/>
      <c r="J70" s="1261"/>
      <c r="K70" s="1261"/>
      <c r="L70" s="1261"/>
      <c r="M70" s="1261"/>
      <c r="N70" s="1261"/>
      <c r="O70" s="1261"/>
      <c r="P70" s="1261"/>
      <c r="Q70" s="1261"/>
      <c r="R70" s="836"/>
      <c r="S70" s="836"/>
      <c r="T70" s="848"/>
      <c r="U70" s="836"/>
      <c r="V70" s="853"/>
      <c r="W70" s="90"/>
    </row>
    <row r="71" spans="2:23" ht="14.25" x14ac:dyDescent="0.2">
      <c r="B71" s="854" t="s">
        <v>863</v>
      </c>
      <c r="C71" s="855">
        <v>3000</v>
      </c>
      <c r="D71" s="855">
        <f>+C71*E10</f>
        <v>4050.0000000000005</v>
      </c>
      <c r="E71" s="855">
        <f>+D71/J4</f>
        <v>135.00000000000003</v>
      </c>
      <c r="F71" s="116">
        <f>+E71/J5</f>
        <v>16.875000000000004</v>
      </c>
      <c r="G71" s="590"/>
      <c r="H71" s="590"/>
      <c r="I71" s="590"/>
      <c r="J71" s="856"/>
      <c r="K71" s="856"/>
      <c r="L71" s="856"/>
      <c r="M71" s="856"/>
      <c r="N71" s="856"/>
      <c r="O71" s="856"/>
      <c r="P71" s="856"/>
      <c r="Q71" s="856"/>
      <c r="R71" s="856"/>
      <c r="S71" s="856"/>
      <c r="T71" s="856"/>
      <c r="U71" s="848"/>
      <c r="V71" s="90"/>
      <c r="W71" s="90"/>
    </row>
    <row r="72" spans="2:23" ht="14.25" x14ac:dyDescent="0.2">
      <c r="B72" s="854" t="s">
        <v>712</v>
      </c>
      <c r="C72" s="855">
        <v>4000</v>
      </c>
      <c r="D72" s="855">
        <f>+C72*E10</f>
        <v>5400</v>
      </c>
      <c r="E72" s="855">
        <f>+D72/J4</f>
        <v>180</v>
      </c>
      <c r="F72" s="116">
        <f>+E72/J5</f>
        <v>22.5</v>
      </c>
      <c r="G72" s="590"/>
      <c r="H72" s="590"/>
      <c r="I72" s="590"/>
      <c r="J72" s="848"/>
      <c r="K72" s="848"/>
      <c r="L72" s="848"/>
      <c r="M72" s="848"/>
      <c r="N72" s="848"/>
      <c r="O72" s="848"/>
      <c r="P72" s="848"/>
      <c r="Q72" s="848"/>
      <c r="R72" s="848"/>
      <c r="S72" s="848"/>
      <c r="T72" s="848"/>
      <c r="U72" s="848"/>
      <c r="V72" s="90"/>
      <c r="W72" s="90"/>
    </row>
    <row r="73" spans="2:23" ht="14.25" x14ac:dyDescent="0.2">
      <c r="B73" s="854" t="s">
        <v>864</v>
      </c>
      <c r="C73" s="855">
        <v>2000</v>
      </c>
      <c r="D73" s="855">
        <f>+C73*E10</f>
        <v>2700</v>
      </c>
      <c r="E73" s="855">
        <f>+D73/J4</f>
        <v>90</v>
      </c>
      <c r="F73" s="116">
        <f>+E73/J5</f>
        <v>11.25</v>
      </c>
      <c r="G73" s="590"/>
      <c r="H73" s="590"/>
      <c r="I73" s="590"/>
      <c r="J73" s="848"/>
      <c r="K73" s="848"/>
      <c r="L73" s="848"/>
      <c r="M73" s="848"/>
      <c r="N73" s="848"/>
      <c r="O73" s="848"/>
      <c r="P73" s="848"/>
      <c r="Q73" s="848"/>
      <c r="R73" s="848"/>
      <c r="S73" s="848"/>
      <c r="T73" s="848"/>
      <c r="U73" s="848"/>
      <c r="V73" s="90"/>
      <c r="W73" s="90"/>
    </row>
    <row r="74" spans="2:23" ht="14.25" x14ac:dyDescent="0.2">
      <c r="B74" s="854" t="s">
        <v>865</v>
      </c>
      <c r="C74" s="855">
        <v>2500</v>
      </c>
      <c r="D74" s="855">
        <f>+C74*E10</f>
        <v>3375</v>
      </c>
      <c r="E74" s="855">
        <f>+D74/J4</f>
        <v>112.5</v>
      </c>
      <c r="F74" s="116">
        <f>+E74/J5</f>
        <v>14.0625</v>
      </c>
      <c r="G74" s="590"/>
      <c r="H74" s="590"/>
      <c r="I74" s="590"/>
      <c r="J74" s="848"/>
      <c r="K74" s="848"/>
      <c r="L74" s="848"/>
      <c r="M74" s="848"/>
      <c r="N74" s="848"/>
      <c r="O74" s="848"/>
      <c r="P74" s="848"/>
      <c r="Q74" s="848"/>
      <c r="R74" s="848"/>
      <c r="S74" s="848"/>
      <c r="T74" s="848"/>
      <c r="U74" s="848"/>
      <c r="V74" s="90"/>
      <c r="W74" s="90"/>
    </row>
    <row r="75" spans="2:23" ht="14.25" x14ac:dyDescent="0.2">
      <c r="B75" s="854" t="s">
        <v>866</v>
      </c>
      <c r="C75" s="855">
        <v>3000</v>
      </c>
      <c r="D75" s="855">
        <f>+C75*E10</f>
        <v>4050.0000000000005</v>
      </c>
      <c r="E75" s="855">
        <f>+D75/J4</f>
        <v>135.00000000000003</v>
      </c>
      <c r="F75" s="116">
        <f>+E75/J5</f>
        <v>16.875000000000004</v>
      </c>
      <c r="G75" s="590"/>
      <c r="H75" s="590"/>
      <c r="I75" s="590"/>
      <c r="J75" s="1265"/>
      <c r="K75" s="1265"/>
      <c r="L75" s="1265"/>
      <c r="M75" s="1265"/>
      <c r="N75" s="1265"/>
      <c r="O75" s="1265"/>
      <c r="P75" s="1265"/>
      <c r="Q75" s="1265"/>
      <c r="R75" s="1265"/>
      <c r="S75" s="1265"/>
      <c r="T75" s="1265"/>
      <c r="U75" s="848"/>
      <c r="V75" s="90"/>
      <c r="W75" s="90"/>
    </row>
    <row r="76" spans="2:23" ht="14.25" x14ac:dyDescent="0.2">
      <c r="B76" s="854" t="s">
        <v>867</v>
      </c>
      <c r="C76" s="855">
        <v>2500</v>
      </c>
      <c r="D76" s="855">
        <f>+C76*E10</f>
        <v>3375</v>
      </c>
      <c r="E76" s="855">
        <f>+D76/J4</f>
        <v>112.5</v>
      </c>
      <c r="F76" s="116">
        <f>+E76/J5</f>
        <v>14.0625</v>
      </c>
      <c r="G76" s="590"/>
      <c r="H76" s="590"/>
      <c r="I76" s="590"/>
      <c r="J76" s="857"/>
      <c r="K76" s="857"/>
      <c r="L76" s="857"/>
      <c r="M76" s="857"/>
      <c r="N76" s="857"/>
      <c r="O76" s="857"/>
      <c r="P76" s="857"/>
      <c r="Q76" s="857"/>
      <c r="R76" s="857"/>
      <c r="S76" s="857"/>
      <c r="T76" s="857"/>
      <c r="U76" s="848"/>
      <c r="V76" s="90"/>
      <c r="W76" s="90"/>
    </row>
    <row r="77" spans="2:23" ht="15" thickBot="1" x14ac:dyDescent="0.25">
      <c r="B77" s="858" t="s">
        <v>868</v>
      </c>
      <c r="C77" s="859">
        <v>2000</v>
      </c>
      <c r="D77" s="859">
        <f>+C77*E10</f>
        <v>2700</v>
      </c>
      <c r="E77" s="859">
        <f>+D77/J4</f>
        <v>90</v>
      </c>
      <c r="F77" s="805">
        <f>+E77/J5</f>
        <v>11.25</v>
      </c>
      <c r="G77" s="590"/>
      <c r="H77" s="590"/>
      <c r="I77" s="590"/>
      <c r="J77" s="1267"/>
      <c r="K77" s="1267"/>
      <c r="L77" s="1267"/>
      <c r="M77" s="1267"/>
      <c r="N77" s="1267"/>
      <c r="O77" s="1267"/>
      <c r="P77" s="1267"/>
      <c r="Q77" s="860"/>
      <c r="R77" s="860"/>
      <c r="S77" s="860"/>
      <c r="T77" s="860"/>
      <c r="U77" s="848"/>
      <c r="V77" s="90"/>
      <c r="W77" s="90"/>
    </row>
    <row r="78" spans="2:23" ht="13.5" customHeight="1" thickBot="1" x14ac:dyDescent="0.25">
      <c r="B78" s="590"/>
      <c r="C78" s="861">
        <f>+SUM(C67:C77)</f>
        <v>41000</v>
      </c>
      <c r="D78" s="862">
        <f>+SUM(D67:D77)</f>
        <v>55350</v>
      </c>
      <c r="E78" s="863">
        <f>+SUM(E67:E77)</f>
        <v>1845</v>
      </c>
      <c r="F78" s="864">
        <f>+SUM(F67:F77)</f>
        <v>230.625</v>
      </c>
      <c r="G78" s="590"/>
      <c r="H78" s="590"/>
      <c r="I78" s="590"/>
      <c r="J78" s="1268"/>
      <c r="K78" s="1268"/>
      <c r="L78" s="1268"/>
      <c r="M78" s="1268"/>
      <c r="N78" s="1268"/>
      <c r="O78" s="1268"/>
      <c r="P78" s="1268"/>
      <c r="Q78" s="865"/>
      <c r="R78" s="865"/>
      <c r="S78" s="865"/>
      <c r="T78" s="865"/>
      <c r="U78" s="848"/>
      <c r="V78" s="90"/>
      <c r="W78" s="90"/>
    </row>
    <row r="79" spans="2:23" ht="12.75" customHeight="1" x14ac:dyDescent="0.2">
      <c r="B79" s="590"/>
      <c r="C79" s="590"/>
      <c r="D79" s="590"/>
      <c r="E79" s="590"/>
      <c r="F79" s="590"/>
      <c r="G79" s="590"/>
      <c r="H79" s="590"/>
      <c r="I79" s="590"/>
      <c r="J79" s="1268"/>
      <c r="K79" s="1268"/>
      <c r="L79" s="1268"/>
      <c r="M79" s="1268"/>
      <c r="N79" s="1268"/>
      <c r="O79" s="1268"/>
      <c r="P79" s="1268"/>
      <c r="Q79" s="865"/>
      <c r="R79" s="865"/>
      <c r="S79" s="865"/>
      <c r="T79" s="865"/>
      <c r="U79" s="848"/>
      <c r="V79" s="90"/>
      <c r="W79" s="90"/>
    </row>
    <row r="80" spans="2:23" ht="12.75" customHeight="1" x14ac:dyDescent="0.2">
      <c r="B80" s="590"/>
      <c r="C80" s="590"/>
      <c r="D80" s="590"/>
      <c r="E80" s="590"/>
      <c r="F80" s="590"/>
      <c r="G80" s="590"/>
      <c r="H80" s="590"/>
      <c r="I80" s="590"/>
      <c r="J80" s="1269"/>
      <c r="K80" s="1269"/>
      <c r="L80" s="1269"/>
      <c r="M80" s="1269"/>
      <c r="N80" s="1269"/>
      <c r="O80" s="1269"/>
      <c r="P80" s="1269"/>
      <c r="Q80" s="865"/>
      <c r="R80" s="865"/>
      <c r="S80" s="865"/>
      <c r="T80" s="865"/>
      <c r="U80" s="848"/>
      <c r="V80" s="90"/>
      <c r="W80" s="90"/>
    </row>
    <row r="81" spans="2:23" ht="25.5" x14ac:dyDescent="0.2">
      <c r="B81" s="866" t="s">
        <v>869</v>
      </c>
      <c r="C81" s="866" t="s">
        <v>870</v>
      </c>
      <c r="D81" s="866" t="s">
        <v>857</v>
      </c>
      <c r="E81" s="866" t="s">
        <v>858</v>
      </c>
      <c r="F81" s="867"/>
      <c r="G81" s="841"/>
      <c r="H81" s="841"/>
      <c r="I81" s="841"/>
      <c r="J81" s="1269"/>
      <c r="K81" s="1269"/>
      <c r="L81" s="1269"/>
      <c r="M81" s="1269"/>
      <c r="N81" s="1269"/>
      <c r="O81" s="1269"/>
      <c r="P81" s="1269"/>
      <c r="Q81" s="865"/>
      <c r="R81" s="865"/>
      <c r="S81" s="865"/>
      <c r="T81" s="865"/>
      <c r="U81" s="848"/>
      <c r="V81" s="90"/>
      <c r="W81" s="90"/>
    </row>
    <row r="82" spans="2:23" ht="12.75" customHeight="1" x14ac:dyDescent="0.2">
      <c r="B82" s="868" t="s">
        <v>871</v>
      </c>
      <c r="C82" s="855">
        <v>10000</v>
      </c>
      <c r="D82" s="869">
        <f>+C82/J4</f>
        <v>333.33333333333331</v>
      </c>
      <c r="E82" s="855">
        <f>+D82/J5</f>
        <v>41.666666666666664</v>
      </c>
      <c r="F82" s="870"/>
      <c r="G82" s="590"/>
      <c r="H82" s="590"/>
      <c r="I82" s="590"/>
      <c r="J82" s="1269"/>
      <c r="K82" s="1269"/>
      <c r="L82" s="1269"/>
      <c r="M82" s="1269"/>
      <c r="N82" s="1269"/>
      <c r="O82" s="1269"/>
      <c r="P82" s="1269"/>
      <c r="Q82" s="865"/>
      <c r="R82" s="865"/>
      <c r="S82" s="865"/>
      <c r="T82" s="865"/>
      <c r="U82" s="848"/>
      <c r="V82" s="90"/>
      <c r="W82" s="90"/>
    </row>
    <row r="83" spans="2:23" ht="13.5" customHeight="1" x14ac:dyDescent="0.2">
      <c r="B83" s="868" t="s">
        <v>872</v>
      </c>
      <c r="C83" s="855">
        <v>4000</v>
      </c>
      <c r="D83" s="869">
        <f>+C83/J4</f>
        <v>133.33333333333334</v>
      </c>
      <c r="E83" s="855">
        <f>+D83/J5</f>
        <v>16.666666666666668</v>
      </c>
      <c r="F83" s="870"/>
      <c r="G83" s="590"/>
      <c r="H83" s="590"/>
      <c r="I83" s="590"/>
      <c r="J83" s="1269"/>
      <c r="K83" s="1269"/>
      <c r="L83" s="1269"/>
      <c r="M83" s="1269"/>
      <c r="N83" s="1269"/>
      <c r="O83" s="1269"/>
      <c r="P83" s="1269"/>
      <c r="Q83" s="865"/>
      <c r="R83" s="865"/>
      <c r="S83" s="865"/>
      <c r="T83" s="865"/>
      <c r="U83" s="848"/>
      <c r="V83" s="90"/>
      <c r="W83" s="90"/>
    </row>
    <row r="84" spans="2:23" ht="13.5" customHeight="1" x14ac:dyDescent="0.2">
      <c r="B84" s="868" t="s">
        <v>873</v>
      </c>
      <c r="C84" s="855">
        <v>1000</v>
      </c>
      <c r="D84" s="869">
        <f>+C84/J4</f>
        <v>33.333333333333336</v>
      </c>
      <c r="E84" s="855">
        <f>+D84/J5</f>
        <v>4.166666666666667</v>
      </c>
      <c r="F84" s="870"/>
      <c r="G84" s="590"/>
      <c r="H84" s="590"/>
      <c r="I84" s="590"/>
      <c r="J84" s="1266"/>
      <c r="K84" s="1266"/>
      <c r="L84" s="1266"/>
      <c r="M84" s="1266"/>
      <c r="N84" s="1266"/>
      <c r="O84" s="1266"/>
      <c r="P84" s="1266"/>
      <c r="Q84" s="871"/>
      <c r="R84" s="871"/>
      <c r="S84" s="871"/>
      <c r="T84" s="871"/>
      <c r="U84" s="848"/>
      <c r="V84" s="90"/>
      <c r="W84" s="90"/>
    </row>
    <row r="85" spans="2:23" ht="14.25" x14ac:dyDescent="0.2">
      <c r="B85" s="868" t="s">
        <v>874</v>
      </c>
      <c r="C85" s="855">
        <v>500</v>
      </c>
      <c r="D85" s="869">
        <f>+C85/J4</f>
        <v>16.666666666666668</v>
      </c>
      <c r="E85" s="855">
        <f>+D85/J5</f>
        <v>2.0833333333333335</v>
      </c>
      <c r="F85" s="870"/>
      <c r="G85" s="590"/>
      <c r="H85" s="590"/>
      <c r="I85" s="590"/>
      <c r="J85" s="590"/>
      <c r="K85" s="590"/>
      <c r="L85" s="590"/>
      <c r="M85" s="590"/>
      <c r="N85" s="590"/>
      <c r="O85" s="590"/>
      <c r="P85" s="590"/>
      <c r="Q85" s="590"/>
      <c r="R85" s="590"/>
      <c r="S85" s="590"/>
      <c r="T85" s="590"/>
      <c r="U85" s="590"/>
    </row>
    <row r="86" spans="2:23" ht="14.25" x14ac:dyDescent="0.2">
      <c r="B86" s="872"/>
      <c r="C86" s="873">
        <f>+SUM(C82:C85)</f>
        <v>15500</v>
      </c>
      <c r="D86" s="874">
        <f>+SUM(D82:D85)</f>
        <v>516.66666666666663</v>
      </c>
      <c r="E86" s="873">
        <f>+SUM(E82:E85)</f>
        <v>64.583333333333329</v>
      </c>
      <c r="F86" s="842"/>
      <c r="G86" s="590"/>
      <c r="H86" s="590"/>
      <c r="I86" s="590"/>
      <c r="J86" s="590"/>
      <c r="K86" s="590"/>
      <c r="L86" s="590"/>
      <c r="M86" s="590"/>
      <c r="N86" s="590"/>
      <c r="O86" s="590"/>
      <c r="P86" s="590"/>
      <c r="Q86" s="590"/>
      <c r="R86" s="590"/>
      <c r="S86" s="590"/>
      <c r="T86" s="590"/>
      <c r="U86" s="590"/>
    </row>
    <row r="87" spans="2:23" x14ac:dyDescent="0.2">
      <c r="B87" s="590"/>
      <c r="C87" s="590"/>
      <c r="D87" s="590"/>
      <c r="E87" s="590"/>
      <c r="F87" s="590"/>
      <c r="G87" s="590"/>
      <c r="H87" s="590"/>
      <c r="I87" s="870"/>
      <c r="J87" s="590"/>
      <c r="K87" s="590"/>
      <c r="L87" s="590"/>
      <c r="M87" s="590"/>
      <c r="N87" s="590"/>
      <c r="O87" s="590"/>
      <c r="P87" s="590"/>
      <c r="Q87" s="590"/>
      <c r="R87" s="590"/>
      <c r="S87" s="590"/>
      <c r="T87" s="590"/>
      <c r="U87" s="590"/>
    </row>
    <row r="88" spans="2:23" x14ac:dyDescent="0.2">
      <c r="B88" s="590"/>
      <c r="C88" s="590"/>
      <c r="D88" s="590"/>
      <c r="E88" s="590"/>
      <c r="F88" s="590"/>
      <c r="G88" s="590"/>
      <c r="H88" s="590"/>
      <c r="I88" s="875"/>
      <c r="J88" s="590"/>
      <c r="K88" s="590"/>
      <c r="L88" s="590"/>
      <c r="M88" s="590"/>
      <c r="N88" s="590"/>
      <c r="O88" s="590"/>
      <c r="P88" s="590"/>
      <c r="Q88" s="590"/>
      <c r="R88" s="590"/>
      <c r="S88" s="590"/>
      <c r="T88" s="590"/>
      <c r="U88" s="590"/>
    </row>
    <row r="89" spans="2:23" x14ac:dyDescent="0.2">
      <c r="B89" s="876" t="s">
        <v>875</v>
      </c>
      <c r="C89" s="877"/>
      <c r="D89" s="878" t="s">
        <v>876</v>
      </c>
      <c r="E89" s="590"/>
      <c r="F89" s="590"/>
      <c r="G89" s="876" t="s">
        <v>877</v>
      </c>
      <c r="H89" s="879"/>
      <c r="I89" s="880"/>
      <c r="J89" s="878" t="s">
        <v>876</v>
      </c>
      <c r="K89" s="590"/>
      <c r="L89" s="590"/>
      <c r="M89" s="590"/>
      <c r="N89" s="590"/>
      <c r="O89" s="590"/>
      <c r="P89" s="590"/>
      <c r="Q89" s="590"/>
      <c r="R89" s="590"/>
      <c r="S89" s="590"/>
      <c r="T89" s="590"/>
      <c r="U89" s="590"/>
    </row>
    <row r="90" spans="2:23" x14ac:dyDescent="0.2">
      <c r="B90" s="868" t="s">
        <v>907</v>
      </c>
      <c r="C90" s="926"/>
      <c r="D90" s="914">
        <v>860.58</v>
      </c>
      <c r="E90" s="590">
        <v>860.58</v>
      </c>
      <c r="F90" s="590"/>
      <c r="G90" s="881" t="s">
        <v>978</v>
      </c>
      <c r="H90" s="884"/>
      <c r="I90" s="885"/>
      <c r="J90" s="883">
        <v>675</v>
      </c>
      <c r="K90" s="590"/>
      <c r="L90" s="590"/>
      <c r="M90" s="590"/>
      <c r="N90" s="590"/>
      <c r="O90" s="590"/>
      <c r="P90" s="590"/>
      <c r="Q90" s="590"/>
      <c r="R90" s="590"/>
      <c r="S90" s="590"/>
      <c r="T90" s="590"/>
      <c r="U90" s="590"/>
    </row>
    <row r="91" spans="2:23" x14ac:dyDescent="0.2">
      <c r="B91" s="868" t="s">
        <v>911</v>
      </c>
      <c r="C91" s="926"/>
      <c r="D91" s="914">
        <v>959.58</v>
      </c>
      <c r="E91" s="590">
        <v>959.58</v>
      </c>
      <c r="F91" s="590"/>
      <c r="G91" s="881" t="s">
        <v>979</v>
      </c>
      <c r="H91" s="884"/>
      <c r="I91" s="885"/>
      <c r="J91" s="883">
        <v>675</v>
      </c>
      <c r="K91" s="590"/>
      <c r="L91" s="590"/>
      <c r="M91" s="590"/>
      <c r="N91" s="590"/>
      <c r="O91" s="590"/>
      <c r="P91" s="590"/>
      <c r="Q91" s="590"/>
      <c r="R91" s="590"/>
      <c r="S91" s="590"/>
      <c r="T91" s="590"/>
      <c r="U91" s="590"/>
    </row>
    <row r="92" spans="2:23" x14ac:dyDescent="0.2">
      <c r="B92" s="868" t="s">
        <v>881</v>
      </c>
      <c r="C92" s="868"/>
      <c r="D92" s="914">
        <v>1010.71</v>
      </c>
      <c r="E92" s="590"/>
      <c r="F92" s="590"/>
      <c r="G92" s="881" t="s">
        <v>980</v>
      </c>
      <c r="H92" s="884"/>
      <c r="I92" s="885"/>
      <c r="J92" s="883">
        <v>675</v>
      </c>
      <c r="K92" s="590"/>
      <c r="L92" s="590"/>
      <c r="M92" s="590"/>
      <c r="N92" s="590"/>
      <c r="O92" s="590"/>
      <c r="P92" s="590"/>
      <c r="Q92" s="590"/>
      <c r="R92" s="590"/>
      <c r="S92" s="590"/>
      <c r="T92" s="590"/>
      <c r="U92" s="590"/>
    </row>
    <row r="93" spans="2:23" x14ac:dyDescent="0.2">
      <c r="B93" s="881" t="s">
        <v>891</v>
      </c>
      <c r="C93" s="882"/>
      <c r="D93" s="883">
        <v>1359.46</v>
      </c>
      <c r="E93" s="590"/>
      <c r="F93" s="590"/>
      <c r="G93" s="881" t="s">
        <v>981</v>
      </c>
      <c r="H93" s="884"/>
      <c r="I93" s="885"/>
      <c r="J93" s="883">
        <v>675</v>
      </c>
      <c r="K93" s="590"/>
      <c r="L93" s="590"/>
      <c r="M93" s="590"/>
      <c r="N93" s="590"/>
      <c r="O93" s="590"/>
      <c r="P93" s="590"/>
      <c r="Q93" s="590"/>
      <c r="R93" s="590"/>
      <c r="S93" s="590"/>
      <c r="T93" s="590"/>
      <c r="U93" s="590"/>
    </row>
    <row r="94" spans="2:23" x14ac:dyDescent="0.2">
      <c r="B94" s="881" t="s">
        <v>890</v>
      </c>
      <c r="C94" s="882"/>
      <c r="D94" s="883">
        <v>1557.46</v>
      </c>
      <c r="E94" s="590"/>
      <c r="F94" s="590"/>
      <c r="G94" s="881" t="s">
        <v>982</v>
      </c>
      <c r="H94" s="884"/>
      <c r="I94" s="885"/>
      <c r="J94" s="883">
        <v>810</v>
      </c>
      <c r="K94" s="590"/>
      <c r="L94" s="590"/>
      <c r="M94" s="590"/>
      <c r="N94" s="590"/>
      <c r="O94" s="590"/>
      <c r="P94" s="590"/>
      <c r="Q94" s="590"/>
      <c r="R94" s="590"/>
      <c r="S94" s="590"/>
      <c r="T94" s="590"/>
      <c r="U94" s="590"/>
    </row>
    <row r="95" spans="2:23" x14ac:dyDescent="0.2">
      <c r="B95" s="881" t="s">
        <v>892</v>
      </c>
      <c r="C95" s="882"/>
      <c r="D95" s="883">
        <f>+J25+F78+E86</f>
        <v>1136.7083333333333</v>
      </c>
      <c r="E95" s="590"/>
      <c r="F95" s="590"/>
      <c r="G95" s="881" t="s">
        <v>983</v>
      </c>
      <c r="H95" s="884"/>
      <c r="I95" s="885"/>
      <c r="J95" s="883">
        <v>810</v>
      </c>
      <c r="K95" s="590"/>
      <c r="L95" s="590"/>
      <c r="M95" s="590"/>
      <c r="N95" s="590"/>
      <c r="O95" s="590"/>
      <c r="P95" s="590"/>
      <c r="Q95" s="590"/>
      <c r="R95" s="590"/>
      <c r="S95" s="590"/>
      <c r="T95" s="590"/>
      <c r="U95" s="590"/>
    </row>
    <row r="96" spans="2:23" x14ac:dyDescent="0.2">
      <c r="B96" s="590"/>
      <c r="C96" s="590"/>
      <c r="D96" s="590"/>
      <c r="E96" s="590"/>
      <c r="F96" s="590"/>
      <c r="G96" s="881" t="s">
        <v>984</v>
      </c>
      <c r="H96" s="884"/>
      <c r="I96" s="885"/>
      <c r="J96" s="883">
        <v>1215</v>
      </c>
      <c r="K96" s="590"/>
      <c r="L96" s="590"/>
      <c r="M96" s="590"/>
      <c r="N96" s="590"/>
      <c r="O96" s="590"/>
      <c r="P96" s="590"/>
      <c r="Q96" s="590"/>
      <c r="R96" s="590"/>
      <c r="S96" s="590"/>
      <c r="T96" s="590"/>
      <c r="U96" s="590"/>
    </row>
    <row r="97" spans="2:10" x14ac:dyDescent="0.2">
      <c r="B97" s="590"/>
      <c r="C97" s="590"/>
      <c r="D97" s="590"/>
      <c r="E97" s="590"/>
      <c r="F97" s="590"/>
      <c r="G97" s="881" t="s">
        <v>985</v>
      </c>
      <c r="H97" s="884"/>
      <c r="I97" s="885"/>
      <c r="J97" s="883">
        <v>810</v>
      </c>
    </row>
    <row r="98" spans="2:10" x14ac:dyDescent="0.2">
      <c r="G98" s="881" t="s">
        <v>1025</v>
      </c>
      <c r="H98" s="884"/>
      <c r="I98" s="885"/>
      <c r="J98" s="883">
        <v>810</v>
      </c>
    </row>
    <row r="102" spans="2:10" x14ac:dyDescent="0.2">
      <c r="G102" s="590"/>
      <c r="H102" s="590"/>
      <c r="J102" s="886"/>
    </row>
  </sheetData>
  <mergeCells count="38">
    <mergeCell ref="B59:B61"/>
    <mergeCell ref="B45:B47"/>
    <mergeCell ref="H50:J50"/>
    <mergeCell ref="B52:B54"/>
    <mergeCell ref="H57:J57"/>
    <mergeCell ref="J84:P84"/>
    <mergeCell ref="J68:Q68"/>
    <mergeCell ref="J69:Q69"/>
    <mergeCell ref="J70:Q70"/>
    <mergeCell ref="J75:T75"/>
    <mergeCell ref="J77:P77"/>
    <mergeCell ref="J78:P78"/>
    <mergeCell ref="J79:P79"/>
    <mergeCell ref="J80:P80"/>
    <mergeCell ref="J81:P81"/>
    <mergeCell ref="J82:P82"/>
    <mergeCell ref="J83:P83"/>
    <mergeCell ref="V9:X9"/>
    <mergeCell ref="J67:Q67"/>
    <mergeCell ref="H36:J36"/>
    <mergeCell ref="B38:B40"/>
    <mergeCell ref="H43:J43"/>
    <mergeCell ref="B11:B12"/>
    <mergeCell ref="B13:B14"/>
    <mergeCell ref="B15:B16"/>
    <mergeCell ref="B17:B18"/>
    <mergeCell ref="B19:B20"/>
    <mergeCell ref="B21:B22"/>
    <mergeCell ref="B23:B24"/>
    <mergeCell ref="H28:J28"/>
    <mergeCell ref="B29:C29"/>
    <mergeCell ref="B30:B32"/>
    <mergeCell ref="J66:Q66"/>
    <mergeCell ref="B10:C10"/>
    <mergeCell ref="B7:J7"/>
    <mergeCell ref="H9:J9"/>
    <mergeCell ref="P9:R9"/>
    <mergeCell ref="S9:U9"/>
  </mergeCells>
  <pageMargins left="0.51" right="0.43" top="0.37" bottom="0.39370078740157483" header="0.24" footer="0.31496062992125984"/>
  <pageSetup scale="89" fitToHeight="0" orientation="portrait" r:id="rId1"/>
  <rowBreaks count="1" manualBreakCount="1">
    <brk id="47" min="1" max="9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V174"/>
  <sheetViews>
    <sheetView showGridLines="0" view="pageBreakPreview" topLeftCell="A158" zoomScale="112" zoomScaleNormal="100" zoomScaleSheetLayoutView="112" workbookViewId="0">
      <selection activeCell="O168" sqref="O168"/>
    </sheetView>
  </sheetViews>
  <sheetFormatPr baseColWidth="10" defaultRowHeight="12.75" x14ac:dyDescent="0.2"/>
  <cols>
    <col min="1" max="1" width="5.140625" customWidth="1"/>
    <col min="2" max="2" width="6.85546875" customWidth="1"/>
    <col min="3" max="3" width="35.85546875" customWidth="1"/>
    <col min="4" max="4" width="15.42578125" customWidth="1"/>
    <col min="6" max="6" width="8" customWidth="1"/>
    <col min="7" max="7" width="10.42578125" customWidth="1"/>
    <col min="8" max="8" width="12.28515625" customWidth="1"/>
    <col min="9" max="9" width="6.140625" customWidth="1"/>
    <col min="10" max="10" width="7" style="530" customWidth="1"/>
    <col min="11" max="11" width="8.85546875" style="530" customWidth="1"/>
    <col min="12" max="12" width="9" style="530" customWidth="1"/>
    <col min="13" max="13" width="8.7109375" style="530" customWidth="1"/>
    <col min="14" max="14" width="10.28515625" style="530" customWidth="1"/>
    <col min="15" max="15" width="11.42578125" style="530"/>
  </cols>
  <sheetData>
    <row r="1" spans="2:22" ht="13.5" thickBot="1" x14ac:dyDescent="0.25"/>
    <row r="2" spans="2:22" ht="18" customHeight="1" thickBot="1" x14ac:dyDescent="0.25">
      <c r="B2" s="1276" t="s">
        <v>573</v>
      </c>
      <c r="C2" s="1277"/>
      <c r="D2" s="1277"/>
      <c r="E2" s="1277"/>
      <c r="F2" s="1277"/>
      <c r="G2" s="1277"/>
      <c r="H2" s="1278"/>
      <c r="I2" s="902" t="s">
        <v>915</v>
      </c>
      <c r="J2" s="928" t="s">
        <v>920</v>
      </c>
      <c r="K2" s="530">
        <v>7</v>
      </c>
      <c r="L2" s="902" t="s">
        <v>917</v>
      </c>
      <c r="M2" s="530">
        <v>10</v>
      </c>
      <c r="N2" s="928" t="s">
        <v>918</v>
      </c>
      <c r="O2" s="928" t="s">
        <v>919</v>
      </c>
      <c r="P2" s="530">
        <v>15</v>
      </c>
      <c r="T2" s="530"/>
      <c r="V2" s="530"/>
    </row>
    <row r="3" spans="2:22" ht="13.5" thickBot="1" x14ac:dyDescent="0.25">
      <c r="I3">
        <v>250</v>
      </c>
      <c r="J3" s="530">
        <v>250</v>
      </c>
      <c r="K3" s="530">
        <v>500</v>
      </c>
      <c r="L3" s="530">
        <v>500</v>
      </c>
      <c r="M3" s="530">
        <v>750</v>
      </c>
      <c r="N3" s="530">
        <v>750</v>
      </c>
      <c r="O3" s="530">
        <v>1000</v>
      </c>
      <c r="P3" s="530">
        <v>1250</v>
      </c>
      <c r="T3" s="530"/>
      <c r="V3" s="530"/>
    </row>
    <row r="4" spans="2:22" ht="15" thickBot="1" x14ac:dyDescent="0.25">
      <c r="D4" s="62"/>
      <c r="E4" s="62"/>
      <c r="F4" s="62"/>
      <c r="G4" s="63" t="s">
        <v>103</v>
      </c>
      <c r="H4" s="64">
        <v>3.8</v>
      </c>
      <c r="I4" s="62">
        <v>160</v>
      </c>
      <c r="J4" s="530">
        <v>160</v>
      </c>
      <c r="K4" s="530">
        <v>80</v>
      </c>
      <c r="L4" s="530">
        <v>160</v>
      </c>
      <c r="M4" s="530">
        <v>160</v>
      </c>
      <c r="N4" s="530">
        <v>160</v>
      </c>
      <c r="O4" s="530">
        <v>160</v>
      </c>
      <c r="P4" s="530">
        <v>160</v>
      </c>
      <c r="T4" s="530"/>
      <c r="V4" s="530"/>
    </row>
    <row r="5" spans="2:22" ht="14.25" x14ac:dyDescent="0.2">
      <c r="D5" s="62"/>
      <c r="E5" s="62"/>
      <c r="F5" s="62"/>
      <c r="G5" s="929"/>
      <c r="H5" s="930"/>
      <c r="I5" s="62"/>
      <c r="K5" s="530">
        <v>80</v>
      </c>
      <c r="L5" s="559">
        <v>160</v>
      </c>
      <c r="M5" s="530">
        <v>160</v>
      </c>
      <c r="N5" s="530">
        <v>160</v>
      </c>
      <c r="O5" s="530">
        <v>160</v>
      </c>
      <c r="P5" s="530">
        <v>160</v>
      </c>
      <c r="T5" s="530"/>
      <c r="V5" s="530"/>
    </row>
    <row r="6" spans="2:22" ht="14.25" x14ac:dyDescent="0.2">
      <c r="D6" s="62"/>
      <c r="E6" s="62"/>
      <c r="F6" s="62"/>
      <c r="G6" s="929"/>
      <c r="H6" s="930"/>
      <c r="I6" s="62"/>
      <c r="L6"/>
      <c r="M6"/>
      <c r="N6" s="530">
        <v>160</v>
      </c>
      <c r="O6" s="530">
        <v>160</v>
      </c>
      <c r="S6" s="530"/>
      <c r="T6" s="530"/>
      <c r="V6" s="530"/>
    </row>
    <row r="7" spans="2:22" ht="14.25" x14ac:dyDescent="0.2">
      <c r="D7" s="62"/>
      <c r="E7" s="62"/>
      <c r="F7" s="62"/>
      <c r="G7" s="929"/>
      <c r="H7" s="930"/>
      <c r="I7" s="62"/>
      <c r="L7"/>
      <c r="M7"/>
      <c r="O7" s="530">
        <v>160</v>
      </c>
      <c r="S7" s="530"/>
      <c r="T7" s="530"/>
      <c r="V7" s="530"/>
    </row>
    <row r="8" spans="2:22" ht="15" thickBot="1" x14ac:dyDescent="0.25">
      <c r="C8" s="65"/>
      <c r="D8" s="62"/>
      <c r="E8" s="62"/>
      <c r="F8" s="62"/>
      <c r="G8" s="62"/>
      <c r="H8" s="62"/>
      <c r="I8" s="62">
        <f>SUM(I3:I7)</f>
        <v>410</v>
      </c>
      <c r="J8" s="530">
        <f>SUM(J3:J7)</f>
        <v>410</v>
      </c>
      <c r="K8" s="530">
        <f t="shared" ref="K8:P8" si="0">SUM(K3:K7)</f>
        <v>660</v>
      </c>
      <c r="L8" s="530">
        <f t="shared" si="0"/>
        <v>820</v>
      </c>
      <c r="M8" s="530">
        <f t="shared" si="0"/>
        <v>1070</v>
      </c>
      <c r="N8" s="530">
        <f t="shared" si="0"/>
        <v>1230</v>
      </c>
      <c r="O8" s="530">
        <f>SUM(O3:O7)</f>
        <v>1640</v>
      </c>
      <c r="P8" s="530">
        <f t="shared" si="0"/>
        <v>1570</v>
      </c>
      <c r="V8" s="530"/>
    </row>
    <row r="9" spans="2:22" ht="13.5" customHeight="1" thickBot="1" x14ac:dyDescent="0.25">
      <c r="B9" s="1273" t="str">
        <f>+Hoja4!C7</f>
        <v>COBRE BUS BAR TIPO 1; 2; 3; 4; 4.1; 5; 7</v>
      </c>
      <c r="C9" s="1274"/>
      <c r="D9" s="1274"/>
      <c r="E9" s="1274"/>
      <c r="F9" s="1274"/>
      <c r="G9" s="1274"/>
      <c r="H9" s="1275"/>
      <c r="I9" s="62"/>
    </row>
    <row r="10" spans="2:22" ht="27" customHeight="1" thickBot="1" x14ac:dyDescent="0.25">
      <c r="B10" s="66" t="s">
        <v>6</v>
      </c>
      <c r="C10" s="67" t="s">
        <v>73</v>
      </c>
      <c r="D10" s="68" t="s">
        <v>109</v>
      </c>
      <c r="E10" s="69" t="s">
        <v>72</v>
      </c>
      <c r="F10" s="68" t="s">
        <v>110</v>
      </c>
      <c r="G10" s="70" t="s">
        <v>111</v>
      </c>
      <c r="H10" s="931" t="s">
        <v>112</v>
      </c>
      <c r="I10" s="529" t="s">
        <v>921</v>
      </c>
      <c r="J10" s="528" t="s">
        <v>544</v>
      </c>
      <c r="K10" s="528" t="s">
        <v>545</v>
      </c>
      <c r="L10" s="528" t="s">
        <v>546</v>
      </c>
      <c r="M10" s="528" t="s">
        <v>547</v>
      </c>
      <c r="N10" s="528" t="s">
        <v>548</v>
      </c>
      <c r="O10" s="568" t="s">
        <v>571</v>
      </c>
    </row>
    <row r="11" spans="2:22" ht="12.75" customHeight="1" x14ac:dyDescent="0.2">
      <c r="B11" s="71">
        <v>1</v>
      </c>
      <c r="C11" s="72" t="s">
        <v>572</v>
      </c>
      <c r="D11" s="73" t="str">
        <f>+Barras!A17</f>
        <v>30 x 10</v>
      </c>
      <c r="E11" s="74">
        <f>SUM(J11:L11)*M11*N11*O11</f>
        <v>2</v>
      </c>
      <c r="F11" s="78" t="s">
        <v>44</v>
      </c>
      <c r="G11" s="74">
        <f>VLOOKUP(D11,Barras!$A$6:$T$31,20,0)</f>
        <v>123.95</v>
      </c>
      <c r="H11" s="932">
        <f>+E11*G11</f>
        <v>247.9</v>
      </c>
      <c r="I11" s="970">
        <f>+Hoja4!L7</f>
        <v>497</v>
      </c>
      <c r="J11" s="533">
        <v>1</v>
      </c>
      <c r="K11" s="533">
        <v>0</v>
      </c>
      <c r="L11" s="533">
        <v>0</v>
      </c>
      <c r="M11" s="533">
        <v>2</v>
      </c>
      <c r="N11" s="533">
        <v>1</v>
      </c>
      <c r="O11" s="533">
        <v>1</v>
      </c>
    </row>
    <row r="12" spans="2:22" ht="12.75" customHeight="1" x14ac:dyDescent="0.2">
      <c r="B12" s="71">
        <v>2</v>
      </c>
      <c r="C12" s="72" t="s">
        <v>973</v>
      </c>
      <c r="D12" s="73" t="str">
        <f>+Barras!A13</f>
        <v>25 x 3</v>
      </c>
      <c r="E12" s="74">
        <f>SUM(J12:L12)*M12*N12*O12</f>
        <v>0.7</v>
      </c>
      <c r="F12" s="73" t="s">
        <v>44</v>
      </c>
      <c r="G12" s="74">
        <f>VLOOKUP(D12,Barras!$A$6:$T$31,20,0)</f>
        <v>31.45</v>
      </c>
      <c r="H12" s="932">
        <f>G12*E12</f>
        <v>22.014999999999997</v>
      </c>
      <c r="I12" s="529">
        <v>250</v>
      </c>
      <c r="J12" s="533">
        <v>0</v>
      </c>
      <c r="K12" s="533">
        <v>0.35</v>
      </c>
      <c r="L12" s="533">
        <v>0</v>
      </c>
      <c r="M12" s="533">
        <v>2</v>
      </c>
      <c r="N12" s="533">
        <v>1</v>
      </c>
      <c r="O12" s="533">
        <v>1</v>
      </c>
    </row>
    <row r="13" spans="2:22" ht="12.75" customHeight="1" x14ac:dyDescent="0.2">
      <c r="B13" s="71">
        <v>3</v>
      </c>
      <c r="C13" s="77" t="s">
        <v>974</v>
      </c>
      <c r="D13" s="78" t="str">
        <f>+Barras!A8</f>
        <v>15 x 3</v>
      </c>
      <c r="E13" s="74">
        <f>SUM(J13:L13)*M13*N13*O13</f>
        <v>0.7</v>
      </c>
      <c r="F13" s="78" t="s">
        <v>44</v>
      </c>
      <c r="G13" s="74">
        <f>VLOOKUP(D13,Barras!$A$6:$T$31,20,0)</f>
        <v>18.5</v>
      </c>
      <c r="H13" s="936">
        <f>+E13*G13</f>
        <v>12.95</v>
      </c>
      <c r="I13" s="529">
        <v>160</v>
      </c>
      <c r="J13" s="533">
        <v>0</v>
      </c>
      <c r="K13" s="533">
        <v>0.35</v>
      </c>
      <c r="L13" s="533">
        <v>0</v>
      </c>
      <c r="M13" s="533">
        <v>2</v>
      </c>
      <c r="N13" s="533">
        <v>1</v>
      </c>
      <c r="O13" s="533">
        <v>1</v>
      </c>
    </row>
    <row r="14" spans="2:22" ht="12.75" customHeight="1" x14ac:dyDescent="0.2">
      <c r="B14" s="71">
        <v>3</v>
      </c>
      <c r="C14" s="77" t="s">
        <v>975</v>
      </c>
      <c r="D14" s="78" t="str">
        <f>+Barras!A8</f>
        <v>15 x 3</v>
      </c>
      <c r="E14" s="74">
        <f>SUM(J14:L14)*M14*N14*O14</f>
        <v>1.4</v>
      </c>
      <c r="F14" s="78" t="s">
        <v>44</v>
      </c>
      <c r="G14" s="74">
        <f>VLOOKUP(D14,Barras!$A$6:$T$31,20,0)</f>
        <v>18.5</v>
      </c>
      <c r="H14" s="936">
        <f>+E14*G14</f>
        <v>25.9</v>
      </c>
      <c r="I14" s="529">
        <v>160</v>
      </c>
      <c r="J14" s="533">
        <v>0</v>
      </c>
      <c r="K14" s="533">
        <v>0.35</v>
      </c>
      <c r="L14" s="533">
        <v>0</v>
      </c>
      <c r="M14" s="533">
        <v>2</v>
      </c>
      <c r="N14" s="533">
        <v>1</v>
      </c>
      <c r="O14" s="533">
        <v>2</v>
      </c>
    </row>
    <row r="15" spans="2:22" ht="12.75" customHeight="1" x14ac:dyDescent="0.2">
      <c r="B15" s="71">
        <v>4</v>
      </c>
      <c r="C15" s="77" t="s">
        <v>113</v>
      </c>
      <c r="D15" s="78" t="str">
        <f>+Barras!A16</f>
        <v>30 x 5</v>
      </c>
      <c r="E15" s="74">
        <f>SUM(J15:L15)*M15*N15*O15</f>
        <v>0.7</v>
      </c>
      <c r="F15" s="78" t="s">
        <v>44</v>
      </c>
      <c r="G15" s="74">
        <f>VLOOKUP(D15,Barras!$A$6:$T$31,20,0)</f>
        <v>62.21</v>
      </c>
      <c r="H15" s="936">
        <f>+E15*G15</f>
        <v>43.546999999999997</v>
      </c>
      <c r="I15" s="529"/>
      <c r="J15" s="533">
        <v>0.7</v>
      </c>
      <c r="K15" s="533">
        <v>0</v>
      </c>
      <c r="L15" s="533">
        <v>0</v>
      </c>
      <c r="M15" s="533">
        <v>1</v>
      </c>
      <c r="N15" s="533">
        <v>1</v>
      </c>
      <c r="O15" s="533">
        <v>1</v>
      </c>
    </row>
    <row r="16" spans="2:22" ht="12.75" customHeight="1" x14ac:dyDescent="0.2">
      <c r="B16" s="71">
        <v>5</v>
      </c>
      <c r="C16" s="77" t="s">
        <v>114</v>
      </c>
      <c r="D16" s="78" t="s">
        <v>115</v>
      </c>
      <c r="E16" s="79">
        <v>6</v>
      </c>
      <c r="F16" s="78" t="s">
        <v>10</v>
      </c>
      <c r="G16" s="79">
        <f>+Materiales!G88</f>
        <v>3.81</v>
      </c>
      <c r="H16" s="80">
        <f>+E16*G16</f>
        <v>22.86</v>
      </c>
      <c r="I16" s="62"/>
      <c r="J16" s="62"/>
      <c r="K16" s="62"/>
      <c r="L16" s="62"/>
      <c r="M16" s="62"/>
      <c r="N16" s="62"/>
      <c r="O16" s="62"/>
    </row>
    <row r="17" spans="2:16" ht="12.75" customHeight="1" x14ac:dyDescent="0.2">
      <c r="B17" s="71">
        <v>6</v>
      </c>
      <c r="C17" s="77" t="s">
        <v>116</v>
      </c>
      <c r="D17" s="78" t="s">
        <v>117</v>
      </c>
      <c r="E17" s="79">
        <v>1</v>
      </c>
      <c r="F17" s="78" t="s">
        <v>17</v>
      </c>
      <c r="G17" s="79">
        <v>25</v>
      </c>
      <c r="H17" s="80">
        <f>G17*E17</f>
        <v>25</v>
      </c>
      <c r="I17" s="62"/>
      <c r="J17" s="62"/>
      <c r="K17" s="62"/>
      <c r="L17" s="62"/>
      <c r="M17" s="62"/>
      <c r="N17" s="62"/>
      <c r="O17" s="62"/>
    </row>
    <row r="18" spans="2:16" ht="12.75" customHeight="1" x14ac:dyDescent="0.2">
      <c r="B18" s="71">
        <v>7</v>
      </c>
      <c r="C18" s="77" t="s">
        <v>11</v>
      </c>
      <c r="D18" s="78" t="s">
        <v>12</v>
      </c>
      <c r="E18" s="79">
        <v>1</v>
      </c>
      <c r="F18" s="78" t="s">
        <v>10</v>
      </c>
      <c r="G18" s="79">
        <v>5.5</v>
      </c>
      <c r="H18" s="80">
        <f>+E18*G18</f>
        <v>5.5</v>
      </c>
      <c r="I18" s="62"/>
      <c r="J18" s="62"/>
      <c r="K18" s="62"/>
      <c r="L18" s="62"/>
      <c r="M18" s="62"/>
      <c r="N18" s="62"/>
      <c r="O18" s="62"/>
    </row>
    <row r="19" spans="2:16" ht="12.75" customHeight="1" x14ac:dyDescent="0.2">
      <c r="B19" s="71">
        <v>8</v>
      </c>
      <c r="C19" s="77" t="s">
        <v>13</v>
      </c>
      <c r="D19" s="78" t="s">
        <v>14</v>
      </c>
      <c r="E19" s="79">
        <v>1</v>
      </c>
      <c r="F19" s="78" t="s">
        <v>10</v>
      </c>
      <c r="G19" s="79">
        <v>6</v>
      </c>
      <c r="H19" s="80">
        <f>+E19*G19</f>
        <v>6</v>
      </c>
      <c r="I19" s="62"/>
      <c r="J19" s="62"/>
      <c r="K19" s="62"/>
      <c r="L19" s="62"/>
      <c r="M19" s="62"/>
      <c r="N19" s="62"/>
      <c r="O19" s="62"/>
    </row>
    <row r="20" spans="2:16" ht="12.75" customHeight="1" thickBot="1" x14ac:dyDescent="0.25">
      <c r="B20" s="71">
        <v>9</v>
      </c>
      <c r="C20" s="82" t="s">
        <v>15</v>
      </c>
      <c r="D20" s="83" t="s">
        <v>16</v>
      </c>
      <c r="E20" s="84">
        <v>13</v>
      </c>
      <c r="F20" s="83" t="s">
        <v>10</v>
      </c>
      <c r="G20" s="84">
        <v>2</v>
      </c>
      <c r="H20" s="85">
        <f>+E20*G20</f>
        <v>26</v>
      </c>
      <c r="I20" s="62"/>
      <c r="J20" s="62"/>
      <c r="K20" s="62"/>
      <c r="L20" s="62"/>
      <c r="M20" s="62"/>
      <c r="N20" s="62"/>
      <c r="O20" s="62"/>
    </row>
    <row r="21" spans="2:16" ht="15" thickBot="1" x14ac:dyDescent="0.25">
      <c r="B21" s="452" t="str">
        <f>+B9</f>
        <v>COBRE BUS BAR TIPO 1; 2; 3; 4; 4.1; 5; 7</v>
      </c>
      <c r="C21" s="453"/>
      <c r="D21" s="453"/>
      <c r="E21" s="453"/>
      <c r="F21" s="453"/>
      <c r="G21" s="454"/>
      <c r="H21" s="86">
        <f>SUM(H11:H20)</f>
        <v>437.67200000000003</v>
      </c>
      <c r="I21" s="62" t="s">
        <v>50</v>
      </c>
      <c r="J21" s="62"/>
      <c r="K21" s="62"/>
      <c r="L21" s="62"/>
      <c r="M21" s="62"/>
      <c r="N21" s="62"/>
      <c r="O21" s="62"/>
    </row>
    <row r="22" spans="2:16" ht="14.25" x14ac:dyDescent="0.2">
      <c r="C22" s="62"/>
      <c r="D22" s="62"/>
      <c r="E22" s="62"/>
      <c r="F22" s="62"/>
      <c r="G22" s="62"/>
      <c r="H22" s="87"/>
      <c r="I22" s="62"/>
      <c r="J22" s="62"/>
      <c r="K22" s="62"/>
      <c r="L22" s="62"/>
      <c r="M22" s="62"/>
      <c r="N22" s="62"/>
      <c r="O22" s="62"/>
    </row>
    <row r="23" spans="2:16" ht="15" thickBot="1" x14ac:dyDescent="0.25">
      <c r="C23" s="65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</row>
    <row r="24" spans="2:16" ht="13.5" customHeight="1" thickBot="1" x14ac:dyDescent="0.25">
      <c r="B24" s="1273" t="str">
        <f>+Hoja4!C14</f>
        <v>COBRE BUS BAR TIPO 6</v>
      </c>
      <c r="C24" s="1274"/>
      <c r="D24" s="1274"/>
      <c r="E24" s="1274"/>
      <c r="F24" s="1274"/>
      <c r="G24" s="1274"/>
      <c r="H24" s="1275"/>
      <c r="I24" s="62"/>
      <c r="J24" s="62"/>
      <c r="K24" s="62"/>
      <c r="L24" s="62"/>
      <c r="M24" s="62"/>
      <c r="N24" s="62"/>
      <c r="O24" s="62"/>
      <c r="P24" s="62"/>
    </row>
    <row r="25" spans="2:16" ht="27" customHeight="1" thickBot="1" x14ac:dyDescent="0.25">
      <c r="B25" s="67" t="s">
        <v>6</v>
      </c>
      <c r="C25" s="67" t="s">
        <v>73</v>
      </c>
      <c r="D25" s="68" t="s">
        <v>109</v>
      </c>
      <c r="E25" s="69" t="s">
        <v>72</v>
      </c>
      <c r="F25" s="68" t="s">
        <v>110</v>
      </c>
      <c r="G25" s="70" t="s">
        <v>111</v>
      </c>
      <c r="H25" s="931" t="s">
        <v>112</v>
      </c>
      <c r="I25" s="529" t="s">
        <v>921</v>
      </c>
      <c r="J25" s="528" t="s">
        <v>544</v>
      </c>
      <c r="K25" s="528" t="s">
        <v>545</v>
      </c>
      <c r="L25" s="528" t="s">
        <v>546</v>
      </c>
      <c r="M25" s="528" t="s">
        <v>547</v>
      </c>
      <c r="N25" s="528" t="s">
        <v>548</v>
      </c>
      <c r="O25" s="568" t="s">
        <v>571</v>
      </c>
    </row>
    <row r="26" spans="2:16" ht="12.75" customHeight="1" x14ac:dyDescent="0.2">
      <c r="B26" s="569">
        <v>1</v>
      </c>
      <c r="C26" s="72" t="s">
        <v>572</v>
      </c>
      <c r="D26" s="73" t="str">
        <f>+Barras!A17</f>
        <v>30 x 10</v>
      </c>
      <c r="E26" s="74">
        <f t="shared" ref="E26:E28" si="1">SUM(J26:L26)*M26*N26*O26</f>
        <v>2</v>
      </c>
      <c r="F26" s="73" t="s">
        <v>44</v>
      </c>
      <c r="G26" s="74">
        <f>VLOOKUP(D26,Barras!$A$6:$T$31,20,0)</f>
        <v>123.95</v>
      </c>
      <c r="H26" s="932">
        <f>+E26*G26</f>
        <v>247.9</v>
      </c>
      <c r="I26" s="970">
        <f>+Hoja4!L14</f>
        <v>676</v>
      </c>
      <c r="J26" s="533">
        <v>1</v>
      </c>
      <c r="K26" s="533">
        <v>0</v>
      </c>
      <c r="L26" s="533">
        <v>0</v>
      </c>
      <c r="M26" s="533">
        <v>2</v>
      </c>
      <c r="N26" s="533">
        <v>1</v>
      </c>
      <c r="O26" s="533">
        <v>1</v>
      </c>
    </row>
    <row r="27" spans="2:16" ht="12.75" customHeight="1" x14ac:dyDescent="0.2">
      <c r="B27" s="569">
        <v>2</v>
      </c>
      <c r="C27" s="72" t="s">
        <v>973</v>
      </c>
      <c r="D27" s="73" t="str">
        <f>+Barras!A13</f>
        <v>25 x 3</v>
      </c>
      <c r="E27" s="74">
        <f>SUM(J27:L27)*M27*N27*O27</f>
        <v>1.4</v>
      </c>
      <c r="F27" s="73" t="s">
        <v>44</v>
      </c>
      <c r="G27" s="74">
        <f>VLOOKUP(D27,Barras!$A$6:$T$31,20,0)</f>
        <v>31.45</v>
      </c>
      <c r="H27" s="932">
        <f>G27*E27</f>
        <v>44.029999999999994</v>
      </c>
      <c r="I27" s="529">
        <v>250</v>
      </c>
      <c r="J27" s="533">
        <v>0</v>
      </c>
      <c r="K27" s="533">
        <v>0.35</v>
      </c>
      <c r="L27" s="533">
        <v>0</v>
      </c>
      <c r="M27" s="533">
        <v>2</v>
      </c>
      <c r="N27" s="533">
        <v>1</v>
      </c>
      <c r="O27" s="533">
        <v>2</v>
      </c>
    </row>
    <row r="28" spans="2:16" ht="12.75" customHeight="1" x14ac:dyDescent="0.2">
      <c r="B28" s="569">
        <v>3</v>
      </c>
      <c r="C28" s="77" t="s">
        <v>974</v>
      </c>
      <c r="D28" s="78" t="str">
        <f>+Barras!A8</f>
        <v>15 x 3</v>
      </c>
      <c r="E28" s="74">
        <f t="shared" si="1"/>
        <v>0.7</v>
      </c>
      <c r="F28" s="78" t="s">
        <v>44</v>
      </c>
      <c r="G28" s="74">
        <f>VLOOKUP(D28,Barras!$A$6:$T$31,20,0)</f>
        <v>18.5</v>
      </c>
      <c r="H28" s="936">
        <f>+E28*G28</f>
        <v>12.95</v>
      </c>
      <c r="I28" s="529">
        <v>160</v>
      </c>
      <c r="J28" s="533">
        <v>0</v>
      </c>
      <c r="K28" s="533">
        <v>0.35</v>
      </c>
      <c r="L28" s="533">
        <v>0</v>
      </c>
      <c r="M28" s="533">
        <v>2</v>
      </c>
      <c r="N28" s="533">
        <v>1</v>
      </c>
      <c r="O28" s="533">
        <v>1</v>
      </c>
    </row>
    <row r="29" spans="2:16" ht="12.75" customHeight="1" x14ac:dyDescent="0.2">
      <c r="B29" s="71">
        <v>3</v>
      </c>
      <c r="C29" s="77" t="s">
        <v>976</v>
      </c>
      <c r="D29" s="78" t="str">
        <f>+Barras!A8</f>
        <v>15 x 3</v>
      </c>
      <c r="E29" s="74">
        <f>SUM(J29:L29)*M29*N29*O29</f>
        <v>1.4</v>
      </c>
      <c r="F29" s="78" t="s">
        <v>44</v>
      </c>
      <c r="G29" s="74">
        <f>VLOOKUP(D29,Barras!$A$6:$T$31,20,0)</f>
        <v>18.5</v>
      </c>
      <c r="H29" s="936">
        <f>+E29*G29</f>
        <v>25.9</v>
      </c>
      <c r="I29" s="529">
        <v>160</v>
      </c>
      <c r="J29" s="533">
        <v>0</v>
      </c>
      <c r="K29" s="533">
        <v>0.35</v>
      </c>
      <c r="L29" s="533">
        <v>0</v>
      </c>
      <c r="M29" s="533">
        <v>2</v>
      </c>
      <c r="N29" s="533">
        <v>1</v>
      </c>
      <c r="O29" s="533">
        <v>2</v>
      </c>
    </row>
    <row r="30" spans="2:16" ht="12.75" customHeight="1" x14ac:dyDescent="0.2">
      <c r="B30" s="71">
        <v>4</v>
      </c>
      <c r="C30" s="77" t="s">
        <v>113</v>
      </c>
      <c r="D30" s="78" t="str">
        <f>+Barras!A16</f>
        <v>30 x 5</v>
      </c>
      <c r="E30" s="74">
        <f>SUM(J30:L30)*M30*N30*O30</f>
        <v>0.7</v>
      </c>
      <c r="F30" s="78" t="s">
        <v>44</v>
      </c>
      <c r="G30" s="74">
        <f>VLOOKUP(D30,Barras!$A$6:$T$31,20,0)</f>
        <v>62.21</v>
      </c>
      <c r="H30" s="936">
        <f>+E30*G30</f>
        <v>43.546999999999997</v>
      </c>
      <c r="I30" s="529"/>
      <c r="J30" s="533">
        <v>0.7</v>
      </c>
      <c r="K30" s="533">
        <v>0</v>
      </c>
      <c r="L30" s="533">
        <v>0</v>
      </c>
      <c r="M30" s="533">
        <v>1</v>
      </c>
      <c r="N30" s="533">
        <v>1</v>
      </c>
      <c r="O30" s="533">
        <v>1</v>
      </c>
    </row>
    <row r="31" spans="2:16" ht="12.75" customHeight="1" x14ac:dyDescent="0.2">
      <c r="B31" s="569">
        <v>5</v>
      </c>
      <c r="C31" s="77" t="s">
        <v>114</v>
      </c>
      <c r="D31" s="78" t="s">
        <v>115</v>
      </c>
      <c r="E31" s="79">
        <v>6</v>
      </c>
      <c r="F31" s="78" t="s">
        <v>10</v>
      </c>
      <c r="G31" s="79">
        <f>+Materiales!G88</f>
        <v>3.81</v>
      </c>
      <c r="H31" s="80">
        <f>+E31*G31</f>
        <v>22.86</v>
      </c>
      <c r="I31" s="62"/>
    </row>
    <row r="32" spans="2:16" ht="12.75" customHeight="1" x14ac:dyDescent="0.2">
      <c r="B32" s="569">
        <v>6</v>
      </c>
      <c r="C32" s="77" t="s">
        <v>116</v>
      </c>
      <c r="D32" s="78" t="s">
        <v>117</v>
      </c>
      <c r="E32" s="79">
        <v>1</v>
      </c>
      <c r="F32" s="78" t="s">
        <v>17</v>
      </c>
      <c r="G32" s="79">
        <v>25</v>
      </c>
      <c r="H32" s="80">
        <f>G32*E32</f>
        <v>25</v>
      </c>
      <c r="I32" s="62"/>
    </row>
    <row r="33" spans="2:15" ht="12.75" customHeight="1" x14ac:dyDescent="0.2">
      <c r="B33" s="569">
        <v>7</v>
      </c>
      <c r="C33" s="77" t="s">
        <v>11</v>
      </c>
      <c r="D33" s="78" t="s">
        <v>12</v>
      </c>
      <c r="E33" s="79">
        <v>1</v>
      </c>
      <c r="F33" s="78" t="s">
        <v>10</v>
      </c>
      <c r="G33" s="79">
        <v>5.5</v>
      </c>
      <c r="H33" s="80">
        <f t="shared" ref="H33:H35" si="2">+E33*G33</f>
        <v>5.5</v>
      </c>
      <c r="I33" s="62"/>
    </row>
    <row r="34" spans="2:15" ht="12.75" customHeight="1" x14ac:dyDescent="0.2">
      <c r="B34" s="569">
        <v>8</v>
      </c>
      <c r="C34" s="77" t="s">
        <v>13</v>
      </c>
      <c r="D34" s="78" t="s">
        <v>14</v>
      </c>
      <c r="E34" s="79">
        <v>1</v>
      </c>
      <c r="F34" s="78" t="s">
        <v>10</v>
      </c>
      <c r="G34" s="79">
        <v>6</v>
      </c>
      <c r="H34" s="80">
        <f t="shared" si="2"/>
        <v>6</v>
      </c>
      <c r="I34" s="62"/>
    </row>
    <row r="35" spans="2:15" ht="12.75" customHeight="1" thickBot="1" x14ac:dyDescent="0.25">
      <c r="B35" s="570">
        <v>9</v>
      </c>
      <c r="C35" s="82" t="s">
        <v>15</v>
      </c>
      <c r="D35" s="83" t="s">
        <v>16</v>
      </c>
      <c r="E35" s="84">
        <v>13</v>
      </c>
      <c r="F35" s="83" t="s">
        <v>10</v>
      </c>
      <c r="G35" s="84">
        <v>2</v>
      </c>
      <c r="H35" s="85">
        <f t="shared" si="2"/>
        <v>26</v>
      </c>
      <c r="I35" s="62"/>
    </row>
    <row r="36" spans="2:15" ht="15" thickBot="1" x14ac:dyDescent="0.25">
      <c r="B36" s="452" t="str">
        <f>+B24</f>
        <v>COBRE BUS BAR TIPO 6</v>
      </c>
      <c r="C36" s="453"/>
      <c r="D36" s="453"/>
      <c r="E36" s="453"/>
      <c r="F36" s="453"/>
      <c r="G36" s="454"/>
      <c r="H36" s="86">
        <f>SUM(H26:H35)</f>
        <v>459.68700000000001</v>
      </c>
      <c r="I36" s="62" t="s">
        <v>50</v>
      </c>
    </row>
    <row r="38" spans="2:15" ht="15" thickBot="1" x14ac:dyDescent="0.25">
      <c r="C38" s="65"/>
      <c r="D38" s="62"/>
      <c r="E38" s="62"/>
      <c r="F38" s="62"/>
      <c r="G38" s="62"/>
      <c r="H38" s="62"/>
      <c r="I38" s="62"/>
    </row>
    <row r="39" spans="2:15" ht="13.5" customHeight="1" thickBot="1" x14ac:dyDescent="0.25">
      <c r="B39" s="1273" t="str">
        <f>+Hoja4!C15</f>
        <v>COBRE BUS BAR TIPO 8; 8.1 y 9.1</v>
      </c>
      <c r="C39" s="1274"/>
      <c r="D39" s="1274"/>
      <c r="E39" s="1274"/>
      <c r="F39" s="1274"/>
      <c r="G39" s="1274"/>
      <c r="H39" s="1275"/>
      <c r="I39" s="62"/>
    </row>
    <row r="40" spans="2:15" ht="27" customHeight="1" thickBot="1" x14ac:dyDescent="0.25">
      <c r="B40" s="66" t="s">
        <v>6</v>
      </c>
      <c r="C40" s="67" t="s">
        <v>73</v>
      </c>
      <c r="D40" s="68" t="s">
        <v>109</v>
      </c>
      <c r="E40" s="69" t="s">
        <v>72</v>
      </c>
      <c r="F40" s="68" t="s">
        <v>110</v>
      </c>
      <c r="G40" s="70" t="s">
        <v>111</v>
      </c>
      <c r="H40" s="931" t="s">
        <v>112</v>
      </c>
      <c r="I40" s="529" t="s">
        <v>921</v>
      </c>
      <c r="J40" s="528" t="s">
        <v>544</v>
      </c>
      <c r="K40" s="528" t="s">
        <v>545</v>
      </c>
      <c r="L40" s="528" t="s">
        <v>546</v>
      </c>
      <c r="M40" s="528" t="s">
        <v>547</v>
      </c>
      <c r="N40" s="528" t="s">
        <v>548</v>
      </c>
      <c r="O40" s="568" t="s">
        <v>571</v>
      </c>
    </row>
    <row r="41" spans="2:15" ht="12.75" customHeight="1" x14ac:dyDescent="0.2">
      <c r="B41" s="569">
        <v>1</v>
      </c>
      <c r="C41" s="72" t="s">
        <v>572</v>
      </c>
      <c r="D41" s="73" t="str">
        <f>+Barras!A20</f>
        <v>40 x 10</v>
      </c>
      <c r="E41" s="74">
        <f>SUM(J41:L41)*M41*N41*O41</f>
        <v>2.8</v>
      </c>
      <c r="F41" s="73" t="s">
        <v>44</v>
      </c>
      <c r="G41" s="74">
        <f>VLOOKUP(D41,Barras!$A$6:$T$31,20,0)</f>
        <v>165.73</v>
      </c>
      <c r="H41" s="932">
        <f>+E41*G41</f>
        <v>464.04399999999993</v>
      </c>
      <c r="I41" s="970">
        <f>+Hoja4!L15</f>
        <v>850</v>
      </c>
      <c r="J41" s="533">
        <v>1.4</v>
      </c>
      <c r="K41" s="533">
        <v>0</v>
      </c>
      <c r="L41" s="533">
        <v>0</v>
      </c>
      <c r="M41" s="533">
        <v>2</v>
      </c>
      <c r="N41" s="533">
        <v>1</v>
      </c>
      <c r="O41" s="533">
        <v>1</v>
      </c>
    </row>
    <row r="42" spans="2:15" ht="12.75" customHeight="1" x14ac:dyDescent="0.2">
      <c r="B42" s="569">
        <v>2</v>
      </c>
      <c r="C42" s="72" t="s">
        <v>973</v>
      </c>
      <c r="D42" s="73" t="str">
        <f>+Barras!A13</f>
        <v>25 x 3</v>
      </c>
      <c r="E42" s="74">
        <f t="shared" ref="E42:E45" si="3">SUM(J42:L42)*M42*N42*O42</f>
        <v>1.4</v>
      </c>
      <c r="F42" s="73" t="s">
        <v>44</v>
      </c>
      <c r="G42" s="74">
        <f>VLOOKUP(D42,Barras!$A$6:$T$31,20,0)</f>
        <v>31.45</v>
      </c>
      <c r="H42" s="932">
        <f>G42*E42</f>
        <v>44.029999999999994</v>
      </c>
      <c r="I42" s="335">
        <v>250</v>
      </c>
      <c r="J42" s="533">
        <v>0</v>
      </c>
      <c r="K42" s="533">
        <v>0.35</v>
      </c>
      <c r="L42" s="533">
        <v>0</v>
      </c>
      <c r="M42" s="533">
        <v>2</v>
      </c>
      <c r="N42" s="533">
        <v>1</v>
      </c>
      <c r="O42" s="533">
        <v>2</v>
      </c>
    </row>
    <row r="43" spans="2:15" ht="12.75" customHeight="1" x14ac:dyDescent="0.2">
      <c r="B43" s="569">
        <v>3</v>
      </c>
      <c r="C43" s="77" t="s">
        <v>974</v>
      </c>
      <c r="D43" s="78" t="str">
        <f>+Barras!A8</f>
        <v>15 x 3</v>
      </c>
      <c r="E43" s="74">
        <f t="shared" si="3"/>
        <v>1.4</v>
      </c>
      <c r="F43" s="73" t="s">
        <v>44</v>
      </c>
      <c r="G43" s="74">
        <f>VLOOKUP(D43,Barras!$A$6:$T$31,20,0)</f>
        <v>18.5</v>
      </c>
      <c r="H43" s="932">
        <f>G43*E43</f>
        <v>25.9</v>
      </c>
      <c r="I43" s="335">
        <v>160</v>
      </c>
      <c r="J43" s="533">
        <v>0</v>
      </c>
      <c r="K43" s="533">
        <v>0.35</v>
      </c>
      <c r="L43" s="533">
        <v>0</v>
      </c>
      <c r="M43" s="533">
        <v>2</v>
      </c>
      <c r="N43" s="533">
        <v>1</v>
      </c>
      <c r="O43" s="533">
        <v>2</v>
      </c>
    </row>
    <row r="44" spans="2:15" ht="12.75" customHeight="1" x14ac:dyDescent="0.2">
      <c r="B44" s="71">
        <v>3</v>
      </c>
      <c r="C44" s="77" t="s">
        <v>976</v>
      </c>
      <c r="D44" s="78" t="str">
        <f>+Barras!A8</f>
        <v>15 x 3</v>
      </c>
      <c r="E44" s="74">
        <f>SUM(J44:L44)*M44*N44*O44</f>
        <v>4.1999999999999993</v>
      </c>
      <c r="F44" s="78" t="s">
        <v>44</v>
      </c>
      <c r="G44" s="74">
        <f>VLOOKUP(D44,Barras!$A$6:$T$31,20,0)</f>
        <v>18.5</v>
      </c>
      <c r="H44" s="936">
        <f>+E44*G44</f>
        <v>77.699999999999989</v>
      </c>
      <c r="I44" s="529">
        <v>160</v>
      </c>
      <c r="J44" s="533">
        <v>0</v>
      </c>
      <c r="K44" s="533">
        <v>0.35</v>
      </c>
      <c r="L44" s="533">
        <v>0</v>
      </c>
      <c r="M44" s="533">
        <v>2</v>
      </c>
      <c r="N44" s="533">
        <v>1</v>
      </c>
      <c r="O44" s="533">
        <v>6</v>
      </c>
    </row>
    <row r="45" spans="2:15" ht="12.75" customHeight="1" x14ac:dyDescent="0.2">
      <c r="B45" s="71">
        <v>4</v>
      </c>
      <c r="C45" s="77" t="s">
        <v>113</v>
      </c>
      <c r="D45" s="78" t="str">
        <f>+Barras!A16</f>
        <v>30 x 5</v>
      </c>
      <c r="E45" s="74">
        <f t="shared" si="3"/>
        <v>0.7</v>
      </c>
      <c r="F45" s="78" t="s">
        <v>44</v>
      </c>
      <c r="G45" s="74">
        <f>VLOOKUP(D45,Barras!$A$6:$T$31,20,0)</f>
        <v>62.21</v>
      </c>
      <c r="H45" s="80">
        <f>+E45*G45</f>
        <v>43.546999999999997</v>
      </c>
      <c r="I45" s="529"/>
      <c r="J45" s="533">
        <v>0.7</v>
      </c>
      <c r="K45" s="533">
        <v>0</v>
      </c>
      <c r="L45" s="533">
        <v>0</v>
      </c>
      <c r="M45" s="533">
        <v>1</v>
      </c>
      <c r="N45" s="533">
        <v>1</v>
      </c>
      <c r="O45" s="533">
        <v>1</v>
      </c>
    </row>
    <row r="46" spans="2:15" ht="12.75" customHeight="1" x14ac:dyDescent="0.2">
      <c r="B46" s="569">
        <v>5</v>
      </c>
      <c r="C46" s="77" t="s">
        <v>114</v>
      </c>
      <c r="D46" s="78" t="s">
        <v>115</v>
      </c>
      <c r="E46" s="79">
        <v>6</v>
      </c>
      <c r="F46" s="78" t="s">
        <v>10</v>
      </c>
      <c r="G46" s="79">
        <f>+Materiales!G88</f>
        <v>3.81</v>
      </c>
      <c r="H46" s="80">
        <f>+E46*G46</f>
        <v>22.86</v>
      </c>
      <c r="I46" s="62"/>
    </row>
    <row r="47" spans="2:15" ht="12.75" customHeight="1" x14ac:dyDescent="0.2">
      <c r="B47" s="569">
        <v>6</v>
      </c>
      <c r="C47" s="77" t="s">
        <v>116</v>
      </c>
      <c r="D47" s="78" t="s">
        <v>117</v>
      </c>
      <c r="E47" s="79">
        <v>1</v>
      </c>
      <c r="F47" s="78" t="s">
        <v>17</v>
      </c>
      <c r="G47" s="79">
        <v>50</v>
      </c>
      <c r="H47" s="80">
        <f>G47*E47</f>
        <v>50</v>
      </c>
      <c r="I47" s="62"/>
    </row>
    <row r="48" spans="2:15" ht="12.75" customHeight="1" x14ac:dyDescent="0.2">
      <c r="B48" s="569">
        <v>7</v>
      </c>
      <c r="C48" s="77" t="s">
        <v>11</v>
      </c>
      <c r="D48" s="78" t="s">
        <v>12</v>
      </c>
      <c r="E48" s="79">
        <v>1</v>
      </c>
      <c r="F48" s="78" t="s">
        <v>10</v>
      </c>
      <c r="G48" s="79">
        <v>5.5</v>
      </c>
      <c r="H48" s="80">
        <f>+E48*G48</f>
        <v>5.5</v>
      </c>
      <c r="I48" s="62"/>
    </row>
    <row r="49" spans="2:15" ht="12.75" customHeight="1" x14ac:dyDescent="0.2">
      <c r="B49" s="569">
        <v>8</v>
      </c>
      <c r="C49" s="77" t="s">
        <v>13</v>
      </c>
      <c r="D49" s="78" t="s">
        <v>14</v>
      </c>
      <c r="E49" s="79">
        <v>2</v>
      </c>
      <c r="F49" s="78" t="s">
        <v>10</v>
      </c>
      <c r="G49" s="79">
        <v>6</v>
      </c>
      <c r="H49" s="80">
        <f>+E49*G49</f>
        <v>12</v>
      </c>
      <c r="I49" s="62"/>
    </row>
    <row r="50" spans="2:15" ht="12.75" customHeight="1" thickBot="1" x14ac:dyDescent="0.25">
      <c r="B50" s="570">
        <v>9</v>
      </c>
      <c r="C50" s="82" t="s">
        <v>15</v>
      </c>
      <c r="D50" s="83" t="s">
        <v>16</v>
      </c>
      <c r="E50" s="84">
        <v>16</v>
      </c>
      <c r="F50" s="83" t="s">
        <v>10</v>
      </c>
      <c r="G50" s="84">
        <v>2</v>
      </c>
      <c r="H50" s="85">
        <f>+E50*G50</f>
        <v>32</v>
      </c>
      <c r="I50" s="62"/>
    </row>
    <row r="51" spans="2:15" ht="15" thickBot="1" x14ac:dyDescent="0.25">
      <c r="B51" s="452" t="str">
        <f>+B39</f>
        <v>COBRE BUS BAR TIPO 8; 8.1 y 9.1</v>
      </c>
      <c r="C51" s="453"/>
      <c r="D51" s="453"/>
      <c r="E51" s="453"/>
      <c r="F51" s="453"/>
      <c r="G51" s="454"/>
      <c r="H51" s="86">
        <f>SUM(H41:H50)</f>
        <v>777.58100000000002</v>
      </c>
      <c r="I51" s="62" t="s">
        <v>50</v>
      </c>
    </row>
    <row r="53" spans="2:15" ht="15" thickBot="1" x14ac:dyDescent="0.25">
      <c r="C53" s="65"/>
      <c r="D53" s="62"/>
      <c r="E53" s="62"/>
      <c r="F53" s="62"/>
      <c r="G53" s="62"/>
      <c r="H53" s="62"/>
      <c r="I53" s="62"/>
    </row>
    <row r="54" spans="2:15" ht="13.5" customHeight="1" thickBot="1" x14ac:dyDescent="0.25">
      <c r="B54" s="1273" t="str">
        <f>+Hoja4!C18</f>
        <v>COBRE BUS BAR TIPO 9</v>
      </c>
      <c r="C54" s="1274"/>
      <c r="D54" s="1274"/>
      <c r="E54" s="1274"/>
      <c r="F54" s="1274"/>
      <c r="G54" s="1274"/>
      <c r="H54" s="1275"/>
      <c r="I54" s="62"/>
    </row>
    <row r="55" spans="2:15" ht="27" customHeight="1" thickBot="1" x14ac:dyDescent="0.25">
      <c r="B55" s="66" t="s">
        <v>6</v>
      </c>
      <c r="C55" s="67" t="s">
        <v>73</v>
      </c>
      <c r="D55" s="68" t="s">
        <v>109</v>
      </c>
      <c r="E55" s="69" t="s">
        <v>72</v>
      </c>
      <c r="F55" s="68" t="s">
        <v>110</v>
      </c>
      <c r="G55" s="70" t="s">
        <v>111</v>
      </c>
      <c r="H55" s="931" t="s">
        <v>112</v>
      </c>
      <c r="I55" s="529" t="s">
        <v>921</v>
      </c>
      <c r="J55" s="528" t="s">
        <v>544</v>
      </c>
      <c r="K55" s="528" t="s">
        <v>545</v>
      </c>
      <c r="L55" s="528" t="s">
        <v>546</v>
      </c>
      <c r="M55" s="528" t="s">
        <v>547</v>
      </c>
      <c r="N55" s="528" t="s">
        <v>548</v>
      </c>
      <c r="O55" s="568" t="s">
        <v>571</v>
      </c>
    </row>
    <row r="56" spans="2:15" ht="12.75" customHeight="1" x14ac:dyDescent="0.2">
      <c r="B56" s="569">
        <v>1</v>
      </c>
      <c r="C56" s="72" t="s">
        <v>572</v>
      </c>
      <c r="D56" s="73" t="str">
        <f>+Barras!A24</f>
        <v>60 x 10</v>
      </c>
      <c r="E56" s="74">
        <f>SUM(J56:L56)*M56*N56*O56</f>
        <v>2.8</v>
      </c>
      <c r="F56" s="73" t="s">
        <v>44</v>
      </c>
      <c r="G56" s="74">
        <f>VLOOKUP(D56,Barras!$A$6:$T$31,20,0)</f>
        <v>248.98000000000002</v>
      </c>
      <c r="H56" s="932">
        <f>G56*E56</f>
        <v>697.14400000000001</v>
      </c>
      <c r="I56" s="970">
        <f>+Hoja4!L18</f>
        <v>1180</v>
      </c>
      <c r="J56" s="533">
        <v>1.4</v>
      </c>
      <c r="K56" s="533">
        <v>0</v>
      </c>
      <c r="L56" s="533">
        <v>0</v>
      </c>
      <c r="M56" s="533">
        <v>2</v>
      </c>
      <c r="N56" s="533">
        <v>1</v>
      </c>
      <c r="O56" s="533">
        <v>1</v>
      </c>
    </row>
    <row r="57" spans="2:15" ht="12.75" customHeight="1" x14ac:dyDescent="0.2">
      <c r="B57" s="569">
        <v>2</v>
      </c>
      <c r="C57" s="72" t="s">
        <v>973</v>
      </c>
      <c r="D57" s="73" t="str">
        <f>+Barras!A13</f>
        <v>25 x 3</v>
      </c>
      <c r="E57" s="74">
        <f t="shared" ref="E57:E58" si="4">SUM(J57:L57)*M57*N57*O57</f>
        <v>2.0999999999999996</v>
      </c>
      <c r="F57" s="73" t="s">
        <v>44</v>
      </c>
      <c r="G57" s="74">
        <f>VLOOKUP(D57,Barras!$A$6:$T$31,20,0)</f>
        <v>31.45</v>
      </c>
      <c r="H57" s="932">
        <f>G57*E57</f>
        <v>66.044999999999987</v>
      </c>
      <c r="I57" s="529">
        <v>250</v>
      </c>
      <c r="J57" s="533">
        <v>0</v>
      </c>
      <c r="K57" s="533">
        <v>0.35</v>
      </c>
      <c r="L57" s="533">
        <v>0</v>
      </c>
      <c r="M57" s="533">
        <v>2</v>
      </c>
      <c r="N57" s="533">
        <v>1</v>
      </c>
      <c r="O57" s="533">
        <v>3</v>
      </c>
    </row>
    <row r="58" spans="2:15" ht="12.75" customHeight="1" x14ac:dyDescent="0.2">
      <c r="B58" s="569">
        <v>3</v>
      </c>
      <c r="C58" s="77" t="s">
        <v>974</v>
      </c>
      <c r="D58" s="78" t="str">
        <f>+Barras!A8</f>
        <v>15 x 3</v>
      </c>
      <c r="E58" s="74">
        <f t="shared" si="4"/>
        <v>1.4</v>
      </c>
      <c r="F58" s="73" t="s">
        <v>44</v>
      </c>
      <c r="G58" s="74">
        <f>VLOOKUP(D58,Barras!$A$6:$T$31,20,0)</f>
        <v>18.5</v>
      </c>
      <c r="H58" s="932">
        <f>G58*E58</f>
        <v>25.9</v>
      </c>
      <c r="I58" s="529">
        <v>160</v>
      </c>
      <c r="J58" s="533">
        <v>0</v>
      </c>
      <c r="K58" s="533">
        <v>0.35</v>
      </c>
      <c r="L58" s="533">
        <v>0</v>
      </c>
      <c r="M58" s="533">
        <v>2</v>
      </c>
      <c r="N58" s="533">
        <v>1</v>
      </c>
      <c r="O58" s="533">
        <v>2</v>
      </c>
    </row>
    <row r="59" spans="2:15" ht="12.75" customHeight="1" x14ac:dyDescent="0.2">
      <c r="B59" s="71">
        <v>3</v>
      </c>
      <c r="C59" s="77" t="s">
        <v>976</v>
      </c>
      <c r="D59" s="78" t="str">
        <f>+Barras!A8</f>
        <v>15 x 3</v>
      </c>
      <c r="E59" s="74">
        <f>SUM(J59:L59)*M59*N59*O59</f>
        <v>4.1999999999999993</v>
      </c>
      <c r="F59" s="78" t="s">
        <v>44</v>
      </c>
      <c r="G59" s="74">
        <f>VLOOKUP(D59,Barras!$A$6:$T$31,20,0)</f>
        <v>18.5</v>
      </c>
      <c r="H59" s="936">
        <f>+E59*G59</f>
        <v>77.699999999999989</v>
      </c>
      <c r="I59" s="529">
        <v>160</v>
      </c>
      <c r="J59" s="533">
        <v>0</v>
      </c>
      <c r="K59" s="533">
        <v>0.35</v>
      </c>
      <c r="L59" s="533">
        <v>0</v>
      </c>
      <c r="M59" s="533">
        <v>2</v>
      </c>
      <c r="N59" s="533">
        <v>1</v>
      </c>
      <c r="O59" s="533">
        <v>6</v>
      </c>
    </row>
    <row r="60" spans="2:15" ht="12.75" customHeight="1" x14ac:dyDescent="0.2">
      <c r="B60" s="71">
        <v>4</v>
      </c>
      <c r="C60" s="77" t="s">
        <v>113</v>
      </c>
      <c r="D60" s="78" t="str">
        <f>+Barras!A23</f>
        <v>60 x 5</v>
      </c>
      <c r="E60" s="74">
        <f t="shared" ref="E60" si="5">SUM(J60:L60)*M60*N60*O60</f>
        <v>0.7</v>
      </c>
      <c r="F60" s="78" t="s">
        <v>44</v>
      </c>
      <c r="G60" s="74">
        <f>VLOOKUP(D60,Barras!$A$6:$T$31,20,0)</f>
        <v>123.48833333333333</v>
      </c>
      <c r="H60" s="80">
        <f>+E60*G60</f>
        <v>86.441833333333321</v>
      </c>
      <c r="I60" s="62"/>
      <c r="J60" s="533">
        <v>0.7</v>
      </c>
      <c r="K60" s="533">
        <v>0</v>
      </c>
      <c r="L60" s="533">
        <v>0</v>
      </c>
      <c r="M60" s="533">
        <v>1</v>
      </c>
      <c r="N60" s="533">
        <v>1</v>
      </c>
      <c r="O60" s="533">
        <v>1</v>
      </c>
    </row>
    <row r="61" spans="2:15" ht="12.75" customHeight="1" x14ac:dyDescent="0.2">
      <c r="B61" s="569">
        <v>5</v>
      </c>
      <c r="C61" s="77" t="s">
        <v>114</v>
      </c>
      <c r="D61" s="78" t="s">
        <v>115</v>
      </c>
      <c r="E61" s="74">
        <v>8</v>
      </c>
      <c r="F61" s="78" t="s">
        <v>10</v>
      </c>
      <c r="G61" s="79">
        <f>+Materiales!G88</f>
        <v>3.81</v>
      </c>
      <c r="H61" s="80">
        <f>+E61*G61</f>
        <v>30.48</v>
      </c>
      <c r="I61" s="62"/>
    </row>
    <row r="62" spans="2:15" ht="12.75" customHeight="1" x14ac:dyDescent="0.2">
      <c r="B62" s="569">
        <v>6</v>
      </c>
      <c r="C62" s="77" t="s">
        <v>116</v>
      </c>
      <c r="D62" s="78" t="s">
        <v>117</v>
      </c>
      <c r="E62" s="79">
        <v>1</v>
      </c>
      <c r="F62" s="78" t="s">
        <v>17</v>
      </c>
      <c r="G62" s="79">
        <v>50</v>
      </c>
      <c r="H62" s="80">
        <f>G62*E62</f>
        <v>50</v>
      </c>
      <c r="I62" s="62"/>
    </row>
    <row r="63" spans="2:15" ht="12.75" customHeight="1" x14ac:dyDescent="0.2">
      <c r="B63" s="569">
        <v>7</v>
      </c>
      <c r="C63" s="77" t="s">
        <v>11</v>
      </c>
      <c r="D63" s="78" t="s">
        <v>12</v>
      </c>
      <c r="E63" s="79">
        <v>1</v>
      </c>
      <c r="F63" s="78" t="s">
        <v>10</v>
      </c>
      <c r="G63" s="79">
        <v>5.5</v>
      </c>
      <c r="H63" s="80">
        <f>+E63*G63</f>
        <v>5.5</v>
      </c>
      <c r="I63" s="62"/>
    </row>
    <row r="64" spans="2:15" ht="12.75" customHeight="1" x14ac:dyDescent="0.2">
      <c r="B64" s="569">
        <v>8</v>
      </c>
      <c r="C64" s="77" t="s">
        <v>13</v>
      </c>
      <c r="D64" s="78" t="s">
        <v>14</v>
      </c>
      <c r="E64" s="79">
        <v>2</v>
      </c>
      <c r="F64" s="78" t="s">
        <v>10</v>
      </c>
      <c r="G64" s="79">
        <v>6</v>
      </c>
      <c r="H64" s="80">
        <f>+E64*G64</f>
        <v>12</v>
      </c>
      <c r="I64" s="62"/>
    </row>
    <row r="65" spans="2:15" ht="12.75" customHeight="1" thickBot="1" x14ac:dyDescent="0.25">
      <c r="B65" s="570">
        <v>9</v>
      </c>
      <c r="C65" s="82" t="s">
        <v>15</v>
      </c>
      <c r="D65" s="83" t="s">
        <v>16</v>
      </c>
      <c r="E65" s="84">
        <v>16</v>
      </c>
      <c r="F65" s="83" t="s">
        <v>10</v>
      </c>
      <c r="G65" s="84">
        <v>2</v>
      </c>
      <c r="H65" s="85">
        <f>+E65*G65</f>
        <v>32</v>
      </c>
      <c r="I65" s="62"/>
    </row>
    <row r="66" spans="2:15" ht="15" thickBot="1" x14ac:dyDescent="0.25">
      <c r="B66" s="452" t="str">
        <f>+B54</f>
        <v>COBRE BUS BAR TIPO 9</v>
      </c>
      <c r="C66" s="453"/>
      <c r="D66" s="453"/>
      <c r="E66" s="453"/>
      <c r="F66" s="453"/>
      <c r="G66" s="454"/>
      <c r="H66" s="86">
        <f>SUM(H56:H65)</f>
        <v>1083.2108333333333</v>
      </c>
      <c r="I66" s="62" t="s">
        <v>50</v>
      </c>
    </row>
    <row r="68" spans="2:15" ht="15" thickBot="1" x14ac:dyDescent="0.25">
      <c r="C68" s="65"/>
      <c r="D68" s="62"/>
      <c r="E68" s="62"/>
      <c r="F68" s="62"/>
      <c r="G68" s="62"/>
      <c r="H68" s="62"/>
      <c r="I68" s="62"/>
    </row>
    <row r="69" spans="2:15" ht="13.5" customHeight="1" thickBot="1" x14ac:dyDescent="0.25">
      <c r="B69" s="1273" t="str">
        <f>+Hoja4!C19</f>
        <v>COBRE BUS BAR TIPO 10; 10.1; 10.2; 11</v>
      </c>
      <c r="C69" s="1274"/>
      <c r="D69" s="1274"/>
      <c r="E69" s="1274"/>
      <c r="F69" s="1274"/>
      <c r="G69" s="1274"/>
      <c r="H69" s="1275"/>
      <c r="I69" s="62"/>
    </row>
    <row r="70" spans="2:15" ht="27" customHeight="1" thickBot="1" x14ac:dyDescent="0.25">
      <c r="B70" s="66" t="s">
        <v>6</v>
      </c>
      <c r="C70" s="67" t="s">
        <v>73</v>
      </c>
      <c r="D70" s="68" t="s">
        <v>109</v>
      </c>
      <c r="E70" s="69" t="s">
        <v>72</v>
      </c>
      <c r="F70" s="68" t="s">
        <v>110</v>
      </c>
      <c r="G70" s="70" t="s">
        <v>111</v>
      </c>
      <c r="H70" s="931" t="s">
        <v>112</v>
      </c>
      <c r="I70" s="529" t="s">
        <v>921</v>
      </c>
      <c r="J70" s="528" t="s">
        <v>544</v>
      </c>
      <c r="K70" s="528" t="s">
        <v>545</v>
      </c>
      <c r="L70" s="528" t="s">
        <v>546</v>
      </c>
      <c r="M70" s="528" t="s">
        <v>547</v>
      </c>
      <c r="N70" s="528" t="s">
        <v>548</v>
      </c>
      <c r="O70" s="568" t="s">
        <v>571</v>
      </c>
    </row>
    <row r="71" spans="2:15" ht="12.75" customHeight="1" x14ac:dyDescent="0.2">
      <c r="B71" s="569">
        <v>1</v>
      </c>
      <c r="C71" s="72" t="s">
        <v>572</v>
      </c>
      <c r="D71" s="73" t="str">
        <f>+Barras!A26</f>
        <v>80 x 10</v>
      </c>
      <c r="E71" s="74">
        <f>SUM(J71:L71)*M71*N71*O71</f>
        <v>2.8</v>
      </c>
      <c r="F71" s="73" t="s">
        <v>44</v>
      </c>
      <c r="G71" s="74">
        <f>VLOOKUP(D71,Barras!$A$6:$T$31,20,0)</f>
        <v>329.53500000000003</v>
      </c>
      <c r="H71" s="932">
        <f>G71*E71</f>
        <v>922.69799999999998</v>
      </c>
      <c r="I71" s="970">
        <f>+Hoja4!L19</f>
        <v>1500</v>
      </c>
      <c r="J71" s="533">
        <v>1.4</v>
      </c>
      <c r="K71" s="533">
        <v>0</v>
      </c>
      <c r="L71" s="533">
        <v>0</v>
      </c>
      <c r="M71" s="533">
        <v>2</v>
      </c>
      <c r="N71" s="533">
        <v>1</v>
      </c>
      <c r="O71" s="533">
        <v>1</v>
      </c>
    </row>
    <row r="72" spans="2:15" ht="12.75" customHeight="1" x14ac:dyDescent="0.2">
      <c r="B72" s="569">
        <v>2</v>
      </c>
      <c r="C72" s="72" t="s">
        <v>973</v>
      </c>
      <c r="D72" s="73" t="str">
        <f>+Barras!A13</f>
        <v>25 x 3</v>
      </c>
      <c r="E72" s="74">
        <f t="shared" ref="E72" si="6">SUM(J72:L72)*M72*N72*O72</f>
        <v>2.0999999999999996</v>
      </c>
      <c r="F72" s="73" t="s">
        <v>44</v>
      </c>
      <c r="G72" s="74">
        <f>VLOOKUP(D72,Barras!$A$6:$T$31,20,0)</f>
        <v>31.45</v>
      </c>
      <c r="H72" s="932">
        <f>G72*E72</f>
        <v>66.044999999999987</v>
      </c>
      <c r="I72" s="529">
        <v>250</v>
      </c>
      <c r="J72" s="533">
        <v>0</v>
      </c>
      <c r="K72" s="533">
        <v>0.35</v>
      </c>
      <c r="L72" s="533">
        <v>0</v>
      </c>
      <c r="M72" s="533">
        <v>2</v>
      </c>
      <c r="N72" s="533">
        <v>1</v>
      </c>
      <c r="O72" s="533">
        <v>3</v>
      </c>
    </row>
    <row r="73" spans="2:15" ht="12.75" customHeight="1" x14ac:dyDescent="0.2">
      <c r="B73" s="569">
        <v>3</v>
      </c>
      <c r="C73" s="77" t="s">
        <v>974</v>
      </c>
      <c r="D73" s="78" t="str">
        <f>+Barras!A8</f>
        <v>15 x 3</v>
      </c>
      <c r="E73" s="74">
        <f>SUM(J73:L73)*M73*N73*O73</f>
        <v>2.0999999999999996</v>
      </c>
      <c r="F73" s="73" t="s">
        <v>44</v>
      </c>
      <c r="G73" s="74">
        <f>VLOOKUP(D73,Barras!$A$6:$T$31,20,0)</f>
        <v>18.5</v>
      </c>
      <c r="H73" s="932">
        <f>G73*E73</f>
        <v>38.849999999999994</v>
      </c>
      <c r="I73" s="529">
        <v>160</v>
      </c>
      <c r="J73" s="533">
        <v>0</v>
      </c>
      <c r="K73" s="533">
        <v>0.35</v>
      </c>
      <c r="L73" s="533">
        <v>0</v>
      </c>
      <c r="M73" s="533">
        <v>2</v>
      </c>
      <c r="N73" s="533">
        <v>1</v>
      </c>
      <c r="O73" s="533">
        <v>3</v>
      </c>
    </row>
    <row r="74" spans="2:15" ht="12.75" customHeight="1" x14ac:dyDescent="0.2">
      <c r="B74" s="71">
        <v>3</v>
      </c>
      <c r="C74" s="77" t="s">
        <v>976</v>
      </c>
      <c r="D74" s="78" t="str">
        <f>+Barras!A8</f>
        <v>15 x 3</v>
      </c>
      <c r="E74" s="74">
        <f>SUM(J74:L74)*M74*N74*O74</f>
        <v>4.1999999999999993</v>
      </c>
      <c r="F74" s="78" t="s">
        <v>44</v>
      </c>
      <c r="G74" s="74">
        <f>VLOOKUP(D74,Barras!$A$6:$T$31,20,0)</f>
        <v>18.5</v>
      </c>
      <c r="H74" s="936">
        <f>+E74*G74</f>
        <v>77.699999999999989</v>
      </c>
      <c r="I74" s="529">
        <v>160</v>
      </c>
      <c r="J74" s="533">
        <v>0</v>
      </c>
      <c r="K74" s="533">
        <v>0.35</v>
      </c>
      <c r="L74" s="533">
        <v>0</v>
      </c>
      <c r="M74" s="533">
        <v>2</v>
      </c>
      <c r="N74" s="533">
        <v>1</v>
      </c>
      <c r="O74" s="533">
        <v>6</v>
      </c>
    </row>
    <row r="75" spans="2:15" ht="12.75" customHeight="1" x14ac:dyDescent="0.2">
      <c r="B75" s="71">
        <v>4</v>
      </c>
      <c r="C75" s="77" t="s">
        <v>113</v>
      </c>
      <c r="D75" s="78" t="str">
        <f>+Barras!A20</f>
        <v>40 x 10</v>
      </c>
      <c r="E75" s="74">
        <f>SUM(J75:L75)*M75*N75*O75</f>
        <v>0.7</v>
      </c>
      <c r="F75" s="78" t="s">
        <v>44</v>
      </c>
      <c r="G75" s="74">
        <f>VLOOKUP(D75,Barras!$A$6:$T$31,20,0)</f>
        <v>165.73</v>
      </c>
      <c r="H75" s="80">
        <f>+E75*G75</f>
        <v>116.01099999999998</v>
      </c>
      <c r="I75" s="62"/>
      <c r="J75" s="533">
        <v>0.7</v>
      </c>
      <c r="K75" s="533">
        <v>0</v>
      </c>
      <c r="L75" s="533">
        <v>0</v>
      </c>
      <c r="M75" s="533">
        <v>1</v>
      </c>
      <c r="N75" s="533">
        <v>1</v>
      </c>
      <c r="O75" s="533">
        <v>1</v>
      </c>
    </row>
    <row r="76" spans="2:15" ht="12.75" customHeight="1" x14ac:dyDescent="0.2">
      <c r="B76" s="569">
        <v>5</v>
      </c>
      <c r="C76" s="77" t="s">
        <v>114</v>
      </c>
      <c r="D76" s="78" t="s">
        <v>115</v>
      </c>
      <c r="E76" s="79">
        <v>8</v>
      </c>
      <c r="F76" s="78" t="s">
        <v>10</v>
      </c>
      <c r="G76" s="79">
        <f>+Materiales!G88</f>
        <v>3.81</v>
      </c>
      <c r="H76" s="80">
        <f>+E76*G76</f>
        <v>30.48</v>
      </c>
      <c r="I76" s="62"/>
    </row>
    <row r="77" spans="2:15" ht="12.75" customHeight="1" x14ac:dyDescent="0.2">
      <c r="B77" s="569">
        <v>6</v>
      </c>
      <c r="C77" s="77" t="s">
        <v>116</v>
      </c>
      <c r="D77" s="78" t="s">
        <v>117</v>
      </c>
      <c r="E77" s="79">
        <v>1</v>
      </c>
      <c r="F77" s="78" t="s">
        <v>17</v>
      </c>
      <c r="G77" s="79">
        <v>50</v>
      </c>
      <c r="H77" s="80">
        <f>G77*E77</f>
        <v>50</v>
      </c>
      <c r="I77" s="62"/>
    </row>
    <row r="78" spans="2:15" ht="12.75" customHeight="1" x14ac:dyDescent="0.2">
      <c r="B78" s="569">
        <v>7</v>
      </c>
      <c r="C78" s="77" t="s">
        <v>11</v>
      </c>
      <c r="D78" s="78" t="s">
        <v>12</v>
      </c>
      <c r="E78" s="79">
        <v>1</v>
      </c>
      <c r="F78" s="78" t="s">
        <v>10</v>
      </c>
      <c r="G78" s="79">
        <v>5.5</v>
      </c>
      <c r="H78" s="80">
        <f>+E78*G78</f>
        <v>5.5</v>
      </c>
      <c r="I78" s="62"/>
    </row>
    <row r="79" spans="2:15" ht="12.75" customHeight="1" x14ac:dyDescent="0.2">
      <c r="B79" s="569">
        <v>8</v>
      </c>
      <c r="C79" s="77" t="s">
        <v>13</v>
      </c>
      <c r="D79" s="78" t="s">
        <v>14</v>
      </c>
      <c r="E79" s="79">
        <v>2</v>
      </c>
      <c r="F79" s="78" t="s">
        <v>10</v>
      </c>
      <c r="G79" s="79">
        <v>6</v>
      </c>
      <c r="H79" s="80">
        <f>+E79*G79</f>
        <v>12</v>
      </c>
      <c r="I79" s="62"/>
    </row>
    <row r="80" spans="2:15" ht="12.75" customHeight="1" thickBot="1" x14ac:dyDescent="0.25">
      <c r="B80" s="570">
        <v>9</v>
      </c>
      <c r="C80" s="82" t="s">
        <v>15</v>
      </c>
      <c r="D80" s="83" t="s">
        <v>16</v>
      </c>
      <c r="E80" s="84">
        <v>16</v>
      </c>
      <c r="F80" s="83" t="s">
        <v>10</v>
      </c>
      <c r="G80" s="84">
        <v>2</v>
      </c>
      <c r="H80" s="85">
        <f>+E80*G80</f>
        <v>32</v>
      </c>
      <c r="I80" s="62"/>
    </row>
    <row r="81" spans="2:15" ht="15" thickBot="1" x14ac:dyDescent="0.25">
      <c r="B81" s="452" t="str">
        <f>+B69</f>
        <v>COBRE BUS BAR TIPO 10; 10.1; 10.2; 11</v>
      </c>
      <c r="C81" s="453"/>
      <c r="D81" s="453"/>
      <c r="E81" s="453"/>
      <c r="F81" s="453"/>
      <c r="G81" s="454"/>
      <c r="H81" s="86">
        <f>SUM(H71:H80)</f>
        <v>1351.2839999999999</v>
      </c>
      <c r="I81" s="62" t="s">
        <v>50</v>
      </c>
    </row>
    <row r="83" spans="2:15" ht="15" thickBot="1" x14ac:dyDescent="0.25">
      <c r="C83" s="65"/>
      <c r="D83" s="62"/>
      <c r="E83" s="62"/>
      <c r="F83" s="62"/>
      <c r="G83" s="62"/>
      <c r="H83" s="62"/>
      <c r="I83" s="62"/>
    </row>
    <row r="84" spans="2:15" ht="13.5" customHeight="1" thickBot="1" x14ac:dyDescent="0.25">
      <c r="B84" s="1273" t="str">
        <f>+Hoja4!C23</f>
        <v>COBRE BUS BAR TIPO 12 y 12.1</v>
      </c>
      <c r="C84" s="1274"/>
      <c r="D84" s="1274"/>
      <c r="E84" s="1274"/>
      <c r="F84" s="1274"/>
      <c r="G84" s="1274"/>
      <c r="H84" s="1275"/>
      <c r="I84" s="62"/>
    </row>
    <row r="85" spans="2:15" ht="27" customHeight="1" thickBot="1" x14ac:dyDescent="0.25">
      <c r="B85" s="66" t="s">
        <v>6</v>
      </c>
      <c r="C85" s="67" t="s">
        <v>73</v>
      </c>
      <c r="D85" s="68" t="s">
        <v>109</v>
      </c>
      <c r="E85" s="69" t="s">
        <v>72</v>
      </c>
      <c r="F85" s="68" t="s">
        <v>110</v>
      </c>
      <c r="G85" s="70" t="s">
        <v>111</v>
      </c>
      <c r="H85" s="931" t="s">
        <v>112</v>
      </c>
      <c r="I85" s="529" t="s">
        <v>921</v>
      </c>
      <c r="J85" s="528" t="s">
        <v>544</v>
      </c>
      <c r="K85" s="528" t="s">
        <v>545</v>
      </c>
      <c r="L85" s="528" t="s">
        <v>546</v>
      </c>
      <c r="M85" s="528" t="s">
        <v>547</v>
      </c>
      <c r="N85" s="528" t="s">
        <v>548</v>
      </c>
      <c r="O85" s="568" t="s">
        <v>571</v>
      </c>
    </row>
    <row r="86" spans="2:15" ht="12.75" customHeight="1" x14ac:dyDescent="0.2">
      <c r="B86" s="569">
        <v>1</v>
      </c>
      <c r="C86" s="72" t="s">
        <v>572</v>
      </c>
      <c r="D86" s="73" t="str">
        <f>+Barras!A22</f>
        <v>50 x 10</v>
      </c>
      <c r="E86" s="74">
        <f>SUM(J86:L86)*M86*N86*O86</f>
        <v>5.6</v>
      </c>
      <c r="F86" s="73" t="s">
        <v>44</v>
      </c>
      <c r="G86" s="74">
        <f>VLOOKUP(D86,Barras!$A$6:$T$31,20,0)</f>
        <v>206.20166666666668</v>
      </c>
      <c r="H86" s="932">
        <f>G86*E86</f>
        <v>1154.7293333333334</v>
      </c>
      <c r="I86" s="970">
        <f>+Hoja4!L23</f>
        <v>1720</v>
      </c>
      <c r="J86" s="533">
        <v>1.4</v>
      </c>
      <c r="K86" s="533">
        <v>0</v>
      </c>
      <c r="L86" s="533">
        <v>0</v>
      </c>
      <c r="M86" s="533">
        <v>2</v>
      </c>
      <c r="N86" s="533">
        <v>2</v>
      </c>
      <c r="O86" s="533">
        <v>1</v>
      </c>
    </row>
    <row r="87" spans="2:15" ht="12.75" customHeight="1" x14ac:dyDescent="0.2">
      <c r="B87" s="569">
        <v>2</v>
      </c>
      <c r="C87" s="72" t="s">
        <v>973</v>
      </c>
      <c r="D87" s="73" t="str">
        <f>+Barras!A13</f>
        <v>25 x 3</v>
      </c>
      <c r="E87" s="74">
        <f t="shared" ref="E87" si="7">SUM(J87:L87)*M87*N87*O87</f>
        <v>2.8</v>
      </c>
      <c r="F87" s="73" t="s">
        <v>44</v>
      </c>
      <c r="G87" s="74">
        <f>VLOOKUP(D87,Barras!$A$6:$T$31,20,0)</f>
        <v>31.45</v>
      </c>
      <c r="H87" s="932">
        <f>G87*E87</f>
        <v>88.059999999999988</v>
      </c>
      <c r="I87" s="529">
        <v>250</v>
      </c>
      <c r="J87" s="533">
        <v>0</v>
      </c>
      <c r="K87" s="533">
        <v>0.35</v>
      </c>
      <c r="L87" s="533">
        <v>0</v>
      </c>
      <c r="M87" s="533">
        <v>2</v>
      </c>
      <c r="N87" s="533">
        <v>1</v>
      </c>
      <c r="O87" s="533">
        <v>4</v>
      </c>
    </row>
    <row r="88" spans="2:15" ht="12.75" customHeight="1" x14ac:dyDescent="0.2">
      <c r="B88" s="569">
        <v>3</v>
      </c>
      <c r="C88" s="77" t="s">
        <v>974</v>
      </c>
      <c r="D88" s="78" t="str">
        <f>+Barras!A8</f>
        <v>15 x 3</v>
      </c>
      <c r="E88" s="74">
        <f>SUM(J88:L88)*M88*N88*O88</f>
        <v>2.8</v>
      </c>
      <c r="F88" s="73" t="s">
        <v>44</v>
      </c>
      <c r="G88" s="74">
        <f>VLOOKUP(D88,Barras!$A$6:$T$31,20,0)</f>
        <v>18.5</v>
      </c>
      <c r="H88" s="932">
        <f>G88*E88</f>
        <v>51.8</v>
      </c>
      <c r="I88" s="529">
        <v>160</v>
      </c>
      <c r="J88" s="533">
        <v>0</v>
      </c>
      <c r="K88" s="533">
        <v>0.35</v>
      </c>
      <c r="L88" s="533">
        <v>0</v>
      </c>
      <c r="M88" s="533">
        <v>2</v>
      </c>
      <c r="N88" s="533">
        <v>1</v>
      </c>
      <c r="O88" s="533">
        <v>4</v>
      </c>
    </row>
    <row r="89" spans="2:15" ht="12.75" customHeight="1" x14ac:dyDescent="0.2">
      <c r="B89" s="71">
        <v>3</v>
      </c>
      <c r="C89" s="77" t="s">
        <v>976</v>
      </c>
      <c r="D89" s="78" t="str">
        <f>+Barras!A8</f>
        <v>15 x 3</v>
      </c>
      <c r="E89" s="74">
        <f>SUM(J89:L89)*M89*N89*O89</f>
        <v>4.1999999999999993</v>
      </c>
      <c r="F89" s="78" t="s">
        <v>44</v>
      </c>
      <c r="G89" s="74">
        <f>VLOOKUP(D89,Barras!$A$6:$T$31,20,0)</f>
        <v>18.5</v>
      </c>
      <c r="H89" s="936">
        <f>+E89*G89</f>
        <v>77.699999999999989</v>
      </c>
      <c r="I89" s="529">
        <v>160</v>
      </c>
      <c r="J89" s="533">
        <v>0</v>
      </c>
      <c r="K89" s="533">
        <v>0.35</v>
      </c>
      <c r="L89" s="533">
        <v>0</v>
      </c>
      <c r="M89" s="533">
        <v>2</v>
      </c>
      <c r="N89" s="533">
        <v>1</v>
      </c>
      <c r="O89" s="533">
        <v>6</v>
      </c>
    </row>
    <row r="90" spans="2:15" ht="12.75" customHeight="1" x14ac:dyDescent="0.2">
      <c r="B90" s="71">
        <v>4</v>
      </c>
      <c r="C90" s="77" t="s">
        <v>113</v>
      </c>
      <c r="D90" s="78" t="str">
        <f>+Barras!A22</f>
        <v>50 x 10</v>
      </c>
      <c r="E90" s="74">
        <f>SUM(J90:L90)*M90*N90*O90</f>
        <v>0.7</v>
      </c>
      <c r="F90" s="78" t="s">
        <v>44</v>
      </c>
      <c r="G90" s="74">
        <f>VLOOKUP(D90,Barras!$A$6:$T$31,20,0)</f>
        <v>206.20166666666668</v>
      </c>
      <c r="H90" s="80">
        <f>+E90*G90</f>
        <v>144.34116666666668</v>
      </c>
      <c r="I90" s="137"/>
      <c r="J90" s="533">
        <v>0.7</v>
      </c>
      <c r="K90" s="533">
        <v>0</v>
      </c>
      <c r="L90" s="533">
        <v>0</v>
      </c>
      <c r="M90" s="533">
        <v>1</v>
      </c>
      <c r="N90" s="533">
        <v>1</v>
      </c>
      <c r="O90" s="533">
        <v>1</v>
      </c>
    </row>
    <row r="91" spans="2:15" ht="12.75" customHeight="1" x14ac:dyDescent="0.2">
      <c r="B91" s="569">
        <v>5</v>
      </c>
      <c r="C91" s="77" t="s">
        <v>114</v>
      </c>
      <c r="D91" s="78" t="s">
        <v>115</v>
      </c>
      <c r="E91" s="79">
        <v>8</v>
      </c>
      <c r="F91" s="78" t="s">
        <v>10</v>
      </c>
      <c r="G91" s="79">
        <f>+Materiales!G88</f>
        <v>3.81</v>
      </c>
      <c r="H91" s="80">
        <f>+E91*G91</f>
        <v>30.48</v>
      </c>
      <c r="I91" s="62"/>
    </row>
    <row r="92" spans="2:15" ht="12.75" customHeight="1" x14ac:dyDescent="0.2">
      <c r="B92" s="569">
        <v>6</v>
      </c>
      <c r="C92" s="77" t="s">
        <v>116</v>
      </c>
      <c r="D92" s="78" t="s">
        <v>117</v>
      </c>
      <c r="E92" s="79">
        <v>1</v>
      </c>
      <c r="F92" s="78" t="s">
        <v>17</v>
      </c>
      <c r="G92" s="79">
        <v>50</v>
      </c>
      <c r="H92" s="80">
        <f>G92*E92</f>
        <v>50</v>
      </c>
      <c r="I92" s="62"/>
    </row>
    <row r="93" spans="2:15" ht="12.75" customHeight="1" x14ac:dyDescent="0.2">
      <c r="B93" s="569">
        <v>7</v>
      </c>
      <c r="C93" s="77" t="s">
        <v>11</v>
      </c>
      <c r="D93" s="78" t="s">
        <v>12</v>
      </c>
      <c r="E93" s="79">
        <v>1</v>
      </c>
      <c r="F93" s="78" t="s">
        <v>10</v>
      </c>
      <c r="G93" s="79">
        <v>5.5</v>
      </c>
      <c r="H93" s="80">
        <f>+E93*G93</f>
        <v>5.5</v>
      </c>
      <c r="I93" s="62"/>
    </row>
    <row r="94" spans="2:15" ht="12.75" customHeight="1" x14ac:dyDescent="0.2">
      <c r="B94" s="569">
        <v>8</v>
      </c>
      <c r="C94" s="77" t="s">
        <v>13</v>
      </c>
      <c r="D94" s="78" t="s">
        <v>14</v>
      </c>
      <c r="E94" s="79">
        <v>2</v>
      </c>
      <c r="F94" s="78" t="s">
        <v>10</v>
      </c>
      <c r="G94" s="79">
        <v>6</v>
      </c>
      <c r="H94" s="80">
        <f>+E94*G94</f>
        <v>12</v>
      </c>
      <c r="I94" s="62"/>
    </row>
    <row r="95" spans="2:15" ht="12.75" customHeight="1" thickBot="1" x14ac:dyDescent="0.25">
      <c r="B95" s="570">
        <v>9</v>
      </c>
      <c r="C95" s="82" t="s">
        <v>15</v>
      </c>
      <c r="D95" s="83" t="s">
        <v>16</v>
      </c>
      <c r="E95" s="84">
        <v>16</v>
      </c>
      <c r="F95" s="83" t="s">
        <v>10</v>
      </c>
      <c r="G95" s="84">
        <v>2</v>
      </c>
      <c r="H95" s="85">
        <f>+E95*G95</f>
        <v>32</v>
      </c>
      <c r="I95" s="62"/>
    </row>
    <row r="96" spans="2:15" ht="15" thickBot="1" x14ac:dyDescent="0.25">
      <c r="B96" s="452" t="str">
        <f>+B84</f>
        <v>COBRE BUS BAR TIPO 12 y 12.1</v>
      </c>
      <c r="C96" s="453"/>
      <c r="D96" s="453"/>
      <c r="E96" s="453"/>
      <c r="F96" s="453"/>
      <c r="G96" s="454"/>
      <c r="H96" s="86">
        <f>SUM(H86:H95)</f>
        <v>1646.6105</v>
      </c>
      <c r="I96" s="62" t="s">
        <v>50</v>
      </c>
    </row>
    <row r="98" spans="2:15" ht="15" thickBot="1" x14ac:dyDescent="0.25">
      <c r="C98" s="65"/>
      <c r="D98" s="62"/>
      <c r="E98" s="62"/>
      <c r="F98" s="62"/>
      <c r="G98" s="62"/>
      <c r="H98" s="62"/>
      <c r="I98" s="62"/>
    </row>
    <row r="99" spans="2:15" ht="13.5" customHeight="1" thickBot="1" x14ac:dyDescent="0.25">
      <c r="B99" s="1273" t="str">
        <f>+Hoja4!C25</f>
        <v>COBRE BUS BAR TIPO 14 (C01;G01), (C02;G01), (C01;G03), (C02;G03), (C03;G01), (C03;G03)</v>
      </c>
      <c r="C99" s="1274"/>
      <c r="D99" s="1274"/>
      <c r="E99" s="1274"/>
      <c r="F99" s="1274"/>
      <c r="G99" s="1274"/>
      <c r="H99" s="1275"/>
      <c r="I99" s="62"/>
    </row>
    <row r="100" spans="2:15" ht="27" customHeight="1" thickBot="1" x14ac:dyDescent="0.25">
      <c r="B100" s="66" t="s">
        <v>6</v>
      </c>
      <c r="C100" s="67" t="s">
        <v>73</v>
      </c>
      <c r="D100" s="68" t="s">
        <v>109</v>
      </c>
      <c r="E100" s="69" t="s">
        <v>72</v>
      </c>
      <c r="F100" s="68" t="s">
        <v>110</v>
      </c>
      <c r="G100" s="70" t="s">
        <v>111</v>
      </c>
      <c r="H100" s="931" t="s">
        <v>112</v>
      </c>
      <c r="I100" s="529" t="s">
        <v>921</v>
      </c>
      <c r="J100" s="528" t="s">
        <v>544</v>
      </c>
      <c r="K100" s="528" t="s">
        <v>545</v>
      </c>
      <c r="L100" s="528" t="s">
        <v>546</v>
      </c>
      <c r="M100" s="528" t="s">
        <v>547</v>
      </c>
      <c r="N100" s="528" t="s">
        <v>548</v>
      </c>
      <c r="O100" s="568" t="s">
        <v>571</v>
      </c>
    </row>
    <row r="101" spans="2:15" ht="12.75" customHeight="1" x14ac:dyDescent="0.2">
      <c r="B101" s="71">
        <v>1</v>
      </c>
      <c r="C101" s="72" t="s">
        <v>572</v>
      </c>
      <c r="D101" s="73" t="str">
        <f>+Barras!A22</f>
        <v>50 x 10</v>
      </c>
      <c r="E101" s="74">
        <f>SUM(J101:L101)*M101*N101*O101</f>
        <v>3.2</v>
      </c>
      <c r="F101" s="73" t="s">
        <v>44</v>
      </c>
      <c r="G101" s="74">
        <f>VLOOKUP(D101,Barras!$A$6:$T$31,20,0)</f>
        <v>206.20166666666668</v>
      </c>
      <c r="H101" s="932">
        <f>G101*E101</f>
        <v>659.84533333333343</v>
      </c>
      <c r="I101" s="970">
        <f>+Hoja4!L25</f>
        <v>1020</v>
      </c>
      <c r="J101" s="533">
        <f>1.6</f>
        <v>1.6</v>
      </c>
      <c r="K101" s="533">
        <v>0</v>
      </c>
      <c r="L101" s="533">
        <v>0</v>
      </c>
      <c r="M101" s="533">
        <v>2</v>
      </c>
      <c r="N101" s="533">
        <v>1</v>
      </c>
      <c r="O101" s="533">
        <v>1</v>
      </c>
    </row>
    <row r="102" spans="2:15" ht="12.75" customHeight="1" x14ac:dyDescent="0.2">
      <c r="B102" s="71">
        <v>2</v>
      </c>
      <c r="C102" s="72" t="s">
        <v>973</v>
      </c>
      <c r="D102" s="73" t="str">
        <f>+Barras!A13</f>
        <v>25 x 3</v>
      </c>
      <c r="E102" s="74">
        <f>SUM(J102:L102)*M102*N102*O102</f>
        <v>2.8</v>
      </c>
      <c r="F102" s="73" t="s">
        <v>44</v>
      </c>
      <c r="G102" s="74">
        <f>VLOOKUP(D102,Barras!$A$6:$T$31,20,0)</f>
        <v>31.45</v>
      </c>
      <c r="H102" s="932">
        <f>G102*E102</f>
        <v>88.059999999999988</v>
      </c>
      <c r="I102" s="529">
        <v>250</v>
      </c>
      <c r="J102" s="533">
        <v>0</v>
      </c>
      <c r="K102" s="533">
        <v>0.35</v>
      </c>
      <c r="L102" s="533">
        <v>0</v>
      </c>
      <c r="M102" s="533">
        <v>2</v>
      </c>
      <c r="N102" s="533">
        <v>1</v>
      </c>
      <c r="O102" s="533">
        <v>4</v>
      </c>
    </row>
    <row r="103" spans="2:15" ht="12.75" customHeight="1" x14ac:dyDescent="0.2">
      <c r="B103" s="71">
        <v>2</v>
      </c>
      <c r="C103" s="72" t="s">
        <v>977</v>
      </c>
      <c r="D103" s="73" t="str">
        <f>+Barras!A14</f>
        <v>25 x 5</v>
      </c>
      <c r="E103" s="74">
        <f>SUM(J103:L103)*M103*N103*O103</f>
        <v>4.1999999999999993</v>
      </c>
      <c r="F103" s="73" t="s">
        <v>44</v>
      </c>
      <c r="G103" s="74">
        <f>VLOOKUP(D103,Barras!$A$6:$T$31,20,0)</f>
        <v>52.034999999999997</v>
      </c>
      <c r="H103" s="932">
        <f>G103*E103</f>
        <v>218.54699999999994</v>
      </c>
      <c r="I103" s="529">
        <v>320</v>
      </c>
      <c r="J103" s="533">
        <v>0</v>
      </c>
      <c r="K103" s="533">
        <v>0.35</v>
      </c>
      <c r="L103" s="533">
        <v>0</v>
      </c>
      <c r="M103" s="533">
        <v>2</v>
      </c>
      <c r="N103" s="533">
        <v>1</v>
      </c>
      <c r="O103" s="533">
        <v>6</v>
      </c>
    </row>
    <row r="104" spans="2:15" ht="12.75" customHeight="1" x14ac:dyDescent="0.2">
      <c r="B104" s="76">
        <v>3</v>
      </c>
      <c r="C104" s="77" t="s">
        <v>113</v>
      </c>
      <c r="D104" s="78" t="str">
        <f>+Barras!A21</f>
        <v>50 x 5</v>
      </c>
      <c r="E104" s="74">
        <f>SUM(J104:L104)*M104*N104*O104</f>
        <v>0.35</v>
      </c>
      <c r="F104" s="78" t="s">
        <v>44</v>
      </c>
      <c r="G104" s="74">
        <f>VLOOKUP(D104,Barras!$A$6:$T$31,20,0)</f>
        <v>104.06333333333333</v>
      </c>
      <c r="H104" s="80">
        <f>+E104*G104</f>
        <v>36.422166666666662</v>
      </c>
      <c r="I104" s="62"/>
      <c r="J104" s="533">
        <v>0</v>
      </c>
      <c r="K104" s="533">
        <v>0.35</v>
      </c>
      <c r="L104" s="533">
        <v>0</v>
      </c>
      <c r="M104" s="533">
        <v>1</v>
      </c>
      <c r="N104" s="533">
        <v>1</v>
      </c>
      <c r="O104" s="533">
        <v>1</v>
      </c>
    </row>
    <row r="105" spans="2:15" ht="12.75" customHeight="1" x14ac:dyDescent="0.2">
      <c r="B105" s="76">
        <v>4</v>
      </c>
      <c r="C105" s="77" t="s">
        <v>114</v>
      </c>
      <c r="D105" s="78" t="s">
        <v>115</v>
      </c>
      <c r="E105" s="74">
        <v>8</v>
      </c>
      <c r="F105" s="78" t="s">
        <v>10</v>
      </c>
      <c r="G105" s="79">
        <f>+Materiales!G88</f>
        <v>3.81</v>
      </c>
      <c r="H105" s="80">
        <f>+E105*G105</f>
        <v>30.48</v>
      </c>
      <c r="I105" s="62"/>
    </row>
    <row r="106" spans="2:15" ht="12.75" customHeight="1" x14ac:dyDescent="0.2">
      <c r="B106" s="76">
        <v>5</v>
      </c>
      <c r="C106" s="77" t="s">
        <v>116</v>
      </c>
      <c r="D106" s="78" t="s">
        <v>117</v>
      </c>
      <c r="E106" s="79">
        <v>1</v>
      </c>
      <c r="F106" s="78" t="s">
        <v>17</v>
      </c>
      <c r="G106" s="79">
        <v>50</v>
      </c>
      <c r="H106" s="80">
        <f>G106*E106</f>
        <v>50</v>
      </c>
      <c r="I106" s="62"/>
    </row>
    <row r="107" spans="2:15" ht="12.75" customHeight="1" x14ac:dyDescent="0.2">
      <c r="B107" s="76">
        <v>6</v>
      </c>
      <c r="C107" s="77" t="s">
        <v>11</v>
      </c>
      <c r="D107" s="78" t="s">
        <v>12</v>
      </c>
      <c r="E107" s="79">
        <v>1</v>
      </c>
      <c r="F107" s="78" t="s">
        <v>10</v>
      </c>
      <c r="G107" s="79">
        <v>5.5</v>
      </c>
      <c r="H107" s="80">
        <f>+E107*G107</f>
        <v>5.5</v>
      </c>
      <c r="I107" s="62"/>
    </row>
    <row r="108" spans="2:15" ht="12.75" customHeight="1" x14ac:dyDescent="0.2">
      <c r="B108" s="76">
        <v>7</v>
      </c>
      <c r="C108" s="77" t="s">
        <v>13</v>
      </c>
      <c r="D108" s="78" t="s">
        <v>14</v>
      </c>
      <c r="E108" s="79">
        <v>2</v>
      </c>
      <c r="F108" s="78" t="s">
        <v>10</v>
      </c>
      <c r="G108" s="79">
        <v>6</v>
      </c>
      <c r="H108" s="80">
        <f>+E108*G108</f>
        <v>12</v>
      </c>
      <c r="I108" s="62"/>
    </row>
    <row r="109" spans="2:15" ht="12.75" customHeight="1" thickBot="1" x14ac:dyDescent="0.25">
      <c r="B109" s="81">
        <v>8</v>
      </c>
      <c r="C109" s="82" t="s">
        <v>15</v>
      </c>
      <c r="D109" s="83" t="s">
        <v>16</v>
      </c>
      <c r="E109" s="84">
        <v>16</v>
      </c>
      <c r="F109" s="83" t="s">
        <v>10</v>
      </c>
      <c r="G109" s="84">
        <v>2</v>
      </c>
      <c r="H109" s="85">
        <f>+E109*G109</f>
        <v>32</v>
      </c>
      <c r="I109" s="62"/>
    </row>
    <row r="110" spans="2:15" ht="15" thickBot="1" x14ac:dyDescent="0.25">
      <c r="B110" s="452" t="str">
        <f>+B99</f>
        <v>COBRE BUS BAR TIPO 14 (C01;G01), (C02;G01), (C01;G03), (C02;G03), (C03;G01), (C03;G03)</v>
      </c>
      <c r="C110" s="453"/>
      <c r="D110" s="453"/>
      <c r="E110" s="453"/>
      <c r="F110" s="453"/>
      <c r="G110" s="454"/>
      <c r="H110" s="86">
        <f>SUM(H101:H109)</f>
        <v>1132.8544999999999</v>
      </c>
      <c r="I110" s="62" t="s">
        <v>50</v>
      </c>
    </row>
    <row r="112" spans="2:15" ht="15" thickBot="1" x14ac:dyDescent="0.25">
      <c r="C112" s="65"/>
      <c r="D112" s="62"/>
      <c r="E112" s="62"/>
      <c r="F112" s="62"/>
      <c r="G112" s="62"/>
      <c r="H112" s="62"/>
      <c r="I112" s="62"/>
    </row>
    <row r="113" spans="2:15" ht="13.5" customHeight="1" thickBot="1" x14ac:dyDescent="0.25">
      <c r="B113" s="1273" t="str">
        <f>+Hoja4!C31</f>
        <v>COBRE BUS BAR TIPO 13 y TIPO 14 (C01;G02), (C01;G04), (C02;G02), (C02;G04), (C03;G02), (C03;G04)</v>
      </c>
      <c r="C113" s="1274"/>
      <c r="D113" s="1274"/>
      <c r="E113" s="1274"/>
      <c r="F113" s="1274"/>
      <c r="G113" s="1274"/>
      <c r="H113" s="1275"/>
      <c r="I113" s="62"/>
    </row>
    <row r="114" spans="2:15" ht="27" customHeight="1" thickBot="1" x14ac:dyDescent="0.25">
      <c r="B114" s="66" t="s">
        <v>6</v>
      </c>
      <c r="C114" s="67" t="s">
        <v>73</v>
      </c>
      <c r="D114" s="68" t="s">
        <v>109</v>
      </c>
      <c r="E114" s="69" t="s">
        <v>72</v>
      </c>
      <c r="F114" s="68" t="s">
        <v>110</v>
      </c>
      <c r="G114" s="70" t="s">
        <v>111</v>
      </c>
      <c r="H114" s="931" t="s">
        <v>112</v>
      </c>
      <c r="I114" s="529" t="s">
        <v>921</v>
      </c>
      <c r="J114" s="528" t="s">
        <v>544</v>
      </c>
      <c r="K114" s="528" t="s">
        <v>545</v>
      </c>
      <c r="L114" s="528" t="s">
        <v>546</v>
      </c>
      <c r="M114" s="528" t="s">
        <v>547</v>
      </c>
      <c r="N114" s="528" t="s">
        <v>548</v>
      </c>
      <c r="O114" s="568" t="s">
        <v>571</v>
      </c>
    </row>
    <row r="115" spans="2:15" ht="12.75" customHeight="1" x14ac:dyDescent="0.2">
      <c r="B115" s="569">
        <v>1</v>
      </c>
      <c r="C115" s="72" t="s">
        <v>572</v>
      </c>
      <c r="D115" s="73" t="str">
        <f>+Barras!A22</f>
        <v>50 x 10</v>
      </c>
      <c r="E115" s="74">
        <f>SUM(J115:L115)*M115*N115*O115</f>
        <v>6.4</v>
      </c>
      <c r="F115" s="73" t="s">
        <v>44</v>
      </c>
      <c r="G115" s="74">
        <f>VLOOKUP(D115,Barras!$A$6:$T$31,20,0)</f>
        <v>206.20166666666668</v>
      </c>
      <c r="H115" s="932">
        <f>G115*E115</f>
        <v>1319.6906666666669</v>
      </c>
      <c r="I115" s="970">
        <f>+Hoja4!L31</f>
        <v>1720</v>
      </c>
      <c r="J115" s="533">
        <f>1.6</f>
        <v>1.6</v>
      </c>
      <c r="K115" s="533">
        <v>0</v>
      </c>
      <c r="L115" s="533">
        <v>0</v>
      </c>
      <c r="M115" s="533">
        <v>2</v>
      </c>
      <c r="N115" s="533">
        <v>2</v>
      </c>
      <c r="O115" s="533">
        <v>1</v>
      </c>
    </row>
    <row r="116" spans="2:15" ht="12.75" customHeight="1" x14ac:dyDescent="0.2">
      <c r="B116" s="569">
        <v>2</v>
      </c>
      <c r="C116" s="72" t="s">
        <v>973</v>
      </c>
      <c r="D116" s="73" t="str">
        <f>+Barras!A13</f>
        <v>25 x 3</v>
      </c>
      <c r="E116" s="74">
        <f t="shared" ref="E116" si="8">SUM(J116:L116)*M116*N116*O116</f>
        <v>3.5</v>
      </c>
      <c r="F116" s="73" t="s">
        <v>44</v>
      </c>
      <c r="G116" s="74">
        <f>VLOOKUP(D116,Barras!$A$6:$T$31,20,0)</f>
        <v>31.45</v>
      </c>
      <c r="H116" s="75">
        <f>G116*E116</f>
        <v>110.075</v>
      </c>
      <c r="I116" s="312">
        <v>250</v>
      </c>
      <c r="J116" s="533">
        <v>0</v>
      </c>
      <c r="K116" s="533">
        <v>0.35</v>
      </c>
      <c r="L116" s="533">
        <v>0</v>
      </c>
      <c r="M116" s="533">
        <v>2</v>
      </c>
      <c r="N116" s="533">
        <v>1</v>
      </c>
      <c r="O116" s="533">
        <v>5</v>
      </c>
    </row>
    <row r="117" spans="2:15" ht="12.75" customHeight="1" x14ac:dyDescent="0.2">
      <c r="B117" s="569">
        <v>3</v>
      </c>
      <c r="C117" s="77" t="s">
        <v>974</v>
      </c>
      <c r="D117" s="78" t="str">
        <f>+Barras!A8</f>
        <v>15 x 3</v>
      </c>
      <c r="E117" s="74">
        <f>SUM(J117:L117)*M117*N117*O117</f>
        <v>1.4</v>
      </c>
      <c r="F117" s="73" t="s">
        <v>44</v>
      </c>
      <c r="G117" s="74">
        <f>VLOOKUP(D117,Barras!$A$6:$T$31,20,0)</f>
        <v>18.5</v>
      </c>
      <c r="H117" s="932">
        <f>G117*E117</f>
        <v>25.9</v>
      </c>
      <c r="I117" s="62"/>
      <c r="J117" s="533">
        <v>0</v>
      </c>
      <c r="K117" s="533">
        <v>0.35</v>
      </c>
      <c r="L117" s="533">
        <v>0</v>
      </c>
      <c r="M117" s="533">
        <v>2</v>
      </c>
      <c r="N117" s="533">
        <v>1</v>
      </c>
      <c r="O117" s="533">
        <v>2</v>
      </c>
    </row>
    <row r="118" spans="2:15" ht="12.75" customHeight="1" x14ac:dyDescent="0.2">
      <c r="B118" s="71">
        <v>2</v>
      </c>
      <c r="C118" s="72" t="s">
        <v>977</v>
      </c>
      <c r="D118" s="73" t="str">
        <f>+Barras!A14</f>
        <v>25 x 5</v>
      </c>
      <c r="E118" s="74">
        <f>SUM(J118:L118)*M118*N118*O118</f>
        <v>4.1999999999999993</v>
      </c>
      <c r="F118" s="73" t="s">
        <v>44</v>
      </c>
      <c r="G118" s="74">
        <f>VLOOKUP(D118,Barras!$A$6:$T$31,20,0)</f>
        <v>52.034999999999997</v>
      </c>
      <c r="H118" s="932">
        <f>G118*E118</f>
        <v>218.54699999999994</v>
      </c>
      <c r="I118" s="529">
        <v>320</v>
      </c>
      <c r="J118" s="533">
        <v>0</v>
      </c>
      <c r="K118" s="533">
        <v>0.35</v>
      </c>
      <c r="L118" s="533">
        <v>0</v>
      </c>
      <c r="M118" s="533">
        <v>2</v>
      </c>
      <c r="N118" s="533">
        <v>1</v>
      </c>
      <c r="O118" s="533">
        <v>6</v>
      </c>
    </row>
    <row r="119" spans="2:15" ht="12.75" customHeight="1" x14ac:dyDescent="0.2">
      <c r="B119" s="71">
        <v>4</v>
      </c>
      <c r="C119" s="77" t="s">
        <v>113</v>
      </c>
      <c r="D119" s="73" t="str">
        <f>+Barras!A22</f>
        <v>50 x 10</v>
      </c>
      <c r="E119" s="74">
        <f>SUM(J119:L119)*M119*N119*O119</f>
        <v>0.7</v>
      </c>
      <c r="F119" s="78" t="s">
        <v>44</v>
      </c>
      <c r="G119" s="74">
        <f>VLOOKUP(D119,Barras!$A$6:$T$31,20,0)</f>
        <v>206.20166666666668</v>
      </c>
      <c r="H119" s="80">
        <f>+E119*G119</f>
        <v>144.34116666666668</v>
      </c>
      <c r="I119" s="62"/>
      <c r="J119" s="533">
        <v>0.7</v>
      </c>
      <c r="K119" s="533">
        <v>0</v>
      </c>
      <c r="L119" s="533">
        <v>0</v>
      </c>
      <c r="M119" s="533">
        <v>1</v>
      </c>
      <c r="N119" s="533">
        <v>1</v>
      </c>
      <c r="O119" s="533">
        <v>1</v>
      </c>
    </row>
    <row r="120" spans="2:15" ht="12.75" customHeight="1" x14ac:dyDescent="0.2">
      <c r="B120" s="569">
        <v>5</v>
      </c>
      <c r="C120" s="77" t="s">
        <v>114</v>
      </c>
      <c r="D120" s="78" t="s">
        <v>115</v>
      </c>
      <c r="E120" s="79">
        <v>12</v>
      </c>
      <c r="F120" s="78" t="s">
        <v>10</v>
      </c>
      <c r="G120" s="79">
        <f>+Materiales!G88</f>
        <v>3.81</v>
      </c>
      <c r="H120" s="80">
        <f>+E120*G120</f>
        <v>45.72</v>
      </c>
      <c r="I120" s="62"/>
    </row>
    <row r="121" spans="2:15" ht="12.75" customHeight="1" x14ac:dyDescent="0.2">
      <c r="B121" s="569">
        <v>6</v>
      </c>
      <c r="C121" s="77" t="s">
        <v>116</v>
      </c>
      <c r="D121" s="78" t="s">
        <v>117</v>
      </c>
      <c r="E121" s="79">
        <v>1</v>
      </c>
      <c r="F121" s="78" t="s">
        <v>17</v>
      </c>
      <c r="G121" s="79">
        <v>50</v>
      </c>
      <c r="H121" s="80">
        <f>G121*E121</f>
        <v>50</v>
      </c>
      <c r="I121" s="62"/>
    </row>
    <row r="122" spans="2:15" ht="12.75" customHeight="1" x14ac:dyDescent="0.2">
      <c r="B122" s="569">
        <v>7</v>
      </c>
      <c r="C122" s="77" t="s">
        <v>11</v>
      </c>
      <c r="D122" s="78" t="s">
        <v>12</v>
      </c>
      <c r="E122" s="79">
        <v>1</v>
      </c>
      <c r="F122" s="78" t="s">
        <v>10</v>
      </c>
      <c r="G122" s="79">
        <v>5.5</v>
      </c>
      <c r="H122" s="80">
        <f>+E122*G122</f>
        <v>5.5</v>
      </c>
      <c r="I122" s="62"/>
    </row>
    <row r="123" spans="2:15" ht="12.75" customHeight="1" x14ac:dyDescent="0.2">
      <c r="B123" s="569">
        <v>8</v>
      </c>
      <c r="C123" s="77" t="s">
        <v>13</v>
      </c>
      <c r="D123" s="78" t="s">
        <v>14</v>
      </c>
      <c r="E123" s="79">
        <v>2</v>
      </c>
      <c r="F123" s="78" t="s">
        <v>10</v>
      </c>
      <c r="G123" s="79">
        <v>6</v>
      </c>
      <c r="H123" s="80">
        <f>+E123*G123</f>
        <v>12</v>
      </c>
      <c r="I123" s="62"/>
    </row>
    <row r="124" spans="2:15" ht="12.75" customHeight="1" thickBot="1" x14ac:dyDescent="0.25">
      <c r="B124" s="570">
        <v>9</v>
      </c>
      <c r="C124" s="82" t="s">
        <v>15</v>
      </c>
      <c r="D124" s="83" t="s">
        <v>16</v>
      </c>
      <c r="E124" s="84">
        <v>16</v>
      </c>
      <c r="F124" s="83" t="s">
        <v>10</v>
      </c>
      <c r="G124" s="84">
        <v>2</v>
      </c>
      <c r="H124" s="85">
        <f>+E124*G124</f>
        <v>32</v>
      </c>
      <c r="I124" s="62"/>
    </row>
    <row r="125" spans="2:15" ht="15" thickBot="1" x14ac:dyDescent="0.25">
      <c r="B125" s="452" t="str">
        <f>+B113</f>
        <v>COBRE BUS BAR TIPO 13 y TIPO 14 (C01;G02), (C01;G04), (C02;G02), (C02;G04), (C03;G02), (C03;G04)</v>
      </c>
      <c r="C125" s="453"/>
      <c r="D125" s="453"/>
      <c r="E125" s="453"/>
      <c r="F125" s="453"/>
      <c r="G125" s="454"/>
      <c r="H125" s="86">
        <f>SUM(H115:H124)</f>
        <v>1963.7738333333336</v>
      </c>
      <c r="I125" s="62" t="s">
        <v>50</v>
      </c>
    </row>
    <row r="127" spans="2:15" ht="13.5" thickBot="1" x14ac:dyDescent="0.25"/>
    <row r="128" spans="2:15" ht="15" thickBot="1" x14ac:dyDescent="0.25">
      <c r="B128" s="1270" t="s">
        <v>1022</v>
      </c>
      <c r="C128" s="1271"/>
      <c r="D128" s="1271"/>
      <c r="E128" s="1271"/>
      <c r="F128" s="1271"/>
      <c r="G128" s="1271"/>
      <c r="H128" s="1272"/>
      <c r="I128" s="62"/>
    </row>
    <row r="129" spans="2:15" ht="27" customHeight="1" thickBot="1" x14ac:dyDescent="0.25">
      <c r="B129" s="66" t="s">
        <v>6</v>
      </c>
      <c r="C129" s="67" t="s">
        <v>73</v>
      </c>
      <c r="D129" s="68" t="s">
        <v>109</v>
      </c>
      <c r="E129" s="69" t="s">
        <v>72</v>
      </c>
      <c r="F129" s="68" t="s">
        <v>110</v>
      </c>
      <c r="G129" s="70" t="s">
        <v>111</v>
      </c>
      <c r="H129" s="931" t="s">
        <v>112</v>
      </c>
      <c r="I129" s="529" t="s">
        <v>921</v>
      </c>
      <c r="J129" s="528" t="s">
        <v>544</v>
      </c>
      <c r="K129" s="528" t="s">
        <v>545</v>
      </c>
      <c r="L129" s="528" t="s">
        <v>546</v>
      </c>
      <c r="M129" s="528" t="s">
        <v>547</v>
      </c>
      <c r="N129" s="528" t="s">
        <v>548</v>
      </c>
      <c r="O129" s="568" t="s">
        <v>571</v>
      </c>
    </row>
    <row r="130" spans="2:15" ht="12.75" customHeight="1" x14ac:dyDescent="0.2">
      <c r="B130" s="569">
        <v>1</v>
      </c>
      <c r="C130" s="72" t="s">
        <v>1020</v>
      </c>
      <c r="D130" s="73" t="str">
        <f>+Barras!A22</f>
        <v>50 x 10</v>
      </c>
      <c r="E130" s="74">
        <f>SUM(J130:L130)*M130*N130*O130</f>
        <v>6.6000000000000005</v>
      </c>
      <c r="F130" s="73" t="s">
        <v>44</v>
      </c>
      <c r="G130" s="74">
        <f>VLOOKUP(D130,Barras!$A$6:$T$31,20,0)</f>
        <v>206.20166666666668</v>
      </c>
      <c r="H130" s="932">
        <f>G130*E130</f>
        <v>1360.9310000000003</v>
      </c>
      <c r="I130" s="970">
        <v>800</v>
      </c>
      <c r="J130" s="533">
        <v>1.5</v>
      </c>
      <c r="K130" s="533">
        <v>0.35</v>
      </c>
      <c r="L130" s="533">
        <v>0.35</v>
      </c>
      <c r="M130" s="533">
        <v>3</v>
      </c>
      <c r="N130" s="533">
        <v>1</v>
      </c>
      <c r="O130" s="533">
        <v>1</v>
      </c>
    </row>
    <row r="131" spans="2:15" ht="12.75" customHeight="1" x14ac:dyDescent="0.2">
      <c r="B131" s="569">
        <v>3</v>
      </c>
      <c r="C131" s="77" t="s">
        <v>1021</v>
      </c>
      <c r="D131" s="78" t="str">
        <f>+Barras!A8</f>
        <v>15 x 3</v>
      </c>
      <c r="E131" s="74">
        <f>SUM(J131:L131)*M131*N131*O131</f>
        <v>16.799999999999997</v>
      </c>
      <c r="F131" s="73" t="s">
        <v>44</v>
      </c>
      <c r="G131" s="74">
        <f>VLOOKUP(D131,Barras!$A$6:$T$31,20,0)</f>
        <v>18.5</v>
      </c>
      <c r="H131" s="932">
        <f>G131*E131</f>
        <v>310.79999999999995</v>
      </c>
      <c r="I131" s="62"/>
      <c r="J131" s="533">
        <v>0</v>
      </c>
      <c r="K131" s="533">
        <v>0.35</v>
      </c>
      <c r="L131" s="533">
        <v>0</v>
      </c>
      <c r="M131" s="533">
        <v>4</v>
      </c>
      <c r="N131" s="533">
        <v>1</v>
      </c>
      <c r="O131" s="533">
        <v>12</v>
      </c>
    </row>
    <row r="132" spans="2:15" ht="12.75" customHeight="1" x14ac:dyDescent="0.2">
      <c r="B132" s="71">
        <v>4</v>
      </c>
      <c r="C132" s="77" t="s">
        <v>113</v>
      </c>
      <c r="D132" s="73" t="str">
        <f>+Barras!A22</f>
        <v>50 x 10</v>
      </c>
      <c r="E132" s="74">
        <f>SUM(J132:L132)*M132*N132*O132</f>
        <v>0.7</v>
      </c>
      <c r="F132" s="78" t="s">
        <v>44</v>
      </c>
      <c r="G132" s="74">
        <f>VLOOKUP(D132,Barras!$A$6:$T$31,20,0)</f>
        <v>206.20166666666668</v>
      </c>
      <c r="H132" s="80">
        <f>+E132*G132</f>
        <v>144.34116666666668</v>
      </c>
      <c r="I132" s="62"/>
      <c r="J132" s="533">
        <v>0.7</v>
      </c>
      <c r="K132" s="533">
        <v>0</v>
      </c>
      <c r="L132" s="533">
        <v>0</v>
      </c>
      <c r="M132" s="533">
        <v>1</v>
      </c>
      <c r="N132" s="533">
        <v>1</v>
      </c>
      <c r="O132" s="533">
        <v>1</v>
      </c>
    </row>
    <row r="133" spans="2:15" ht="12.75" customHeight="1" x14ac:dyDescent="0.2">
      <c r="B133" s="569">
        <v>5</v>
      </c>
      <c r="C133" s="77" t="s">
        <v>114</v>
      </c>
      <c r="D133" s="78" t="s">
        <v>115</v>
      </c>
      <c r="E133" s="79">
        <v>12</v>
      </c>
      <c r="F133" s="78" t="s">
        <v>10</v>
      </c>
      <c r="G133" s="79">
        <f>+Materiales!G88</f>
        <v>3.81</v>
      </c>
      <c r="H133" s="80">
        <f>+E133*G133</f>
        <v>45.72</v>
      </c>
      <c r="I133" s="62"/>
    </row>
    <row r="134" spans="2:15" ht="12.75" customHeight="1" x14ac:dyDescent="0.2">
      <c r="B134" s="569">
        <v>6</v>
      </c>
      <c r="C134" s="77" t="s">
        <v>116</v>
      </c>
      <c r="D134" s="78" t="s">
        <v>117</v>
      </c>
      <c r="E134" s="79">
        <v>1</v>
      </c>
      <c r="F134" s="78" t="s">
        <v>17</v>
      </c>
      <c r="G134" s="79">
        <v>50</v>
      </c>
      <c r="H134" s="80">
        <f>G134*E134</f>
        <v>50</v>
      </c>
      <c r="I134" s="62"/>
    </row>
    <row r="135" spans="2:15" ht="12.75" customHeight="1" x14ac:dyDescent="0.2">
      <c r="B135" s="569">
        <v>7</v>
      </c>
      <c r="C135" s="77" t="s">
        <v>11</v>
      </c>
      <c r="D135" s="78" t="s">
        <v>12</v>
      </c>
      <c r="E135" s="79">
        <v>1</v>
      </c>
      <c r="F135" s="78" t="s">
        <v>10</v>
      </c>
      <c r="G135" s="79">
        <v>5.5</v>
      </c>
      <c r="H135" s="80">
        <f>+E135*G135</f>
        <v>5.5</v>
      </c>
      <c r="I135" s="62"/>
    </row>
    <row r="136" spans="2:15" ht="12.75" customHeight="1" x14ac:dyDescent="0.2">
      <c r="B136" s="569">
        <v>8</v>
      </c>
      <c r="C136" s="77" t="s">
        <v>13</v>
      </c>
      <c r="D136" s="78" t="s">
        <v>14</v>
      </c>
      <c r="E136" s="79">
        <v>2</v>
      </c>
      <c r="F136" s="78" t="s">
        <v>10</v>
      </c>
      <c r="G136" s="79">
        <v>6</v>
      </c>
      <c r="H136" s="80">
        <f>+E136*G136</f>
        <v>12</v>
      </c>
      <c r="I136" s="62"/>
    </row>
    <row r="137" spans="2:15" ht="12.75" customHeight="1" thickBot="1" x14ac:dyDescent="0.25">
      <c r="B137" s="570">
        <v>9</v>
      </c>
      <c r="C137" s="82" t="s">
        <v>15</v>
      </c>
      <c r="D137" s="83" t="s">
        <v>16</v>
      </c>
      <c r="E137" s="84">
        <v>16</v>
      </c>
      <c r="F137" s="83" t="s">
        <v>10</v>
      </c>
      <c r="G137" s="84">
        <v>2</v>
      </c>
      <c r="H137" s="85">
        <f>+E137*G137</f>
        <v>32</v>
      </c>
      <c r="I137" s="62"/>
    </row>
    <row r="138" spans="2:15" ht="15" thickBot="1" x14ac:dyDescent="0.25">
      <c r="B138" s="452" t="str">
        <f>+B128</f>
        <v>COBRE TABLERO ITEM 5.01</v>
      </c>
      <c r="C138" s="453"/>
      <c r="D138" s="453"/>
      <c r="E138" s="453"/>
      <c r="F138" s="453"/>
      <c r="G138" s="454"/>
      <c r="H138" s="86">
        <f>SUM(H130:H137)</f>
        <v>1961.2921666666668</v>
      </c>
      <c r="I138" s="62" t="s">
        <v>50</v>
      </c>
    </row>
    <row r="139" spans="2:15" ht="13.5" thickBot="1" x14ac:dyDescent="0.25"/>
    <row r="140" spans="2:15" ht="15" thickBot="1" x14ac:dyDescent="0.25">
      <c r="B140" s="1270" t="s">
        <v>1034</v>
      </c>
      <c r="C140" s="1271"/>
      <c r="D140" s="1271"/>
      <c r="E140" s="1271"/>
      <c r="F140" s="1271"/>
      <c r="G140" s="1271"/>
      <c r="H140" s="1272"/>
      <c r="I140" s="62"/>
    </row>
    <row r="141" spans="2:15" ht="27" customHeight="1" thickBot="1" x14ac:dyDescent="0.25">
      <c r="B141" s="66" t="s">
        <v>6</v>
      </c>
      <c r="C141" s="67" t="s">
        <v>73</v>
      </c>
      <c r="D141" s="68" t="s">
        <v>109</v>
      </c>
      <c r="E141" s="69" t="s">
        <v>72</v>
      </c>
      <c r="F141" s="68" t="s">
        <v>110</v>
      </c>
      <c r="G141" s="70" t="s">
        <v>111</v>
      </c>
      <c r="H141" s="931" t="s">
        <v>112</v>
      </c>
      <c r="I141" s="529" t="s">
        <v>921</v>
      </c>
      <c r="J141" s="528" t="s">
        <v>544</v>
      </c>
      <c r="K141" s="528" t="s">
        <v>545</v>
      </c>
      <c r="L141" s="528" t="s">
        <v>546</v>
      </c>
      <c r="M141" s="528" t="s">
        <v>547</v>
      </c>
      <c r="N141" s="528" t="s">
        <v>548</v>
      </c>
      <c r="O141" s="568" t="s">
        <v>571</v>
      </c>
    </row>
    <row r="142" spans="2:15" ht="12.75" customHeight="1" x14ac:dyDescent="0.2">
      <c r="B142" s="569">
        <v>1</v>
      </c>
      <c r="C142" s="72" t="s">
        <v>1020</v>
      </c>
      <c r="D142" s="73" t="str">
        <f>+Barras!A13</f>
        <v>25 x 3</v>
      </c>
      <c r="E142" s="74">
        <f>SUM(J142:L142)*M142*N142*O142</f>
        <v>0.8</v>
      </c>
      <c r="F142" s="73" t="s">
        <v>44</v>
      </c>
      <c r="G142" s="74">
        <f>VLOOKUP(D142,Barras!$A$6:$T$31,20,0)</f>
        <v>31.45</v>
      </c>
      <c r="H142" s="932">
        <f>G142*E142</f>
        <v>25.16</v>
      </c>
      <c r="I142" s="970">
        <v>800</v>
      </c>
      <c r="J142" s="533">
        <v>0.4</v>
      </c>
      <c r="K142" s="533">
        <v>0</v>
      </c>
      <c r="L142" s="533">
        <v>0</v>
      </c>
      <c r="M142" s="533">
        <v>2</v>
      </c>
      <c r="N142" s="533">
        <v>1</v>
      </c>
      <c r="O142" s="533">
        <v>1</v>
      </c>
    </row>
    <row r="143" spans="2:15" ht="12.75" customHeight="1" x14ac:dyDescent="0.2">
      <c r="B143" s="569">
        <v>3</v>
      </c>
      <c r="C143" s="77" t="s">
        <v>1021</v>
      </c>
      <c r="D143" s="78" t="str">
        <f>+Barras!A8</f>
        <v>15 x 3</v>
      </c>
      <c r="E143" s="74">
        <f>SUM(J143:L143)*M143*N143*O143</f>
        <v>1.2000000000000002</v>
      </c>
      <c r="F143" s="73" t="s">
        <v>44</v>
      </c>
      <c r="G143" s="74">
        <f>VLOOKUP(D143,Barras!$A$6:$T$31,20,0)</f>
        <v>18.5</v>
      </c>
      <c r="H143" s="932">
        <f>G143*E143</f>
        <v>22.200000000000003</v>
      </c>
      <c r="I143" s="62"/>
      <c r="J143" s="533">
        <v>0</v>
      </c>
      <c r="K143" s="533">
        <v>0.2</v>
      </c>
      <c r="L143" s="533">
        <v>0</v>
      </c>
      <c r="M143" s="533">
        <v>2</v>
      </c>
      <c r="N143" s="533">
        <v>1</v>
      </c>
      <c r="O143" s="533">
        <v>3</v>
      </c>
    </row>
    <row r="144" spans="2:15" ht="12.75" customHeight="1" x14ac:dyDescent="0.2">
      <c r="B144" s="71">
        <v>4</v>
      </c>
      <c r="C144" s="77" t="s">
        <v>113</v>
      </c>
      <c r="D144" s="73" t="str">
        <f>+Barras!A13</f>
        <v>25 x 3</v>
      </c>
      <c r="E144" s="74">
        <f>SUM(J144:L144)*M144*N144*O144</f>
        <v>0.7</v>
      </c>
      <c r="F144" s="78" t="s">
        <v>44</v>
      </c>
      <c r="G144" s="74">
        <f>VLOOKUP(D144,Barras!$A$6:$T$31,20,0)</f>
        <v>31.45</v>
      </c>
      <c r="H144" s="80">
        <f>+E144*G144</f>
        <v>22.014999999999997</v>
      </c>
      <c r="I144" s="62"/>
      <c r="J144" s="533">
        <v>0.7</v>
      </c>
      <c r="K144" s="533">
        <v>0</v>
      </c>
      <c r="L144" s="533">
        <v>0</v>
      </c>
      <c r="M144" s="533">
        <v>1</v>
      </c>
      <c r="N144" s="533">
        <v>1</v>
      </c>
      <c r="O144" s="533">
        <v>1</v>
      </c>
    </row>
    <row r="145" spans="2:15" ht="12.75" customHeight="1" x14ac:dyDescent="0.2">
      <c r="B145" s="569">
        <v>5</v>
      </c>
      <c r="C145" s="77" t="s">
        <v>114</v>
      </c>
      <c r="D145" s="78" t="s">
        <v>115</v>
      </c>
      <c r="E145" s="79">
        <v>12</v>
      </c>
      <c r="F145" s="78" t="s">
        <v>10</v>
      </c>
      <c r="G145" s="79">
        <f>+Materiales!G88</f>
        <v>3.81</v>
      </c>
      <c r="H145" s="80">
        <f>+E145*G145</f>
        <v>45.72</v>
      </c>
      <c r="I145" s="62"/>
    </row>
    <row r="146" spans="2:15" ht="12.75" customHeight="1" x14ac:dyDescent="0.2">
      <c r="B146" s="569">
        <v>6</v>
      </c>
      <c r="C146" s="77" t="s">
        <v>116</v>
      </c>
      <c r="D146" s="78" t="s">
        <v>117</v>
      </c>
      <c r="E146" s="79">
        <v>1</v>
      </c>
      <c r="F146" s="78" t="s">
        <v>17</v>
      </c>
      <c r="G146" s="79">
        <v>20</v>
      </c>
      <c r="H146" s="80">
        <f>G146*E146</f>
        <v>20</v>
      </c>
      <c r="I146" s="62"/>
    </row>
    <row r="147" spans="2:15" ht="12.75" customHeight="1" x14ac:dyDescent="0.2">
      <c r="B147" s="569">
        <v>7</v>
      </c>
      <c r="C147" s="77" t="s">
        <v>11</v>
      </c>
      <c r="D147" s="78" t="s">
        <v>12</v>
      </c>
      <c r="E147" s="79">
        <v>1</v>
      </c>
      <c r="F147" s="78" t="s">
        <v>10</v>
      </c>
      <c r="G147" s="79">
        <v>5.5</v>
      </c>
      <c r="H147" s="80">
        <f>+E147*G147</f>
        <v>5.5</v>
      </c>
      <c r="I147" s="62"/>
    </row>
    <row r="148" spans="2:15" ht="12.75" customHeight="1" x14ac:dyDescent="0.2">
      <c r="B148" s="569">
        <v>8</v>
      </c>
      <c r="C148" s="77" t="s">
        <v>13</v>
      </c>
      <c r="D148" s="78" t="s">
        <v>14</v>
      </c>
      <c r="E148" s="79">
        <v>2</v>
      </c>
      <c r="F148" s="78" t="s">
        <v>10</v>
      </c>
      <c r="G148" s="79">
        <v>6</v>
      </c>
      <c r="H148" s="80">
        <f>+E148*G148</f>
        <v>12</v>
      </c>
      <c r="I148" s="62"/>
    </row>
    <row r="149" spans="2:15" ht="12.75" customHeight="1" thickBot="1" x14ac:dyDescent="0.25">
      <c r="B149" s="570">
        <v>9</v>
      </c>
      <c r="C149" s="82" t="s">
        <v>15</v>
      </c>
      <c r="D149" s="83" t="s">
        <v>16</v>
      </c>
      <c r="E149" s="84">
        <v>10</v>
      </c>
      <c r="F149" s="83" t="s">
        <v>10</v>
      </c>
      <c r="G149" s="84">
        <v>2</v>
      </c>
      <c r="H149" s="85">
        <f>+E149*G149</f>
        <v>20</v>
      </c>
      <c r="I149" s="62"/>
    </row>
    <row r="150" spans="2:15" ht="15" thickBot="1" x14ac:dyDescent="0.25">
      <c r="B150" s="452" t="str">
        <f>+B140</f>
        <v>COBRE TABLERO TFV-AC 08, 09, 10, 11</v>
      </c>
      <c r="C150" s="453"/>
      <c r="D150" s="453"/>
      <c r="E150" s="453"/>
      <c r="F150" s="453"/>
      <c r="G150" s="454"/>
      <c r="H150" s="86">
        <f>SUM(H142:H149)</f>
        <v>172.595</v>
      </c>
      <c r="I150" s="62" t="s">
        <v>50</v>
      </c>
    </row>
    <row r="151" spans="2:15" ht="13.5" thickBot="1" x14ac:dyDescent="0.25"/>
    <row r="152" spans="2:15" ht="15" thickBot="1" x14ac:dyDescent="0.25">
      <c r="B152" s="1270" t="s">
        <v>1035</v>
      </c>
      <c r="C152" s="1271"/>
      <c r="D152" s="1271"/>
      <c r="E152" s="1271"/>
      <c r="F152" s="1271"/>
      <c r="G152" s="1271"/>
      <c r="H152" s="1272"/>
      <c r="I152" s="62"/>
    </row>
    <row r="153" spans="2:15" ht="27" customHeight="1" thickBot="1" x14ac:dyDescent="0.25">
      <c r="B153" s="66" t="s">
        <v>6</v>
      </c>
      <c r="C153" s="67" t="s">
        <v>73</v>
      </c>
      <c r="D153" s="68" t="s">
        <v>109</v>
      </c>
      <c r="E153" s="69" t="s">
        <v>72</v>
      </c>
      <c r="F153" s="68" t="s">
        <v>110</v>
      </c>
      <c r="G153" s="70" t="s">
        <v>111</v>
      </c>
      <c r="H153" s="931" t="s">
        <v>112</v>
      </c>
      <c r="I153" s="529" t="s">
        <v>921</v>
      </c>
      <c r="J153" s="528" t="s">
        <v>544</v>
      </c>
      <c r="K153" s="528" t="s">
        <v>545</v>
      </c>
      <c r="L153" s="528" t="s">
        <v>546</v>
      </c>
      <c r="M153" s="528" t="s">
        <v>547</v>
      </c>
      <c r="N153" s="528" t="s">
        <v>548</v>
      </c>
      <c r="O153" s="568" t="s">
        <v>571</v>
      </c>
    </row>
    <row r="154" spans="2:15" ht="12.75" customHeight="1" x14ac:dyDescent="0.2">
      <c r="B154" s="569">
        <v>1</v>
      </c>
      <c r="C154" s="72" t="s">
        <v>1020</v>
      </c>
      <c r="D154" s="73" t="str">
        <f>+Barras!A13</f>
        <v>25 x 3</v>
      </c>
      <c r="E154" s="74">
        <f>SUM(J154:L154)*M154*N154*O154</f>
        <v>1.5</v>
      </c>
      <c r="F154" s="73" t="s">
        <v>44</v>
      </c>
      <c r="G154" s="74">
        <f>VLOOKUP(D154,Barras!$A$6:$T$31,20,0)</f>
        <v>31.45</v>
      </c>
      <c r="H154" s="932">
        <f>G154*E154</f>
        <v>47.174999999999997</v>
      </c>
      <c r="I154" s="970">
        <v>800</v>
      </c>
      <c r="J154" s="533">
        <v>0.5</v>
      </c>
      <c r="K154" s="533">
        <v>0</v>
      </c>
      <c r="L154" s="533">
        <v>0</v>
      </c>
      <c r="M154" s="533">
        <v>3</v>
      </c>
      <c r="N154" s="533">
        <v>1</v>
      </c>
      <c r="O154" s="533">
        <v>1</v>
      </c>
    </row>
    <row r="155" spans="2:15" ht="12.75" customHeight="1" x14ac:dyDescent="0.2">
      <c r="B155" s="569">
        <v>3</v>
      </c>
      <c r="C155" s="77" t="s">
        <v>1021</v>
      </c>
      <c r="D155" s="78" t="str">
        <f>+Barras!A8</f>
        <v>15 x 3</v>
      </c>
      <c r="E155" s="74">
        <f>SUM(J155:L155)*M155*N155*O155</f>
        <v>6.2999999999999989</v>
      </c>
      <c r="F155" s="73" t="s">
        <v>44</v>
      </c>
      <c r="G155" s="74">
        <f>VLOOKUP(D155,Barras!$A$6:$T$31,20,0)</f>
        <v>18.5</v>
      </c>
      <c r="H155" s="932">
        <f>G155*E155</f>
        <v>116.54999999999998</v>
      </c>
      <c r="I155" s="62"/>
      <c r="J155" s="533">
        <v>0</v>
      </c>
      <c r="K155" s="533">
        <v>0.35</v>
      </c>
      <c r="L155" s="533">
        <v>0</v>
      </c>
      <c r="M155" s="533">
        <v>3</v>
      </c>
      <c r="N155" s="533">
        <v>1</v>
      </c>
      <c r="O155" s="533">
        <v>6</v>
      </c>
    </row>
    <row r="156" spans="2:15" ht="12.75" customHeight="1" x14ac:dyDescent="0.2">
      <c r="B156" s="71">
        <v>4</v>
      </c>
      <c r="C156" s="77" t="s">
        <v>113</v>
      </c>
      <c r="D156" s="73" t="str">
        <f>+Barras!A13</f>
        <v>25 x 3</v>
      </c>
      <c r="E156" s="74">
        <f>SUM(J156:L156)*M156*N156*O156</f>
        <v>0.7</v>
      </c>
      <c r="F156" s="78" t="s">
        <v>44</v>
      </c>
      <c r="G156" s="74">
        <f>VLOOKUP(D156,Barras!$A$6:$T$31,20,0)</f>
        <v>31.45</v>
      </c>
      <c r="H156" s="80">
        <f>+E156*G156</f>
        <v>22.014999999999997</v>
      </c>
      <c r="I156" s="62"/>
      <c r="J156" s="533">
        <v>0.7</v>
      </c>
      <c r="K156" s="533">
        <v>0</v>
      </c>
      <c r="L156" s="533">
        <v>0</v>
      </c>
      <c r="M156" s="533">
        <v>1</v>
      </c>
      <c r="N156" s="533">
        <v>1</v>
      </c>
      <c r="O156" s="533">
        <v>1</v>
      </c>
    </row>
    <row r="157" spans="2:15" ht="12.75" customHeight="1" x14ac:dyDescent="0.2">
      <c r="B157" s="569">
        <v>5</v>
      </c>
      <c r="C157" s="77" t="s">
        <v>114</v>
      </c>
      <c r="D157" s="78" t="s">
        <v>115</v>
      </c>
      <c r="E157" s="79">
        <v>16</v>
      </c>
      <c r="F157" s="78" t="s">
        <v>10</v>
      </c>
      <c r="G157" s="79">
        <f>+Materiales!G88</f>
        <v>3.81</v>
      </c>
      <c r="H157" s="80">
        <f>+E157*G157</f>
        <v>60.96</v>
      </c>
      <c r="I157" s="62"/>
    </row>
    <row r="158" spans="2:15" ht="12.75" customHeight="1" x14ac:dyDescent="0.2">
      <c r="B158" s="569">
        <v>6</v>
      </c>
      <c r="C158" s="77" t="s">
        <v>116</v>
      </c>
      <c r="D158" s="78" t="s">
        <v>117</v>
      </c>
      <c r="E158" s="79">
        <v>1</v>
      </c>
      <c r="F158" s="78" t="s">
        <v>17</v>
      </c>
      <c r="G158" s="79">
        <v>20</v>
      </c>
      <c r="H158" s="80">
        <f>G158*E158</f>
        <v>20</v>
      </c>
      <c r="I158" s="62"/>
    </row>
    <row r="159" spans="2:15" ht="12.75" customHeight="1" x14ac:dyDescent="0.2">
      <c r="B159" s="569">
        <v>7</v>
      </c>
      <c r="C159" s="77" t="s">
        <v>11</v>
      </c>
      <c r="D159" s="78" t="s">
        <v>12</v>
      </c>
      <c r="E159" s="79">
        <v>1</v>
      </c>
      <c r="F159" s="78" t="s">
        <v>10</v>
      </c>
      <c r="G159" s="79">
        <v>5.5</v>
      </c>
      <c r="H159" s="80">
        <f>+E159*G159</f>
        <v>5.5</v>
      </c>
      <c r="I159" s="62"/>
    </row>
    <row r="160" spans="2:15" ht="12.75" customHeight="1" x14ac:dyDescent="0.2">
      <c r="B160" s="569">
        <v>8</v>
      </c>
      <c r="C160" s="77" t="s">
        <v>13</v>
      </c>
      <c r="D160" s="78" t="s">
        <v>14</v>
      </c>
      <c r="E160" s="79">
        <v>2</v>
      </c>
      <c r="F160" s="78" t="s">
        <v>10</v>
      </c>
      <c r="G160" s="79">
        <v>6</v>
      </c>
      <c r="H160" s="80">
        <f>+E160*G160</f>
        <v>12</v>
      </c>
      <c r="I160" s="62"/>
    </row>
    <row r="161" spans="2:15" ht="12.75" customHeight="1" thickBot="1" x14ac:dyDescent="0.25">
      <c r="B161" s="570">
        <v>9</v>
      </c>
      <c r="C161" s="82" t="s">
        <v>15</v>
      </c>
      <c r="D161" s="83" t="s">
        <v>16</v>
      </c>
      <c r="E161" s="84">
        <v>10</v>
      </c>
      <c r="F161" s="83" t="s">
        <v>10</v>
      </c>
      <c r="G161" s="84">
        <v>2</v>
      </c>
      <c r="H161" s="85">
        <f>+E161*G161</f>
        <v>20</v>
      </c>
      <c r="I161" s="62"/>
    </row>
    <row r="162" spans="2:15" ht="15" thickBot="1" x14ac:dyDescent="0.25">
      <c r="B162" s="452" t="str">
        <f>+B152</f>
        <v>COBRE TABLERO TFV-AC 09.1, 12.1, 14.1</v>
      </c>
      <c r="C162" s="453"/>
      <c r="D162" s="453"/>
      <c r="E162" s="453"/>
      <c r="F162" s="453"/>
      <c r="G162" s="454"/>
      <c r="H162" s="86">
        <f>SUM(H154:H161)</f>
        <v>304.19999999999993</v>
      </c>
      <c r="I162" s="62" t="s">
        <v>50</v>
      </c>
    </row>
    <row r="163" spans="2:15" ht="13.5" thickBot="1" x14ac:dyDescent="0.25"/>
    <row r="164" spans="2:15" ht="15" thickBot="1" x14ac:dyDescent="0.25">
      <c r="B164" s="1270" t="s">
        <v>1036</v>
      </c>
      <c r="C164" s="1271"/>
      <c r="D164" s="1271"/>
      <c r="E164" s="1271"/>
      <c r="F164" s="1271"/>
      <c r="G164" s="1271"/>
      <c r="H164" s="1272"/>
      <c r="I164" s="62"/>
    </row>
    <row r="165" spans="2:15" ht="27" customHeight="1" thickBot="1" x14ac:dyDescent="0.25">
      <c r="B165" s="66" t="s">
        <v>6</v>
      </c>
      <c r="C165" s="67" t="s">
        <v>73</v>
      </c>
      <c r="D165" s="68" t="s">
        <v>109</v>
      </c>
      <c r="E165" s="69" t="s">
        <v>72</v>
      </c>
      <c r="F165" s="68" t="s">
        <v>110</v>
      </c>
      <c r="G165" s="70" t="s">
        <v>111</v>
      </c>
      <c r="H165" s="931" t="s">
        <v>112</v>
      </c>
      <c r="I165" s="529" t="s">
        <v>921</v>
      </c>
      <c r="J165" s="528" t="s">
        <v>544</v>
      </c>
      <c r="K165" s="528" t="s">
        <v>545</v>
      </c>
      <c r="L165" s="528" t="s">
        <v>546</v>
      </c>
      <c r="M165" s="528" t="s">
        <v>547</v>
      </c>
      <c r="N165" s="528" t="s">
        <v>548</v>
      </c>
      <c r="O165" s="568" t="s">
        <v>571</v>
      </c>
    </row>
    <row r="166" spans="2:15" ht="12.75" customHeight="1" x14ac:dyDescent="0.2">
      <c r="B166" s="569">
        <v>1</v>
      </c>
      <c r="C166" s="72" t="s">
        <v>1020</v>
      </c>
      <c r="D166" s="73" t="str">
        <f>+Barras!A13</f>
        <v>25 x 3</v>
      </c>
      <c r="E166" s="74">
        <f>SUM(J166:L166)*M166*N166*O166</f>
        <v>1.7999999999999998</v>
      </c>
      <c r="F166" s="73" t="s">
        <v>44</v>
      </c>
      <c r="G166" s="74">
        <f>VLOOKUP(D166,Barras!$A$6:$T$31,20,0)</f>
        <v>31.45</v>
      </c>
      <c r="H166" s="932">
        <f>G166*E166</f>
        <v>56.609999999999992</v>
      </c>
      <c r="I166" s="970">
        <v>800</v>
      </c>
      <c r="J166" s="533">
        <v>0.6</v>
      </c>
      <c r="K166" s="533">
        <v>0</v>
      </c>
      <c r="L166" s="533">
        <v>0</v>
      </c>
      <c r="M166" s="533">
        <v>3</v>
      </c>
      <c r="N166" s="533">
        <v>1</v>
      </c>
      <c r="O166" s="533">
        <v>1</v>
      </c>
    </row>
    <row r="167" spans="2:15" ht="12.75" customHeight="1" x14ac:dyDescent="0.2">
      <c r="B167" s="569">
        <v>3</v>
      </c>
      <c r="C167" s="77" t="s">
        <v>1021</v>
      </c>
      <c r="D167" s="78" t="str">
        <f>+Barras!A8</f>
        <v>15 x 3</v>
      </c>
      <c r="E167" s="74">
        <f>SUM(J167:L167)*M167*N167*O167</f>
        <v>12.6</v>
      </c>
      <c r="F167" s="73" t="s">
        <v>44</v>
      </c>
      <c r="G167" s="74">
        <f>VLOOKUP(D167,Barras!$A$6:$T$31,20,0)</f>
        <v>18.5</v>
      </c>
      <c r="H167" s="932">
        <f>G167*E167</f>
        <v>233.1</v>
      </c>
      <c r="I167" s="62"/>
      <c r="J167" s="533">
        <v>0</v>
      </c>
      <c r="K167" s="533">
        <v>0.35</v>
      </c>
      <c r="L167" s="533">
        <v>0</v>
      </c>
      <c r="M167" s="533">
        <v>4</v>
      </c>
      <c r="N167" s="533">
        <v>1</v>
      </c>
      <c r="O167" s="533">
        <v>9</v>
      </c>
    </row>
    <row r="168" spans="2:15" ht="12.75" customHeight="1" x14ac:dyDescent="0.2">
      <c r="B168" s="71">
        <v>4</v>
      </c>
      <c r="C168" s="77" t="s">
        <v>113</v>
      </c>
      <c r="D168" s="73" t="str">
        <f>+Barras!A13</f>
        <v>25 x 3</v>
      </c>
      <c r="E168" s="74">
        <f>SUM(J168:L168)*M168*N168*O168</f>
        <v>0.7</v>
      </c>
      <c r="F168" s="78" t="s">
        <v>44</v>
      </c>
      <c r="G168" s="74">
        <f>VLOOKUP(D168,Barras!$A$6:$T$31,20,0)</f>
        <v>31.45</v>
      </c>
      <c r="H168" s="80">
        <f>+E168*G168</f>
        <v>22.014999999999997</v>
      </c>
      <c r="I168" s="62"/>
      <c r="J168" s="533">
        <v>0.7</v>
      </c>
      <c r="K168" s="533">
        <v>0</v>
      </c>
      <c r="L168" s="533">
        <v>0</v>
      </c>
      <c r="M168" s="533">
        <v>1</v>
      </c>
      <c r="N168" s="533">
        <v>1</v>
      </c>
      <c r="O168" s="533">
        <v>1</v>
      </c>
    </row>
    <row r="169" spans="2:15" ht="12.75" customHeight="1" x14ac:dyDescent="0.2">
      <c r="B169" s="569">
        <v>5</v>
      </c>
      <c r="C169" s="77" t="s">
        <v>114</v>
      </c>
      <c r="D169" s="78" t="s">
        <v>115</v>
      </c>
      <c r="E169" s="79">
        <v>16</v>
      </c>
      <c r="F169" s="78" t="s">
        <v>10</v>
      </c>
      <c r="G169" s="79">
        <f>+Materiales!G88</f>
        <v>3.81</v>
      </c>
      <c r="H169" s="80">
        <f>+E169*G169</f>
        <v>60.96</v>
      </c>
      <c r="I169" s="62"/>
    </row>
    <row r="170" spans="2:15" ht="12.75" customHeight="1" x14ac:dyDescent="0.2">
      <c r="B170" s="569">
        <v>6</v>
      </c>
      <c r="C170" s="77" t="s">
        <v>116</v>
      </c>
      <c r="D170" s="78" t="s">
        <v>117</v>
      </c>
      <c r="E170" s="79">
        <v>1</v>
      </c>
      <c r="F170" s="78" t="s">
        <v>17</v>
      </c>
      <c r="G170" s="79">
        <v>20</v>
      </c>
      <c r="H170" s="80">
        <f>G170*E170</f>
        <v>20</v>
      </c>
      <c r="I170" s="62"/>
    </row>
    <row r="171" spans="2:15" ht="12.75" customHeight="1" x14ac:dyDescent="0.2">
      <c r="B171" s="569">
        <v>7</v>
      </c>
      <c r="C171" s="77" t="s">
        <v>11</v>
      </c>
      <c r="D171" s="78" t="s">
        <v>12</v>
      </c>
      <c r="E171" s="79">
        <v>1</v>
      </c>
      <c r="F171" s="78" t="s">
        <v>10</v>
      </c>
      <c r="G171" s="79">
        <v>5.5</v>
      </c>
      <c r="H171" s="80">
        <f>+E171*G171</f>
        <v>5.5</v>
      </c>
      <c r="I171" s="62"/>
    </row>
    <row r="172" spans="2:15" ht="12.75" customHeight="1" x14ac:dyDescent="0.2">
      <c r="B172" s="569">
        <v>8</v>
      </c>
      <c r="C172" s="77" t="s">
        <v>13</v>
      </c>
      <c r="D172" s="78" t="s">
        <v>14</v>
      </c>
      <c r="E172" s="79">
        <v>2</v>
      </c>
      <c r="F172" s="78" t="s">
        <v>10</v>
      </c>
      <c r="G172" s="79">
        <v>6</v>
      </c>
      <c r="H172" s="80">
        <f>+E172*G172</f>
        <v>12</v>
      </c>
      <c r="I172" s="62"/>
    </row>
    <row r="173" spans="2:15" ht="12.75" customHeight="1" thickBot="1" x14ac:dyDescent="0.25">
      <c r="B173" s="570">
        <v>9</v>
      </c>
      <c r="C173" s="82" t="s">
        <v>15</v>
      </c>
      <c r="D173" s="83" t="s">
        <v>16</v>
      </c>
      <c r="E173" s="84">
        <v>10</v>
      </c>
      <c r="F173" s="83" t="s">
        <v>10</v>
      </c>
      <c r="G173" s="84">
        <v>2</v>
      </c>
      <c r="H173" s="85">
        <f>+E173*G173</f>
        <v>20</v>
      </c>
      <c r="I173" s="62"/>
    </row>
    <row r="174" spans="2:15" ht="15" thickBot="1" x14ac:dyDescent="0.25">
      <c r="B174" s="452" t="str">
        <f>+B164</f>
        <v>COBRE TABLERO TFV-AC 14 C2.1</v>
      </c>
      <c r="C174" s="453"/>
      <c r="D174" s="453"/>
      <c r="E174" s="453"/>
      <c r="F174" s="453"/>
      <c r="G174" s="454"/>
      <c r="H174" s="86">
        <f>SUM(H166:H173)</f>
        <v>430.18499999999995</v>
      </c>
      <c r="I174" s="62" t="s">
        <v>50</v>
      </c>
    </row>
  </sheetData>
  <mergeCells count="13">
    <mergeCell ref="B2:H2"/>
    <mergeCell ref="B9:H9"/>
    <mergeCell ref="B24:H24"/>
    <mergeCell ref="B39:H39"/>
    <mergeCell ref="B54:H54"/>
    <mergeCell ref="B140:H140"/>
    <mergeCell ref="B152:H152"/>
    <mergeCell ref="B164:H164"/>
    <mergeCell ref="B128:H128"/>
    <mergeCell ref="B69:H69"/>
    <mergeCell ref="B84:H84"/>
    <mergeCell ref="B99:H99"/>
    <mergeCell ref="B113:H113"/>
  </mergeCells>
  <pageMargins left="0.47244094488188981" right="0.27559055118110237" top="0.74803149606299213" bottom="0.74803149606299213" header="0.31496062992125984" footer="0.31496062992125984"/>
  <pageSetup paperSize="9" scale="90" orientation="portrait" r:id="rId1"/>
  <colBreaks count="1" manualBreakCount="1">
    <brk id="8" max="26" man="1"/>
  </colBreaks>
  <ignoredErrors>
    <ignoredError sqref="H17" formula="1"/>
    <ignoredError sqref="M8 K8 P8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93C28-C721-45CB-B46D-E9DCCB7C7D85}">
  <dimension ref="B6:L37"/>
  <sheetViews>
    <sheetView topLeftCell="A16" workbookViewId="0">
      <selection activeCell="G31" sqref="G31"/>
    </sheetView>
  </sheetViews>
  <sheetFormatPr baseColWidth="10" defaultRowHeight="12.75" x14ac:dyDescent="0.2"/>
  <cols>
    <col min="3" max="3" width="23.140625" customWidth="1"/>
    <col min="4" max="4" width="16.42578125" customWidth="1"/>
    <col min="12" max="12" width="12.5703125" customWidth="1"/>
  </cols>
  <sheetData>
    <row r="6" spans="2:12" x14ac:dyDescent="0.2">
      <c r="D6" s="946"/>
      <c r="E6" s="947" t="s">
        <v>959</v>
      </c>
      <c r="F6" s="1296" t="s">
        <v>960</v>
      </c>
      <c r="G6" s="1297"/>
      <c r="H6" s="1297"/>
      <c r="I6" s="1298"/>
      <c r="J6" s="947" t="s">
        <v>921</v>
      </c>
      <c r="K6" s="947" t="s">
        <v>969</v>
      </c>
      <c r="L6" s="947" t="s">
        <v>970</v>
      </c>
    </row>
    <row r="7" spans="2:12" x14ac:dyDescent="0.2">
      <c r="B7" s="1279">
        <v>1</v>
      </c>
      <c r="C7" s="1280" t="s">
        <v>961</v>
      </c>
      <c r="D7" s="949" t="s">
        <v>922</v>
      </c>
      <c r="E7" s="989">
        <v>250</v>
      </c>
      <c r="F7" s="1006">
        <v>160</v>
      </c>
      <c r="G7" s="950"/>
      <c r="H7" s="951"/>
      <c r="I7" s="952"/>
      <c r="J7" s="1289">
        <f>SUM(E7:I7)</f>
        <v>410</v>
      </c>
      <c r="K7" s="1289" t="str">
        <f>+Barras!A12</f>
        <v>20 x 10</v>
      </c>
      <c r="L7" s="1279">
        <f>+Barras!D12</f>
        <v>497</v>
      </c>
    </row>
    <row r="8" spans="2:12" x14ac:dyDescent="0.2">
      <c r="B8" s="1279"/>
      <c r="C8" s="1281"/>
      <c r="D8" s="937" t="s">
        <v>923</v>
      </c>
      <c r="E8" s="990">
        <v>250</v>
      </c>
      <c r="F8" s="1007">
        <v>160</v>
      </c>
      <c r="G8" s="617"/>
      <c r="I8" s="938"/>
      <c r="J8" s="1289"/>
      <c r="K8" s="1289"/>
      <c r="L8" s="1279"/>
    </row>
    <row r="9" spans="2:12" x14ac:dyDescent="0.2">
      <c r="B9" s="1279"/>
      <c r="C9" s="1281"/>
      <c r="D9" s="937" t="s">
        <v>924</v>
      </c>
      <c r="E9" s="990">
        <v>250</v>
      </c>
      <c r="F9" s="1007">
        <v>160</v>
      </c>
      <c r="G9" s="617"/>
      <c r="I9" s="938"/>
      <c r="J9" s="1289"/>
      <c r="K9" s="1289"/>
      <c r="L9" s="1279"/>
    </row>
    <row r="10" spans="2:12" x14ac:dyDescent="0.2">
      <c r="B10" s="1279"/>
      <c r="C10" s="1281"/>
      <c r="D10" s="937" t="s">
        <v>916</v>
      </c>
      <c r="E10" s="990">
        <v>250</v>
      </c>
      <c r="F10" s="1007">
        <v>160</v>
      </c>
      <c r="G10" s="617"/>
      <c r="I10" s="938"/>
      <c r="J10" s="1289"/>
      <c r="K10" s="1289"/>
      <c r="L10" s="1279"/>
    </row>
    <row r="11" spans="2:12" x14ac:dyDescent="0.2">
      <c r="B11" s="1279"/>
      <c r="C11" s="1281"/>
      <c r="D11" s="937" t="s">
        <v>934</v>
      </c>
      <c r="E11" s="990">
        <v>250</v>
      </c>
      <c r="F11" s="1007">
        <v>160</v>
      </c>
      <c r="G11" s="617"/>
      <c r="I11" s="938"/>
      <c r="J11" s="1289"/>
      <c r="K11" s="1289"/>
      <c r="L11" s="1279"/>
    </row>
    <row r="12" spans="2:12" x14ac:dyDescent="0.2">
      <c r="B12" s="1279"/>
      <c r="C12" s="1281"/>
      <c r="D12" s="937" t="s">
        <v>925</v>
      </c>
      <c r="E12" s="990">
        <v>250</v>
      </c>
      <c r="F12" s="1007">
        <v>50</v>
      </c>
      <c r="G12" s="1023">
        <v>50</v>
      </c>
      <c r="H12" s="559"/>
      <c r="I12" s="1024"/>
      <c r="J12" s="1289"/>
      <c r="K12" s="1289"/>
      <c r="L12" s="1279"/>
    </row>
    <row r="13" spans="2:12" x14ac:dyDescent="0.2">
      <c r="B13" s="1279"/>
      <c r="C13" s="1282"/>
      <c r="D13" s="953" t="s">
        <v>927</v>
      </c>
      <c r="E13" s="991">
        <v>250</v>
      </c>
      <c r="F13" s="1008">
        <v>160</v>
      </c>
      <c r="G13" s="1025"/>
      <c r="H13" s="1025"/>
      <c r="I13" s="1026"/>
      <c r="J13" s="1289"/>
      <c r="K13" s="1289"/>
      <c r="L13" s="1279"/>
    </row>
    <row r="14" spans="2:12" x14ac:dyDescent="0.2">
      <c r="B14" s="948">
        <v>2</v>
      </c>
      <c r="C14" s="954" t="s">
        <v>962</v>
      </c>
      <c r="D14" s="955" t="s">
        <v>926</v>
      </c>
      <c r="E14" s="992">
        <v>500</v>
      </c>
      <c r="F14" s="1009">
        <v>80</v>
      </c>
      <c r="G14" s="1027">
        <v>80</v>
      </c>
      <c r="H14" s="1028"/>
      <c r="I14" s="1029"/>
      <c r="J14" s="948">
        <f>SUM(E14:G14)</f>
        <v>660</v>
      </c>
      <c r="K14" s="948" t="str">
        <f>+Barras!A17</f>
        <v>30 x 10</v>
      </c>
      <c r="L14" s="948">
        <f>+Barras!D17</f>
        <v>676</v>
      </c>
    </row>
    <row r="15" spans="2:12" x14ac:dyDescent="0.2">
      <c r="B15" s="1279">
        <v>3</v>
      </c>
      <c r="C15" s="1283" t="s">
        <v>971</v>
      </c>
      <c r="D15" s="956" t="s">
        <v>928</v>
      </c>
      <c r="E15" s="993">
        <v>500</v>
      </c>
      <c r="F15" s="1010">
        <v>160</v>
      </c>
      <c r="G15" s="1030">
        <v>160</v>
      </c>
      <c r="H15" s="1031"/>
      <c r="I15" s="1032"/>
      <c r="J15" s="1289">
        <f>SUM(E15:G15)</f>
        <v>820</v>
      </c>
      <c r="K15" s="1279" t="str">
        <f>+Barras!A20</f>
        <v>40 x 10</v>
      </c>
      <c r="L15" s="1279">
        <f>+Barras!D20</f>
        <v>850</v>
      </c>
    </row>
    <row r="16" spans="2:12" x14ac:dyDescent="0.2">
      <c r="B16" s="1279"/>
      <c r="C16" s="1284"/>
      <c r="D16" s="942" t="s">
        <v>937</v>
      </c>
      <c r="E16" s="994">
        <v>500</v>
      </c>
      <c r="F16" s="1011">
        <v>160</v>
      </c>
      <c r="G16" s="1033">
        <v>160</v>
      </c>
      <c r="H16" s="559"/>
      <c r="I16" s="1024"/>
      <c r="J16" s="1289"/>
      <c r="K16" s="1279"/>
      <c r="L16" s="1279"/>
    </row>
    <row r="17" spans="2:12" x14ac:dyDescent="0.2">
      <c r="B17" s="1279"/>
      <c r="C17" s="1285"/>
      <c r="D17" s="957" t="s">
        <v>939</v>
      </c>
      <c r="E17" s="995">
        <v>500</v>
      </c>
      <c r="F17" s="1012">
        <v>160</v>
      </c>
      <c r="G17" s="1034">
        <v>160</v>
      </c>
      <c r="H17" s="1025"/>
      <c r="I17" s="1026"/>
      <c r="J17" s="1289"/>
      <c r="K17" s="1279"/>
      <c r="L17" s="1279"/>
    </row>
    <row r="18" spans="2:12" x14ac:dyDescent="0.2">
      <c r="B18" s="948">
        <v>4</v>
      </c>
      <c r="C18" s="958" t="s">
        <v>963</v>
      </c>
      <c r="D18" s="959" t="s">
        <v>929</v>
      </c>
      <c r="E18" s="996">
        <v>750</v>
      </c>
      <c r="F18" s="1013">
        <v>160</v>
      </c>
      <c r="G18" s="1035">
        <v>160</v>
      </c>
      <c r="H18" s="1028"/>
      <c r="I18" s="1029"/>
      <c r="J18" s="948">
        <f>SUM(E18:I18)</f>
        <v>1070</v>
      </c>
      <c r="K18" s="533" t="str">
        <f>+Barras!A24</f>
        <v>60 x 10</v>
      </c>
      <c r="L18" s="533">
        <f>+Barras!D24</f>
        <v>1180</v>
      </c>
    </row>
    <row r="19" spans="2:12" x14ac:dyDescent="0.2">
      <c r="B19" s="1289">
        <v>5</v>
      </c>
      <c r="C19" s="1286" t="s">
        <v>964</v>
      </c>
      <c r="D19" s="960" t="s">
        <v>930</v>
      </c>
      <c r="E19" s="997">
        <v>750</v>
      </c>
      <c r="F19" s="1014">
        <v>160</v>
      </c>
      <c r="G19" s="1036">
        <v>160</v>
      </c>
      <c r="H19" s="1036">
        <v>160</v>
      </c>
      <c r="I19" s="1032"/>
      <c r="J19" s="1279">
        <f>SUM(E19:H19)</f>
        <v>1230</v>
      </c>
      <c r="K19" s="1289" t="str">
        <f>+Barras!A26</f>
        <v>80 x 10</v>
      </c>
      <c r="L19" s="1279">
        <f>+Barras!D26</f>
        <v>1500</v>
      </c>
    </row>
    <row r="20" spans="2:12" x14ac:dyDescent="0.2">
      <c r="B20" s="1289"/>
      <c r="C20" s="1287"/>
      <c r="D20" s="943" t="s">
        <v>940</v>
      </c>
      <c r="E20" s="998">
        <v>750</v>
      </c>
      <c r="F20" s="1015">
        <v>160</v>
      </c>
      <c r="G20" s="1037">
        <v>160</v>
      </c>
      <c r="H20" s="1037">
        <v>160</v>
      </c>
      <c r="I20" s="1024"/>
      <c r="J20" s="1279"/>
      <c r="K20" s="1289"/>
      <c r="L20" s="1279"/>
    </row>
    <row r="21" spans="2:12" x14ac:dyDescent="0.2">
      <c r="B21" s="1289"/>
      <c r="C21" s="1287"/>
      <c r="D21" s="943" t="s">
        <v>941</v>
      </c>
      <c r="E21" s="998">
        <v>750</v>
      </c>
      <c r="F21" s="1015">
        <v>160</v>
      </c>
      <c r="G21" s="1037">
        <v>160</v>
      </c>
      <c r="H21" s="1037">
        <v>160</v>
      </c>
      <c r="I21" s="1024"/>
      <c r="J21" s="1279"/>
      <c r="K21" s="1289"/>
      <c r="L21" s="1279"/>
    </row>
    <row r="22" spans="2:12" x14ac:dyDescent="0.2">
      <c r="B22" s="1289"/>
      <c r="C22" s="1288"/>
      <c r="D22" s="961" t="s">
        <v>931</v>
      </c>
      <c r="E22" s="999">
        <v>750</v>
      </c>
      <c r="F22" s="1016">
        <v>160</v>
      </c>
      <c r="G22" s="1038">
        <v>160</v>
      </c>
      <c r="H22" s="1038">
        <v>160</v>
      </c>
      <c r="I22" s="1026"/>
      <c r="J22" s="1279"/>
      <c r="K22" s="1289"/>
      <c r="L22" s="1279"/>
    </row>
    <row r="23" spans="2:12" x14ac:dyDescent="0.2">
      <c r="B23" s="1279">
        <v>6</v>
      </c>
      <c r="C23" s="1290" t="s">
        <v>965</v>
      </c>
      <c r="D23" s="962" t="s">
        <v>932</v>
      </c>
      <c r="E23" s="1000">
        <v>1000</v>
      </c>
      <c r="F23" s="1017">
        <v>160</v>
      </c>
      <c r="G23" s="1039">
        <v>160</v>
      </c>
      <c r="H23" s="1039">
        <v>160</v>
      </c>
      <c r="I23" s="1040">
        <v>160</v>
      </c>
      <c r="J23" s="1279">
        <f>SUM(E23:I23)</f>
        <v>1640</v>
      </c>
      <c r="K23" s="965" t="str">
        <f>+Barras!A22</f>
        <v>50 x 10</v>
      </c>
      <c r="L23" s="1302">
        <f>+Barras!E22</f>
        <v>1720</v>
      </c>
    </row>
    <row r="24" spans="2:12" x14ac:dyDescent="0.2">
      <c r="B24" s="1279"/>
      <c r="C24" s="1291"/>
      <c r="D24" s="963" t="s">
        <v>942</v>
      </c>
      <c r="E24" s="1001">
        <v>1000</v>
      </c>
      <c r="F24" s="1018">
        <v>160</v>
      </c>
      <c r="G24" s="1041">
        <v>160</v>
      </c>
      <c r="H24" s="1041">
        <v>160</v>
      </c>
      <c r="I24" s="1042">
        <v>160</v>
      </c>
      <c r="J24" s="1279"/>
      <c r="K24" s="966" t="s">
        <v>968</v>
      </c>
      <c r="L24" s="1303"/>
    </row>
    <row r="25" spans="2:12" x14ac:dyDescent="0.2">
      <c r="B25" s="1279">
        <v>7</v>
      </c>
      <c r="C25" s="1292" t="s">
        <v>966</v>
      </c>
      <c r="D25" s="941" t="s">
        <v>944</v>
      </c>
      <c r="E25" s="1002">
        <v>1000</v>
      </c>
      <c r="F25" s="1019"/>
      <c r="G25" s="559"/>
      <c r="H25" s="559"/>
      <c r="I25" s="1024"/>
      <c r="J25" s="1279">
        <f>SUM(E30)</f>
        <v>1000</v>
      </c>
      <c r="K25" s="1289" t="str">
        <f>+Barras!A22</f>
        <v>50 x 10</v>
      </c>
      <c r="L25" s="1304">
        <f>+Barras!D22</f>
        <v>1020</v>
      </c>
    </row>
    <row r="26" spans="2:12" x14ac:dyDescent="0.2">
      <c r="B26" s="1279"/>
      <c r="C26" s="1292"/>
      <c r="D26" s="941" t="s">
        <v>948</v>
      </c>
      <c r="E26" s="1002">
        <v>1000</v>
      </c>
      <c r="F26" s="1019"/>
      <c r="G26" s="559"/>
      <c r="H26" s="559"/>
      <c r="I26" s="1024"/>
      <c r="J26" s="1279"/>
      <c r="K26" s="1289"/>
      <c r="L26" s="1304"/>
    </row>
    <row r="27" spans="2:12" x14ac:dyDescent="0.2">
      <c r="B27" s="1279"/>
      <c r="C27" s="1292"/>
      <c r="D27" s="941" t="s">
        <v>946</v>
      </c>
      <c r="E27" s="1002">
        <v>1000</v>
      </c>
      <c r="F27" s="1019"/>
      <c r="G27" s="559"/>
      <c r="H27" s="559"/>
      <c r="I27" s="1024"/>
      <c r="J27" s="1279"/>
      <c r="K27" s="1289"/>
      <c r="L27" s="1304"/>
    </row>
    <row r="28" spans="2:12" x14ac:dyDescent="0.2">
      <c r="B28" s="1279"/>
      <c r="C28" s="1292"/>
      <c r="D28" s="941" t="s">
        <v>950</v>
      </c>
      <c r="E28" s="1002">
        <v>1000</v>
      </c>
      <c r="F28" s="1019"/>
      <c r="G28" s="559"/>
      <c r="H28" s="559"/>
      <c r="I28" s="1024"/>
      <c r="J28" s="1279"/>
      <c r="K28" s="1289"/>
      <c r="L28" s="1304"/>
    </row>
    <row r="29" spans="2:12" x14ac:dyDescent="0.2">
      <c r="B29" s="1279"/>
      <c r="C29" s="1292"/>
      <c r="D29" s="941" t="s">
        <v>952</v>
      </c>
      <c r="E29" s="1002">
        <v>1000</v>
      </c>
      <c r="F29" s="1019"/>
      <c r="G29" s="559"/>
      <c r="H29" s="559"/>
      <c r="I29" s="1024"/>
      <c r="J29" s="1279"/>
      <c r="K29" s="1289"/>
      <c r="L29" s="1304"/>
    </row>
    <row r="30" spans="2:12" x14ac:dyDescent="0.2">
      <c r="B30" s="1279"/>
      <c r="C30" s="1292"/>
      <c r="D30" s="941" t="s">
        <v>954</v>
      </c>
      <c r="E30" s="1002">
        <v>1000</v>
      </c>
      <c r="F30" s="1019"/>
      <c r="G30" s="559"/>
      <c r="H30" s="559"/>
      <c r="I30" s="1024"/>
      <c r="J30" s="1279"/>
      <c r="K30" s="1289"/>
      <c r="L30" s="1304"/>
    </row>
    <row r="31" spans="2:12" x14ac:dyDescent="0.2">
      <c r="B31" s="1279">
        <v>8</v>
      </c>
      <c r="C31" s="1293" t="s">
        <v>967</v>
      </c>
      <c r="D31" s="964" t="s">
        <v>933</v>
      </c>
      <c r="E31" s="1003">
        <v>1250</v>
      </c>
      <c r="F31" s="1020">
        <v>160</v>
      </c>
      <c r="G31" s="1043">
        <v>160</v>
      </c>
      <c r="H31" s="1031"/>
      <c r="I31" s="1032"/>
      <c r="J31" s="1279">
        <f>SUM(E31:G31)</f>
        <v>1570</v>
      </c>
      <c r="K31" s="940"/>
      <c r="L31" s="1299">
        <f>+Barras!E22</f>
        <v>1720</v>
      </c>
    </row>
    <row r="32" spans="2:12" x14ac:dyDescent="0.2">
      <c r="B32" s="1279"/>
      <c r="C32" s="1294"/>
      <c r="D32" s="944" t="s">
        <v>945</v>
      </c>
      <c r="E32" s="1004">
        <v>1250</v>
      </c>
      <c r="F32" s="1021">
        <v>160</v>
      </c>
      <c r="G32" s="1044">
        <v>160</v>
      </c>
      <c r="H32" s="559"/>
      <c r="I32" s="1024"/>
      <c r="J32" s="1279"/>
      <c r="K32" s="939"/>
      <c r="L32" s="1300"/>
    </row>
    <row r="33" spans="2:12" x14ac:dyDescent="0.2">
      <c r="B33" s="1279"/>
      <c r="C33" s="1294"/>
      <c r="D33" s="944" t="s">
        <v>947</v>
      </c>
      <c r="E33" s="1004">
        <v>1250</v>
      </c>
      <c r="F33" s="1021">
        <v>160</v>
      </c>
      <c r="G33" s="1044">
        <v>160</v>
      </c>
      <c r="H33" s="559"/>
      <c r="I33" s="1024"/>
      <c r="J33" s="1279"/>
      <c r="K33" s="967" t="str">
        <f>+Barras!A22</f>
        <v>50 x 10</v>
      </c>
      <c r="L33" s="1300"/>
    </row>
    <row r="34" spans="2:12" x14ac:dyDescent="0.2">
      <c r="B34" s="1279"/>
      <c r="C34" s="1294"/>
      <c r="D34" s="944" t="s">
        <v>949</v>
      </c>
      <c r="E34" s="1004">
        <v>1250</v>
      </c>
      <c r="F34" s="1021">
        <v>160</v>
      </c>
      <c r="G34" s="1044">
        <v>160</v>
      </c>
      <c r="H34" s="559"/>
      <c r="I34" s="1024"/>
      <c r="J34" s="1279"/>
      <c r="K34" s="968" t="s">
        <v>968</v>
      </c>
      <c r="L34" s="1300"/>
    </row>
    <row r="35" spans="2:12" x14ac:dyDescent="0.2">
      <c r="B35" s="1279"/>
      <c r="C35" s="1294"/>
      <c r="D35" s="944" t="s">
        <v>951</v>
      </c>
      <c r="E35" s="1004">
        <v>1250</v>
      </c>
      <c r="F35" s="1021">
        <v>160</v>
      </c>
      <c r="G35" s="1044">
        <v>160</v>
      </c>
      <c r="H35" s="559"/>
      <c r="I35" s="1024"/>
      <c r="J35" s="1279"/>
      <c r="K35" s="939"/>
      <c r="L35" s="1300"/>
    </row>
    <row r="36" spans="2:12" x14ac:dyDescent="0.2">
      <c r="B36" s="1279"/>
      <c r="C36" s="1294"/>
      <c r="D36" s="944" t="s">
        <v>953</v>
      </c>
      <c r="E36" s="1004">
        <v>1250</v>
      </c>
      <c r="F36" s="1021">
        <v>160</v>
      </c>
      <c r="G36" s="1044">
        <v>160</v>
      </c>
      <c r="H36" s="559"/>
      <c r="I36" s="1024"/>
      <c r="J36" s="1279"/>
      <c r="K36" s="939"/>
      <c r="L36" s="1300"/>
    </row>
    <row r="37" spans="2:12" x14ac:dyDescent="0.2">
      <c r="B37" s="1279"/>
      <c r="C37" s="1295"/>
      <c r="D37" s="945" t="s">
        <v>955</v>
      </c>
      <c r="E37" s="1005">
        <v>1250</v>
      </c>
      <c r="F37" s="1022">
        <v>160</v>
      </c>
      <c r="G37" s="1045">
        <v>160</v>
      </c>
      <c r="H37" s="1025"/>
      <c r="I37" s="1026"/>
      <c r="J37" s="1279"/>
      <c r="K37" s="969"/>
      <c r="L37" s="1301"/>
    </row>
  </sheetData>
  <mergeCells count="29">
    <mergeCell ref="L31:L37"/>
    <mergeCell ref="K7:K13"/>
    <mergeCell ref="L23:L24"/>
    <mergeCell ref="K25:K30"/>
    <mergeCell ref="L25:L30"/>
    <mergeCell ref="K19:K22"/>
    <mergeCell ref="L19:L22"/>
    <mergeCell ref="K15:K17"/>
    <mergeCell ref="L15:L17"/>
    <mergeCell ref="L7:L13"/>
    <mergeCell ref="B31:B37"/>
    <mergeCell ref="C23:C24"/>
    <mergeCell ref="C25:C30"/>
    <mergeCell ref="C31:C37"/>
    <mergeCell ref="F6:I6"/>
    <mergeCell ref="B7:B13"/>
    <mergeCell ref="B15:B17"/>
    <mergeCell ref="B19:B22"/>
    <mergeCell ref="B23:B24"/>
    <mergeCell ref="B25:B30"/>
    <mergeCell ref="J31:J37"/>
    <mergeCell ref="C7:C13"/>
    <mergeCell ref="C15:C17"/>
    <mergeCell ref="C19:C22"/>
    <mergeCell ref="J7:J13"/>
    <mergeCell ref="J15:J17"/>
    <mergeCell ref="J19:J22"/>
    <mergeCell ref="J23:J24"/>
    <mergeCell ref="J25:J30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890B1-643C-44C9-B948-3922566F1AD8}">
  <dimension ref="A1:V31"/>
  <sheetViews>
    <sheetView showGridLines="0" view="pageBreakPreview" topLeftCell="A4" zoomScaleNormal="100" zoomScaleSheetLayoutView="100" workbookViewId="0">
      <selection activeCell="A20" sqref="A20:XFD20"/>
    </sheetView>
  </sheetViews>
  <sheetFormatPr baseColWidth="10" defaultRowHeight="14.25" x14ac:dyDescent="0.2"/>
  <cols>
    <col min="1" max="1" width="15.7109375" style="62" bestFit="1" customWidth="1"/>
    <col min="2" max="2" width="6.5703125" style="62" customWidth="1"/>
    <col min="3" max="3" width="8" style="62" bestFit="1" customWidth="1"/>
    <col min="4" max="19" width="6.85546875" style="62" customWidth="1"/>
    <col min="20" max="20" width="11.42578125" style="531"/>
    <col min="21" max="16384" width="11.42578125" style="62"/>
  </cols>
  <sheetData>
    <row r="1" spans="1:21" x14ac:dyDescent="0.2">
      <c r="A1" s="1305" t="s">
        <v>505</v>
      </c>
      <c r="B1" s="1308" t="s">
        <v>506</v>
      </c>
      <c r="C1" s="1305" t="s">
        <v>507</v>
      </c>
      <c r="D1" s="1308" t="s">
        <v>508</v>
      </c>
      <c r="E1" s="1308"/>
      <c r="F1" s="1308"/>
      <c r="G1" s="1308"/>
      <c r="H1" s="1308"/>
      <c r="I1" s="1308"/>
      <c r="J1" s="1308"/>
      <c r="K1" s="1308"/>
      <c r="L1" s="1308" t="s">
        <v>509</v>
      </c>
      <c r="M1" s="1308"/>
      <c r="N1" s="1308"/>
      <c r="O1" s="1308"/>
      <c r="P1" s="1308"/>
      <c r="Q1" s="1308"/>
      <c r="R1" s="1308"/>
      <c r="S1" s="1308"/>
      <c r="T1" s="1306" t="s">
        <v>542</v>
      </c>
    </row>
    <row r="2" spans="1:21" x14ac:dyDescent="0.2">
      <c r="A2" s="1305"/>
      <c r="B2" s="1308"/>
      <c r="C2" s="1305"/>
      <c r="D2" s="1308" t="s">
        <v>510</v>
      </c>
      <c r="E2" s="1308"/>
      <c r="F2" s="1308"/>
      <c r="G2" s="1308"/>
      <c r="H2" s="1308" t="s">
        <v>511</v>
      </c>
      <c r="I2" s="1308"/>
      <c r="J2" s="1308"/>
      <c r="K2" s="1308"/>
      <c r="L2" s="1308" t="s">
        <v>510</v>
      </c>
      <c r="M2" s="1308"/>
      <c r="N2" s="1308"/>
      <c r="O2" s="1308"/>
      <c r="P2" s="1308" t="s">
        <v>511</v>
      </c>
      <c r="Q2" s="1308"/>
      <c r="R2" s="1308"/>
      <c r="S2" s="1308"/>
      <c r="T2" s="1306"/>
    </row>
    <row r="3" spans="1:21" x14ac:dyDescent="0.2">
      <c r="A3" s="1305"/>
      <c r="B3" s="1308"/>
      <c r="C3" s="1305"/>
      <c r="D3" s="1308" t="s">
        <v>512</v>
      </c>
      <c r="E3" s="1308"/>
      <c r="F3" s="1308"/>
      <c r="G3" s="1308"/>
      <c r="H3" s="1308" t="s">
        <v>512</v>
      </c>
      <c r="I3" s="1308"/>
      <c r="J3" s="1308"/>
      <c r="K3" s="1308"/>
      <c r="L3" s="1308" t="s">
        <v>512</v>
      </c>
      <c r="M3" s="1308"/>
      <c r="N3" s="1308"/>
      <c r="O3" s="1308"/>
      <c r="P3" s="1308" t="s">
        <v>512</v>
      </c>
      <c r="Q3" s="1308"/>
      <c r="R3" s="1308"/>
      <c r="S3" s="1308"/>
      <c r="T3" s="1307"/>
    </row>
    <row r="4" spans="1:21" x14ac:dyDescent="0.2">
      <c r="A4" s="1305"/>
      <c r="B4" s="1308"/>
      <c r="C4" s="1305"/>
      <c r="D4" s="1305">
        <v>1</v>
      </c>
      <c r="E4" s="1305">
        <v>2</v>
      </c>
      <c r="F4" s="1305">
        <v>3</v>
      </c>
      <c r="G4" s="1305">
        <v>4</v>
      </c>
      <c r="H4" s="1305">
        <v>1</v>
      </c>
      <c r="I4" s="1305">
        <v>2</v>
      </c>
      <c r="J4" s="1305">
        <v>3</v>
      </c>
      <c r="K4" s="1305">
        <v>4</v>
      </c>
      <c r="L4" s="1305">
        <v>1</v>
      </c>
      <c r="M4" s="1305">
        <v>2</v>
      </c>
      <c r="N4" s="1305">
        <v>3</v>
      </c>
      <c r="O4" s="1305">
        <v>4</v>
      </c>
      <c r="P4" s="1305">
        <v>1</v>
      </c>
      <c r="Q4" s="1305">
        <v>2</v>
      </c>
      <c r="R4" s="1305">
        <v>3</v>
      </c>
      <c r="S4" s="1305">
        <v>4</v>
      </c>
      <c r="T4" s="529"/>
    </row>
    <row r="5" spans="1:21" ht="16.5" x14ac:dyDescent="0.2">
      <c r="A5" s="529" t="s">
        <v>513</v>
      </c>
      <c r="B5" s="529" t="s">
        <v>541</v>
      </c>
      <c r="C5" s="529" t="s">
        <v>514</v>
      </c>
      <c r="D5" s="1305"/>
      <c r="E5" s="1305"/>
      <c r="F5" s="1305"/>
      <c r="G5" s="1305"/>
      <c r="H5" s="1305"/>
      <c r="I5" s="1305"/>
      <c r="J5" s="1305"/>
      <c r="K5" s="1305"/>
      <c r="L5" s="1305"/>
      <c r="M5" s="1305"/>
      <c r="N5" s="1305"/>
      <c r="O5" s="1305"/>
      <c r="P5" s="1305"/>
      <c r="Q5" s="1305"/>
      <c r="R5" s="1305"/>
      <c r="S5" s="1305"/>
      <c r="T5" s="532"/>
    </row>
    <row r="6" spans="1:21" x14ac:dyDescent="0.2">
      <c r="A6" s="529" t="s">
        <v>515</v>
      </c>
      <c r="B6" s="529">
        <v>23.5</v>
      </c>
      <c r="C6" s="529">
        <v>0.20899999999999999</v>
      </c>
      <c r="D6" s="529">
        <v>123</v>
      </c>
      <c r="E6" s="529">
        <v>202</v>
      </c>
      <c r="F6" s="529">
        <v>228</v>
      </c>
      <c r="G6" s="529"/>
      <c r="H6" s="529">
        <v>108</v>
      </c>
      <c r="I6" s="529">
        <v>182</v>
      </c>
      <c r="J6" s="529">
        <v>216</v>
      </c>
      <c r="K6" s="529"/>
      <c r="L6" s="529">
        <v>123</v>
      </c>
      <c r="M6" s="529">
        <v>202</v>
      </c>
      <c r="N6" s="529">
        <v>233</v>
      </c>
      <c r="O6" s="529"/>
      <c r="P6" s="529">
        <v>108</v>
      </c>
      <c r="Q6" s="529">
        <v>182</v>
      </c>
      <c r="R6" s="529">
        <v>220</v>
      </c>
      <c r="S6" s="529"/>
      <c r="T6" s="532">
        <f>70.08/6</f>
        <v>11.68</v>
      </c>
    </row>
    <row r="7" spans="1:21" x14ac:dyDescent="0.2">
      <c r="A7" s="529" t="s">
        <v>516</v>
      </c>
      <c r="B7" s="529">
        <v>29.5</v>
      </c>
      <c r="C7" s="529">
        <v>0.26200000000000001</v>
      </c>
      <c r="D7" s="529">
        <v>148</v>
      </c>
      <c r="E7" s="529">
        <v>240</v>
      </c>
      <c r="F7" s="529">
        <v>261</v>
      </c>
      <c r="G7" s="529"/>
      <c r="H7" s="529">
        <v>128</v>
      </c>
      <c r="I7" s="529">
        <v>212</v>
      </c>
      <c r="J7" s="529">
        <v>247</v>
      </c>
      <c r="K7" s="529"/>
      <c r="L7" s="529">
        <v>148</v>
      </c>
      <c r="M7" s="529">
        <v>240</v>
      </c>
      <c r="N7" s="529">
        <v>267</v>
      </c>
      <c r="O7" s="529"/>
      <c r="P7" s="529">
        <v>128</v>
      </c>
      <c r="Q7" s="529">
        <v>212</v>
      </c>
      <c r="R7" s="529">
        <v>252</v>
      </c>
      <c r="S7" s="529"/>
      <c r="T7" s="532"/>
    </row>
    <row r="8" spans="1:21" s="935" customFormat="1" x14ac:dyDescent="0.2">
      <c r="A8" s="933" t="s">
        <v>517</v>
      </c>
      <c r="B8" s="933">
        <v>44.5</v>
      </c>
      <c r="C8" s="933">
        <v>0.39600000000000002</v>
      </c>
      <c r="D8" s="933">
        <v>187</v>
      </c>
      <c r="E8" s="933">
        <v>316</v>
      </c>
      <c r="F8" s="933">
        <v>381</v>
      </c>
      <c r="G8" s="933"/>
      <c r="H8" s="933">
        <v>162</v>
      </c>
      <c r="I8" s="933">
        <v>282</v>
      </c>
      <c r="J8" s="933">
        <v>361</v>
      </c>
      <c r="K8" s="933"/>
      <c r="L8" s="933">
        <v>187</v>
      </c>
      <c r="M8" s="933">
        <v>316</v>
      </c>
      <c r="N8" s="933">
        <v>387</v>
      </c>
      <c r="O8" s="933"/>
      <c r="P8" s="933">
        <v>162</v>
      </c>
      <c r="Q8" s="933">
        <v>282</v>
      </c>
      <c r="R8" s="933">
        <v>365</v>
      </c>
      <c r="S8" s="933"/>
      <c r="T8" s="934">
        <f>111/6</f>
        <v>18.5</v>
      </c>
    </row>
    <row r="9" spans="1:21" x14ac:dyDescent="0.2">
      <c r="A9" s="529" t="s">
        <v>518</v>
      </c>
      <c r="B9" s="529">
        <v>39.5</v>
      </c>
      <c r="C9" s="529">
        <v>0.35099999999999998</v>
      </c>
      <c r="D9" s="529">
        <v>189</v>
      </c>
      <c r="E9" s="529">
        <v>302</v>
      </c>
      <c r="F9" s="529">
        <v>313</v>
      </c>
      <c r="G9" s="529"/>
      <c r="H9" s="529">
        <v>162</v>
      </c>
      <c r="I9" s="529">
        <v>264</v>
      </c>
      <c r="J9" s="529">
        <v>298</v>
      </c>
      <c r="K9" s="529"/>
      <c r="L9" s="529">
        <v>189</v>
      </c>
      <c r="M9" s="529">
        <v>302</v>
      </c>
      <c r="N9" s="529">
        <v>321</v>
      </c>
      <c r="O9" s="529"/>
      <c r="P9" s="529">
        <v>162</v>
      </c>
      <c r="Q9" s="529">
        <v>266</v>
      </c>
      <c r="R9" s="529">
        <v>303</v>
      </c>
      <c r="S9" s="529"/>
      <c r="T9" s="532"/>
    </row>
    <row r="10" spans="1:21" x14ac:dyDescent="0.2">
      <c r="A10" s="529" t="s">
        <v>519</v>
      </c>
      <c r="B10" s="529">
        <v>59.5</v>
      </c>
      <c r="C10" s="529">
        <v>0.52900000000000003</v>
      </c>
      <c r="D10" s="529">
        <v>237</v>
      </c>
      <c r="E10" s="529">
        <v>394</v>
      </c>
      <c r="F10" s="529">
        <v>454</v>
      </c>
      <c r="G10" s="529"/>
      <c r="H10" s="529">
        <v>204</v>
      </c>
      <c r="I10" s="529">
        <v>348</v>
      </c>
      <c r="J10" s="529">
        <v>431</v>
      </c>
      <c r="K10" s="529"/>
      <c r="L10" s="529">
        <v>237</v>
      </c>
      <c r="M10" s="529">
        <v>394</v>
      </c>
      <c r="N10" s="529">
        <v>463</v>
      </c>
      <c r="O10" s="529"/>
      <c r="P10" s="529">
        <v>204</v>
      </c>
      <c r="Q10" s="529">
        <v>348</v>
      </c>
      <c r="R10" s="529">
        <v>437</v>
      </c>
      <c r="S10" s="529"/>
      <c r="T10" s="532">
        <f>149.41/6</f>
        <v>24.901666666666667</v>
      </c>
    </row>
    <row r="11" spans="1:21" x14ac:dyDescent="0.2">
      <c r="A11" s="529" t="s">
        <v>520</v>
      </c>
      <c r="B11" s="529">
        <v>99.1</v>
      </c>
      <c r="C11" s="529">
        <v>0.88200000000000001</v>
      </c>
      <c r="D11" s="529">
        <v>319</v>
      </c>
      <c r="E11" s="529">
        <v>560</v>
      </c>
      <c r="F11" s="529">
        <v>728</v>
      </c>
      <c r="G11" s="529"/>
      <c r="H11" s="529">
        <v>274</v>
      </c>
      <c r="I11" s="529">
        <v>500</v>
      </c>
      <c r="J11" s="529">
        <v>690</v>
      </c>
      <c r="K11" s="529"/>
      <c r="L11" s="529">
        <v>320</v>
      </c>
      <c r="M11" s="529">
        <v>562</v>
      </c>
      <c r="N11" s="529">
        <v>729</v>
      </c>
      <c r="O11" s="529"/>
      <c r="P11" s="529">
        <v>274</v>
      </c>
      <c r="Q11" s="529">
        <v>502</v>
      </c>
      <c r="R11" s="529">
        <v>687</v>
      </c>
      <c r="S11" s="529"/>
      <c r="T11" s="532">
        <f>246.98/6</f>
        <v>41.163333333333334</v>
      </c>
    </row>
    <row r="12" spans="1:21" x14ac:dyDescent="0.2">
      <c r="A12" s="529" t="s">
        <v>521</v>
      </c>
      <c r="B12" s="529">
        <v>199</v>
      </c>
      <c r="C12" s="529">
        <v>1.77</v>
      </c>
      <c r="D12" s="529">
        <v>497</v>
      </c>
      <c r="E12" s="529">
        <v>924</v>
      </c>
      <c r="F12" s="529">
        <v>1320</v>
      </c>
      <c r="G12" s="529"/>
      <c r="H12" s="529">
        <v>427</v>
      </c>
      <c r="I12" s="529">
        <v>825</v>
      </c>
      <c r="J12" s="529">
        <v>1180</v>
      </c>
      <c r="K12" s="529"/>
      <c r="L12" s="529">
        <v>499</v>
      </c>
      <c r="M12" s="529">
        <v>932</v>
      </c>
      <c r="N12" s="529">
        <v>1300</v>
      </c>
      <c r="O12" s="529"/>
      <c r="P12" s="529">
        <v>428</v>
      </c>
      <c r="Q12" s="529">
        <v>832</v>
      </c>
      <c r="R12" s="529">
        <v>1210</v>
      </c>
      <c r="S12" s="529"/>
      <c r="T12" s="532">
        <f>+T11*2</f>
        <v>82.326666666666668</v>
      </c>
    </row>
    <row r="13" spans="1:21" s="935" customFormat="1" x14ac:dyDescent="0.2">
      <c r="A13" s="933" t="s">
        <v>522</v>
      </c>
      <c r="B13" s="933">
        <v>74.5</v>
      </c>
      <c r="C13" s="933">
        <v>0.66300000000000003</v>
      </c>
      <c r="D13" s="933">
        <v>287</v>
      </c>
      <c r="E13" s="933">
        <v>470</v>
      </c>
      <c r="F13" s="933">
        <v>525</v>
      </c>
      <c r="G13" s="933"/>
      <c r="H13" s="933">
        <v>245</v>
      </c>
      <c r="I13" s="933">
        <v>412</v>
      </c>
      <c r="J13" s="933">
        <v>498</v>
      </c>
      <c r="K13" s="933"/>
      <c r="L13" s="933">
        <v>287</v>
      </c>
      <c r="M13" s="933">
        <v>470</v>
      </c>
      <c r="N13" s="933">
        <v>536</v>
      </c>
      <c r="O13" s="933"/>
      <c r="P13" s="933">
        <v>245</v>
      </c>
      <c r="Q13" s="933">
        <v>414</v>
      </c>
      <c r="R13" s="933">
        <v>506</v>
      </c>
      <c r="S13" s="933"/>
      <c r="T13" s="934">
        <f>188.7/6</f>
        <v>31.45</v>
      </c>
    </row>
    <row r="14" spans="1:21" x14ac:dyDescent="0.2">
      <c r="A14" s="529" t="s">
        <v>523</v>
      </c>
      <c r="B14" s="529">
        <v>124</v>
      </c>
      <c r="C14" s="529">
        <v>1.1100000000000001</v>
      </c>
      <c r="D14" s="529">
        <v>384</v>
      </c>
      <c r="E14" s="529">
        <v>662</v>
      </c>
      <c r="F14" s="529">
        <v>869</v>
      </c>
      <c r="G14" s="529"/>
      <c r="H14" s="529">
        <v>327</v>
      </c>
      <c r="I14" s="529">
        <v>586</v>
      </c>
      <c r="J14" s="529">
        <v>795</v>
      </c>
      <c r="K14" s="529"/>
      <c r="L14" s="529">
        <v>384</v>
      </c>
      <c r="M14" s="529">
        <v>664</v>
      </c>
      <c r="N14" s="529">
        <v>841</v>
      </c>
      <c r="O14" s="529"/>
      <c r="P14" s="529">
        <v>327</v>
      </c>
      <c r="Q14" s="529">
        <v>590</v>
      </c>
      <c r="R14" s="529">
        <v>794</v>
      </c>
      <c r="S14" s="529"/>
      <c r="T14" s="532">
        <f>312.21/6</f>
        <v>52.034999999999997</v>
      </c>
    </row>
    <row r="15" spans="1:21" x14ac:dyDescent="0.2">
      <c r="A15" s="529" t="s">
        <v>524</v>
      </c>
      <c r="B15" s="529">
        <v>89.5</v>
      </c>
      <c r="C15" s="529">
        <v>0.79600000000000004</v>
      </c>
      <c r="D15" s="529">
        <v>337</v>
      </c>
      <c r="E15" s="529">
        <v>544</v>
      </c>
      <c r="F15" s="529">
        <v>593</v>
      </c>
      <c r="G15" s="529"/>
      <c r="H15" s="529">
        <v>285</v>
      </c>
      <c r="I15" s="529">
        <v>476</v>
      </c>
      <c r="J15" s="529">
        <v>564</v>
      </c>
      <c r="K15" s="529"/>
      <c r="L15" s="529">
        <v>337</v>
      </c>
      <c r="M15" s="529">
        <v>546</v>
      </c>
      <c r="N15" s="529">
        <v>608</v>
      </c>
      <c r="O15" s="529"/>
      <c r="P15" s="529">
        <v>286</v>
      </c>
      <c r="Q15" s="529">
        <v>478</v>
      </c>
      <c r="R15" s="529">
        <v>575</v>
      </c>
      <c r="S15" s="529"/>
      <c r="T15" s="532">
        <f>222/6</f>
        <v>37</v>
      </c>
    </row>
    <row r="16" spans="1:21" s="935" customFormat="1" x14ac:dyDescent="0.2">
      <c r="A16" s="933" t="s">
        <v>525</v>
      </c>
      <c r="B16" s="933">
        <v>149</v>
      </c>
      <c r="C16" s="933">
        <v>1.33</v>
      </c>
      <c r="D16" s="933">
        <v>447</v>
      </c>
      <c r="E16" s="933">
        <v>760</v>
      </c>
      <c r="F16" s="933">
        <v>944</v>
      </c>
      <c r="G16" s="933"/>
      <c r="H16" s="933">
        <v>379</v>
      </c>
      <c r="I16" s="933">
        <v>672</v>
      </c>
      <c r="J16" s="933">
        <v>896</v>
      </c>
      <c r="K16" s="933"/>
      <c r="L16" s="933">
        <v>448</v>
      </c>
      <c r="M16" s="933">
        <v>766</v>
      </c>
      <c r="N16" s="933">
        <v>950</v>
      </c>
      <c r="O16" s="933"/>
      <c r="P16" s="933">
        <v>380</v>
      </c>
      <c r="Q16" s="933">
        <v>676</v>
      </c>
      <c r="R16" s="933">
        <v>897</v>
      </c>
      <c r="S16" s="933"/>
      <c r="T16" s="934">
        <f>373.26/6</f>
        <v>62.21</v>
      </c>
      <c r="U16" s="935">
        <f>+T16*2</f>
        <v>124.42</v>
      </c>
    </row>
    <row r="17" spans="1:22" s="935" customFormat="1" x14ac:dyDescent="0.2">
      <c r="A17" s="933" t="s">
        <v>526</v>
      </c>
      <c r="B17" s="933">
        <v>299</v>
      </c>
      <c r="C17" s="933">
        <v>2.66</v>
      </c>
      <c r="D17" s="933">
        <v>676</v>
      </c>
      <c r="E17" s="933">
        <v>1200</v>
      </c>
      <c r="F17" s="933">
        <v>1670</v>
      </c>
      <c r="G17" s="933"/>
      <c r="H17" s="933">
        <v>573</v>
      </c>
      <c r="I17" s="933">
        <v>1060</v>
      </c>
      <c r="J17" s="933">
        <v>1480</v>
      </c>
      <c r="K17" s="933"/>
      <c r="L17" s="933">
        <v>683</v>
      </c>
      <c r="M17" s="933">
        <v>1230</v>
      </c>
      <c r="N17" s="933">
        <v>1630</v>
      </c>
      <c r="O17" s="933"/>
      <c r="P17" s="933">
        <v>579</v>
      </c>
      <c r="Q17" s="933">
        <v>1080</v>
      </c>
      <c r="R17" s="933">
        <v>1520</v>
      </c>
      <c r="S17" s="933"/>
      <c r="T17" s="934">
        <f>743.7/6</f>
        <v>123.95</v>
      </c>
    </row>
    <row r="18" spans="1:22" x14ac:dyDescent="0.2">
      <c r="A18" s="529" t="s">
        <v>527</v>
      </c>
      <c r="B18" s="529">
        <v>119</v>
      </c>
      <c r="C18" s="529">
        <v>1.06</v>
      </c>
      <c r="D18" s="529">
        <v>435</v>
      </c>
      <c r="E18" s="529">
        <v>692</v>
      </c>
      <c r="F18" s="529">
        <v>725</v>
      </c>
      <c r="G18" s="529"/>
      <c r="H18" s="529">
        <v>366</v>
      </c>
      <c r="I18" s="529">
        <v>600</v>
      </c>
      <c r="J18" s="529">
        <v>690</v>
      </c>
      <c r="K18" s="529"/>
      <c r="L18" s="529">
        <v>436</v>
      </c>
      <c r="M18" s="529">
        <v>696</v>
      </c>
      <c r="N18" s="529">
        <v>748</v>
      </c>
      <c r="O18" s="529"/>
      <c r="P18" s="529">
        <v>367</v>
      </c>
      <c r="Q18" s="529">
        <v>604</v>
      </c>
      <c r="R18" s="529">
        <v>708</v>
      </c>
      <c r="S18" s="529"/>
      <c r="T18" s="532">
        <f>298.7/6</f>
        <v>49.783333333333331</v>
      </c>
      <c r="V18" s="62">
        <f>800*1.25</f>
        <v>1000</v>
      </c>
    </row>
    <row r="19" spans="1:22" x14ac:dyDescent="0.2">
      <c r="A19" s="529" t="s">
        <v>528</v>
      </c>
      <c r="B19" s="529">
        <v>199</v>
      </c>
      <c r="C19" s="529">
        <v>1.77</v>
      </c>
      <c r="D19" s="529">
        <v>573</v>
      </c>
      <c r="E19" s="529">
        <v>952</v>
      </c>
      <c r="F19" s="529">
        <v>1140</v>
      </c>
      <c r="G19" s="529"/>
      <c r="H19" s="529">
        <v>482</v>
      </c>
      <c r="I19" s="529">
        <v>836</v>
      </c>
      <c r="J19" s="529">
        <v>1090</v>
      </c>
      <c r="K19" s="529"/>
      <c r="L19" s="529">
        <v>576</v>
      </c>
      <c r="M19" s="529">
        <v>986</v>
      </c>
      <c r="N19" s="529">
        <v>1180</v>
      </c>
      <c r="O19" s="529"/>
      <c r="P19" s="529">
        <v>484</v>
      </c>
      <c r="Q19" s="529">
        <v>848</v>
      </c>
      <c r="R19" s="529">
        <v>1100</v>
      </c>
      <c r="S19" s="529"/>
      <c r="T19" s="532">
        <f>494.88/6</f>
        <v>82.48</v>
      </c>
    </row>
    <row r="20" spans="1:22" x14ac:dyDescent="0.2">
      <c r="A20" s="529" t="s">
        <v>529</v>
      </c>
      <c r="B20" s="529">
        <v>399</v>
      </c>
      <c r="C20" s="529">
        <v>3.55</v>
      </c>
      <c r="D20" s="529">
        <v>850</v>
      </c>
      <c r="E20" s="529">
        <v>1470</v>
      </c>
      <c r="F20" s="529">
        <v>2000</v>
      </c>
      <c r="G20" s="529">
        <v>2580</v>
      </c>
      <c r="H20" s="529">
        <v>715</v>
      </c>
      <c r="I20" s="529">
        <v>1290</v>
      </c>
      <c r="J20" s="529">
        <v>1770</v>
      </c>
      <c r="K20" s="529">
        <v>2280</v>
      </c>
      <c r="L20" s="529">
        <v>865</v>
      </c>
      <c r="M20" s="529">
        <v>1530</v>
      </c>
      <c r="N20" s="529">
        <v>2000</v>
      </c>
      <c r="O20" s="529"/>
      <c r="P20" s="529">
        <v>728</v>
      </c>
      <c r="Q20" s="529">
        <v>1350</v>
      </c>
      <c r="R20" s="529">
        <v>1880</v>
      </c>
      <c r="S20" s="529"/>
      <c r="T20" s="532">
        <f>994.38/6</f>
        <v>165.73</v>
      </c>
    </row>
    <row r="21" spans="1:22" x14ac:dyDescent="0.2">
      <c r="A21" s="529" t="s">
        <v>530</v>
      </c>
      <c r="B21" s="529">
        <v>249</v>
      </c>
      <c r="C21" s="529">
        <v>2.2200000000000002</v>
      </c>
      <c r="D21" s="529">
        <v>697</v>
      </c>
      <c r="E21" s="529">
        <v>1140</v>
      </c>
      <c r="F21" s="529">
        <v>1330</v>
      </c>
      <c r="G21" s="529">
        <v>2010</v>
      </c>
      <c r="H21" s="529">
        <v>583</v>
      </c>
      <c r="I21" s="529">
        <v>994</v>
      </c>
      <c r="J21" s="529">
        <v>1260</v>
      </c>
      <c r="K21" s="529">
        <v>1920</v>
      </c>
      <c r="L21" s="529">
        <v>703</v>
      </c>
      <c r="M21" s="529">
        <v>1170</v>
      </c>
      <c r="N21" s="529">
        <v>1370</v>
      </c>
      <c r="O21" s="529"/>
      <c r="P21" s="529">
        <v>588</v>
      </c>
      <c r="Q21" s="529">
        <v>1020</v>
      </c>
      <c r="R21" s="529">
        <v>1300</v>
      </c>
      <c r="S21" s="529"/>
      <c r="T21" s="532">
        <f>624.38/6</f>
        <v>104.06333333333333</v>
      </c>
    </row>
    <row r="22" spans="1:22" x14ac:dyDescent="0.2">
      <c r="A22" s="529" t="s">
        <v>531</v>
      </c>
      <c r="B22" s="529">
        <v>499</v>
      </c>
      <c r="C22" s="529">
        <v>4.4400000000000004</v>
      </c>
      <c r="D22" s="529">
        <v>1020</v>
      </c>
      <c r="E22" s="529">
        <v>1720</v>
      </c>
      <c r="F22" s="529">
        <v>2320</v>
      </c>
      <c r="G22" s="529">
        <v>2950</v>
      </c>
      <c r="H22" s="529">
        <v>852</v>
      </c>
      <c r="I22" s="529">
        <v>1510</v>
      </c>
      <c r="J22" s="529">
        <v>2040</v>
      </c>
      <c r="K22" s="529">
        <v>2500</v>
      </c>
      <c r="L22" s="529">
        <v>1050</v>
      </c>
      <c r="M22" s="529">
        <v>1830</v>
      </c>
      <c r="N22" s="529">
        <v>2360</v>
      </c>
      <c r="O22" s="529"/>
      <c r="P22" s="529">
        <v>875</v>
      </c>
      <c r="Q22" s="529">
        <v>1610</v>
      </c>
      <c r="R22" s="529">
        <v>2220</v>
      </c>
      <c r="S22" s="529"/>
      <c r="T22" s="532">
        <f>1237.21/6</f>
        <v>206.20166666666668</v>
      </c>
    </row>
    <row r="23" spans="1:22" x14ac:dyDescent="0.2">
      <c r="A23" s="529" t="s">
        <v>532</v>
      </c>
      <c r="B23" s="529">
        <v>299</v>
      </c>
      <c r="C23" s="529">
        <v>2.66</v>
      </c>
      <c r="D23" s="529">
        <v>826</v>
      </c>
      <c r="E23" s="529">
        <v>1330</v>
      </c>
      <c r="F23" s="529">
        <v>1510</v>
      </c>
      <c r="G23" s="529">
        <v>2310</v>
      </c>
      <c r="H23" s="529">
        <v>888</v>
      </c>
      <c r="I23" s="529">
        <v>1150</v>
      </c>
      <c r="J23" s="529">
        <v>1440</v>
      </c>
      <c r="K23" s="529">
        <v>2210</v>
      </c>
      <c r="L23" s="529">
        <v>836</v>
      </c>
      <c r="M23" s="529">
        <v>1370</v>
      </c>
      <c r="N23" s="529">
        <v>1580</v>
      </c>
      <c r="O23" s="529">
        <v>2080</v>
      </c>
      <c r="P23" s="529">
        <v>696</v>
      </c>
      <c r="Q23" s="529">
        <v>1190</v>
      </c>
      <c r="R23" s="529">
        <v>1500</v>
      </c>
      <c r="S23" s="529">
        <v>1970</v>
      </c>
      <c r="T23" s="532">
        <f>740.93/6</f>
        <v>123.48833333333333</v>
      </c>
    </row>
    <row r="24" spans="1:22" x14ac:dyDescent="0.2">
      <c r="A24" s="529" t="s">
        <v>533</v>
      </c>
      <c r="B24" s="529">
        <v>599</v>
      </c>
      <c r="C24" s="529">
        <v>5.33</v>
      </c>
      <c r="D24" s="529">
        <v>1180</v>
      </c>
      <c r="E24" s="529">
        <v>1960</v>
      </c>
      <c r="F24" s="529">
        <v>2610</v>
      </c>
      <c r="G24" s="529">
        <v>3290</v>
      </c>
      <c r="H24" s="529">
        <v>985</v>
      </c>
      <c r="I24" s="529">
        <v>1720</v>
      </c>
      <c r="J24" s="529">
        <v>2300</v>
      </c>
      <c r="K24" s="529">
        <v>2900</v>
      </c>
      <c r="L24" s="529">
        <v>1230</v>
      </c>
      <c r="M24" s="529">
        <v>2130</v>
      </c>
      <c r="N24" s="529">
        <v>2720</v>
      </c>
      <c r="O24" s="529">
        <v>3580</v>
      </c>
      <c r="P24" s="529">
        <v>1020</v>
      </c>
      <c r="Q24" s="529">
        <v>1870</v>
      </c>
      <c r="R24" s="529">
        <v>2570</v>
      </c>
      <c r="S24" s="529">
        <v>3390</v>
      </c>
      <c r="T24" s="532">
        <f>1493.88/6</f>
        <v>248.98000000000002</v>
      </c>
    </row>
    <row r="25" spans="1:22" x14ac:dyDescent="0.2">
      <c r="A25" s="529" t="s">
        <v>534</v>
      </c>
      <c r="B25" s="529">
        <v>399</v>
      </c>
      <c r="C25" s="529">
        <v>3.55</v>
      </c>
      <c r="D25" s="529">
        <v>1070</v>
      </c>
      <c r="E25" s="529">
        <v>1880</v>
      </c>
      <c r="F25" s="529">
        <v>1830</v>
      </c>
      <c r="G25" s="529">
        <v>2830</v>
      </c>
      <c r="H25" s="529">
        <v>885</v>
      </c>
      <c r="I25" s="529">
        <v>1450</v>
      </c>
      <c r="J25" s="529">
        <v>1750</v>
      </c>
      <c r="K25" s="529">
        <v>2720</v>
      </c>
      <c r="L25" s="529">
        <v>1090</v>
      </c>
      <c r="M25" s="529">
        <v>1770</v>
      </c>
      <c r="N25" s="529">
        <v>1990</v>
      </c>
      <c r="O25" s="529">
        <v>2570</v>
      </c>
      <c r="P25" s="529">
        <v>902</v>
      </c>
      <c r="Q25" s="529">
        <v>1530</v>
      </c>
      <c r="R25" s="529">
        <v>1890</v>
      </c>
      <c r="S25" s="529">
        <v>2480</v>
      </c>
      <c r="T25" s="532">
        <f>631.3/6</f>
        <v>105.21666666666665</v>
      </c>
    </row>
    <row r="26" spans="1:22" x14ac:dyDescent="0.2">
      <c r="A26" s="529" t="s">
        <v>535</v>
      </c>
      <c r="B26" s="529">
        <v>799</v>
      </c>
      <c r="C26" s="529">
        <v>7.11</v>
      </c>
      <c r="D26" s="529">
        <v>1500</v>
      </c>
      <c r="E26" s="529">
        <v>2410</v>
      </c>
      <c r="F26" s="529">
        <v>3170</v>
      </c>
      <c r="G26" s="529">
        <v>3930</v>
      </c>
      <c r="H26" s="529">
        <v>1240</v>
      </c>
      <c r="I26" s="529">
        <v>2110</v>
      </c>
      <c r="J26" s="529">
        <v>2790</v>
      </c>
      <c r="K26" s="529">
        <v>3450</v>
      </c>
      <c r="L26" s="529">
        <v>1590</v>
      </c>
      <c r="M26" s="529">
        <v>2730</v>
      </c>
      <c r="N26" s="529">
        <v>3420</v>
      </c>
      <c r="O26" s="529">
        <v>4490</v>
      </c>
      <c r="P26" s="529">
        <v>1310</v>
      </c>
      <c r="Q26" s="529">
        <v>2380</v>
      </c>
      <c r="R26" s="529">
        <v>3240</v>
      </c>
      <c r="S26" s="529">
        <v>4280</v>
      </c>
      <c r="T26" s="532">
        <f>1977.21/6</f>
        <v>329.53500000000003</v>
      </c>
    </row>
    <row r="27" spans="1:22" x14ac:dyDescent="0.2">
      <c r="A27" s="529" t="s">
        <v>536</v>
      </c>
      <c r="B27" s="529">
        <v>499</v>
      </c>
      <c r="C27" s="529">
        <v>4.4400000000000004</v>
      </c>
      <c r="D27" s="529">
        <v>1300</v>
      </c>
      <c r="E27" s="529">
        <v>2010</v>
      </c>
      <c r="F27" s="529">
        <v>2150</v>
      </c>
      <c r="G27" s="529">
        <v>3300</v>
      </c>
      <c r="H27" s="529">
        <v>1080</v>
      </c>
      <c r="I27" s="529">
        <v>1730</v>
      </c>
      <c r="J27" s="529">
        <v>2050</v>
      </c>
      <c r="K27" s="529">
        <v>3190</v>
      </c>
      <c r="L27" s="529">
        <v>1340</v>
      </c>
      <c r="M27" s="529">
        <v>2160</v>
      </c>
      <c r="N27" s="529">
        <v>2380</v>
      </c>
      <c r="O27" s="529">
        <v>3080</v>
      </c>
      <c r="P27" s="529">
        <v>1110</v>
      </c>
      <c r="Q27" s="529">
        <v>1810</v>
      </c>
      <c r="R27" s="529">
        <v>2270</v>
      </c>
      <c r="S27" s="529">
        <v>2960</v>
      </c>
      <c r="T27" s="532"/>
    </row>
    <row r="28" spans="1:22" x14ac:dyDescent="0.2">
      <c r="A28" s="529" t="s">
        <v>537</v>
      </c>
      <c r="B28" s="529">
        <v>999</v>
      </c>
      <c r="C28" s="529">
        <v>8.89</v>
      </c>
      <c r="D28" s="529">
        <v>1810</v>
      </c>
      <c r="E28" s="529">
        <v>2850</v>
      </c>
      <c r="F28" s="529">
        <v>3720</v>
      </c>
      <c r="G28" s="529">
        <v>4530</v>
      </c>
      <c r="H28" s="529">
        <v>1490</v>
      </c>
      <c r="I28" s="529">
        <v>2480</v>
      </c>
      <c r="J28" s="529">
        <v>3280</v>
      </c>
      <c r="K28" s="529">
        <v>3980</v>
      </c>
      <c r="L28" s="529">
        <v>1940</v>
      </c>
      <c r="M28" s="529">
        <v>3310</v>
      </c>
      <c r="N28" s="529">
        <v>4100</v>
      </c>
      <c r="O28" s="529">
        <v>5310</v>
      </c>
      <c r="P28" s="529">
        <v>1600</v>
      </c>
      <c r="Q28" s="529">
        <v>2890</v>
      </c>
      <c r="R28" s="529">
        <v>3900</v>
      </c>
      <c r="S28" s="529">
        <v>5150</v>
      </c>
      <c r="T28" s="532">
        <f>2474.38/6</f>
        <v>412.3966666666667</v>
      </c>
    </row>
    <row r="29" spans="1:22" x14ac:dyDescent="0.2">
      <c r="A29" s="529" t="s">
        <v>538</v>
      </c>
      <c r="B29" s="529">
        <v>1200</v>
      </c>
      <c r="C29" s="529">
        <v>10.7</v>
      </c>
      <c r="D29" s="529">
        <v>2110</v>
      </c>
      <c r="E29" s="529">
        <v>3280</v>
      </c>
      <c r="F29" s="529">
        <v>4270</v>
      </c>
      <c r="G29" s="529">
        <v>5130</v>
      </c>
      <c r="H29" s="529">
        <v>1740</v>
      </c>
      <c r="I29" s="529">
        <v>2860</v>
      </c>
      <c r="J29" s="529">
        <v>3740</v>
      </c>
      <c r="K29" s="529">
        <v>4500</v>
      </c>
      <c r="L29" s="529">
        <v>2300</v>
      </c>
      <c r="M29" s="529">
        <v>3900</v>
      </c>
      <c r="N29" s="529">
        <v>4780</v>
      </c>
      <c r="O29" s="529">
        <v>6260</v>
      </c>
      <c r="P29" s="529">
        <v>1890</v>
      </c>
      <c r="Q29" s="529">
        <v>3390</v>
      </c>
      <c r="R29" s="529">
        <v>4580</v>
      </c>
      <c r="S29" s="529">
        <v>6010</v>
      </c>
      <c r="T29" s="532"/>
    </row>
    <row r="30" spans="1:22" x14ac:dyDescent="0.2">
      <c r="A30" s="529" t="s">
        <v>539</v>
      </c>
      <c r="B30" s="529">
        <v>1600</v>
      </c>
      <c r="C30" s="529">
        <v>14.2</v>
      </c>
      <c r="D30" s="529">
        <v>2700</v>
      </c>
      <c r="E30" s="529">
        <v>4130</v>
      </c>
      <c r="F30" s="529">
        <v>5360</v>
      </c>
      <c r="G30" s="529">
        <v>6320</v>
      </c>
      <c r="H30" s="529">
        <v>2220</v>
      </c>
      <c r="I30" s="529">
        <v>3590</v>
      </c>
      <c r="J30" s="529">
        <v>4680</v>
      </c>
      <c r="K30" s="529">
        <v>5530</v>
      </c>
      <c r="L30" s="529">
        <v>3010</v>
      </c>
      <c r="M30" s="529">
        <v>5060</v>
      </c>
      <c r="N30" s="529">
        <v>6130</v>
      </c>
      <c r="O30" s="529">
        <v>8010</v>
      </c>
      <c r="P30" s="529">
        <v>2470</v>
      </c>
      <c r="Q30" s="529">
        <v>4400</v>
      </c>
      <c r="R30" s="529">
        <v>5860</v>
      </c>
      <c r="S30" s="529">
        <v>7110</v>
      </c>
      <c r="T30" s="532">
        <f>3718.5/6</f>
        <v>619.75</v>
      </c>
    </row>
    <row r="31" spans="1:22" x14ac:dyDescent="0.2">
      <c r="A31" s="529" t="s">
        <v>540</v>
      </c>
      <c r="B31" s="529">
        <v>2000</v>
      </c>
      <c r="C31" s="529">
        <v>17.8</v>
      </c>
      <c r="D31" s="529">
        <v>3290</v>
      </c>
      <c r="E31" s="529">
        <v>4970</v>
      </c>
      <c r="F31" s="529">
        <v>6430</v>
      </c>
      <c r="G31" s="529">
        <v>7490</v>
      </c>
      <c r="H31" s="529">
        <v>2690</v>
      </c>
      <c r="I31" s="529">
        <v>4310</v>
      </c>
      <c r="J31" s="529">
        <v>5610</v>
      </c>
      <c r="K31" s="529">
        <v>6540</v>
      </c>
      <c r="L31" s="529">
        <v>3720</v>
      </c>
      <c r="M31" s="529">
        <v>6220</v>
      </c>
      <c r="N31" s="529">
        <v>7480</v>
      </c>
      <c r="O31" s="529">
        <v>9730</v>
      </c>
      <c r="P31" s="529">
        <v>3040</v>
      </c>
      <c r="Q31" s="529">
        <v>5390</v>
      </c>
      <c r="R31" s="529">
        <v>7150</v>
      </c>
      <c r="S31" s="529">
        <v>9390</v>
      </c>
      <c r="T31" s="532"/>
    </row>
  </sheetData>
  <mergeCells count="30">
    <mergeCell ref="A1:A4"/>
    <mergeCell ref="B1:B4"/>
    <mergeCell ref="C1:C4"/>
    <mergeCell ref="D1:K1"/>
    <mergeCell ref="L1:S1"/>
    <mergeCell ref="D2:G2"/>
    <mergeCell ref="H2:K2"/>
    <mergeCell ref="L2:O2"/>
    <mergeCell ref="P2:S2"/>
    <mergeCell ref="D3:G3"/>
    <mergeCell ref="D4:D5"/>
    <mergeCell ref="E4:E5"/>
    <mergeCell ref="F4:F5"/>
    <mergeCell ref="G4:G5"/>
    <mergeCell ref="H4:H5"/>
    <mergeCell ref="Q4:Q5"/>
    <mergeCell ref="R4:R5"/>
    <mergeCell ref="S4:S5"/>
    <mergeCell ref="T1:T3"/>
    <mergeCell ref="K4:K5"/>
    <mergeCell ref="L4:L5"/>
    <mergeCell ref="M4:M5"/>
    <mergeCell ref="N4:N5"/>
    <mergeCell ref="O4:O5"/>
    <mergeCell ref="P4:P5"/>
    <mergeCell ref="H3:K3"/>
    <mergeCell ref="L3:O3"/>
    <mergeCell ref="P3:S3"/>
    <mergeCell ref="I4:I5"/>
    <mergeCell ref="J4:J5"/>
  </mergeCells>
  <pageMargins left="0.7" right="0.7" top="0.75" bottom="0.75" header="0.3" footer="0.3"/>
  <pageSetup paperSize="9" scale="5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4C10EC-1BCB-436D-A25A-377C7E196123}">
  <dimension ref="B6:K37"/>
  <sheetViews>
    <sheetView topLeftCell="A14" workbookViewId="0">
      <selection activeCell="B5" sqref="B5:K37"/>
    </sheetView>
  </sheetViews>
  <sheetFormatPr baseColWidth="10" defaultRowHeight="12.75" x14ac:dyDescent="0.2"/>
  <cols>
    <col min="3" max="3" width="15.85546875" customWidth="1"/>
  </cols>
  <sheetData>
    <row r="6" spans="2:7" x14ac:dyDescent="0.2">
      <c r="D6" s="902" t="s">
        <v>935</v>
      </c>
      <c r="E6" s="1309" t="s">
        <v>936</v>
      </c>
      <c r="F6" s="1309"/>
      <c r="G6" s="1309"/>
    </row>
    <row r="7" spans="2:7" x14ac:dyDescent="0.2">
      <c r="B7" s="1" t="s">
        <v>938</v>
      </c>
      <c r="C7" s="1" t="s">
        <v>922</v>
      </c>
      <c r="D7">
        <v>250</v>
      </c>
      <c r="E7">
        <v>160</v>
      </c>
    </row>
    <row r="8" spans="2:7" x14ac:dyDescent="0.2">
      <c r="C8" s="1" t="s">
        <v>923</v>
      </c>
      <c r="D8">
        <v>250</v>
      </c>
      <c r="E8">
        <v>160</v>
      </c>
    </row>
    <row r="9" spans="2:7" x14ac:dyDescent="0.2">
      <c r="C9" s="1" t="s">
        <v>924</v>
      </c>
      <c r="D9">
        <v>250</v>
      </c>
      <c r="E9">
        <v>160</v>
      </c>
    </row>
    <row r="10" spans="2:7" x14ac:dyDescent="0.2">
      <c r="C10" s="1" t="s">
        <v>916</v>
      </c>
      <c r="D10">
        <v>250</v>
      </c>
      <c r="E10">
        <v>160</v>
      </c>
    </row>
    <row r="11" spans="2:7" x14ac:dyDescent="0.2">
      <c r="C11" s="1" t="s">
        <v>934</v>
      </c>
      <c r="D11">
        <v>250</v>
      </c>
      <c r="E11">
        <v>160</v>
      </c>
    </row>
    <row r="12" spans="2:7" x14ac:dyDescent="0.2">
      <c r="C12" s="1" t="s">
        <v>925</v>
      </c>
      <c r="D12">
        <v>250</v>
      </c>
      <c r="E12">
        <v>50</v>
      </c>
      <c r="F12">
        <v>50</v>
      </c>
    </row>
    <row r="13" spans="2:7" x14ac:dyDescent="0.2">
      <c r="C13" s="1" t="s">
        <v>926</v>
      </c>
      <c r="D13">
        <v>500</v>
      </c>
      <c r="E13">
        <v>80</v>
      </c>
      <c r="F13">
        <v>80</v>
      </c>
    </row>
    <row r="14" spans="2:7" x14ac:dyDescent="0.2">
      <c r="C14" s="1" t="s">
        <v>927</v>
      </c>
      <c r="D14">
        <v>250</v>
      </c>
      <c r="E14">
        <v>160</v>
      </c>
    </row>
    <row r="15" spans="2:7" x14ac:dyDescent="0.2">
      <c r="C15" s="1" t="s">
        <v>928</v>
      </c>
      <c r="D15">
        <v>500</v>
      </c>
      <c r="E15">
        <v>160</v>
      </c>
      <c r="F15">
        <v>160</v>
      </c>
    </row>
    <row r="16" spans="2:7" x14ac:dyDescent="0.2">
      <c r="C16" s="1" t="s">
        <v>937</v>
      </c>
      <c r="D16">
        <v>500</v>
      </c>
      <c r="E16">
        <v>160</v>
      </c>
      <c r="F16">
        <v>160</v>
      </c>
    </row>
    <row r="17" spans="3:11" x14ac:dyDescent="0.2">
      <c r="C17" s="1" t="s">
        <v>929</v>
      </c>
      <c r="D17">
        <v>750</v>
      </c>
      <c r="E17">
        <v>160</v>
      </c>
      <c r="F17">
        <v>160</v>
      </c>
    </row>
    <row r="18" spans="3:11" x14ac:dyDescent="0.2">
      <c r="C18" s="1" t="s">
        <v>939</v>
      </c>
      <c r="D18">
        <v>500</v>
      </c>
      <c r="E18">
        <v>160</v>
      </c>
      <c r="F18">
        <v>160</v>
      </c>
    </row>
    <row r="19" spans="3:11" x14ac:dyDescent="0.2">
      <c r="C19" s="1" t="s">
        <v>930</v>
      </c>
      <c r="D19">
        <v>750</v>
      </c>
      <c r="E19">
        <v>160</v>
      </c>
      <c r="F19">
        <v>160</v>
      </c>
      <c r="G19">
        <v>160</v>
      </c>
    </row>
    <row r="20" spans="3:11" x14ac:dyDescent="0.2">
      <c r="C20" s="1" t="s">
        <v>940</v>
      </c>
      <c r="D20">
        <v>750</v>
      </c>
      <c r="E20">
        <v>160</v>
      </c>
      <c r="F20">
        <v>160</v>
      </c>
      <c r="G20">
        <v>160</v>
      </c>
    </row>
    <row r="21" spans="3:11" x14ac:dyDescent="0.2">
      <c r="C21" s="1" t="s">
        <v>941</v>
      </c>
      <c r="D21">
        <v>750</v>
      </c>
      <c r="E21">
        <v>160</v>
      </c>
      <c r="F21">
        <v>160</v>
      </c>
      <c r="G21">
        <v>160</v>
      </c>
    </row>
    <row r="22" spans="3:11" x14ac:dyDescent="0.2">
      <c r="C22" s="1" t="s">
        <v>931</v>
      </c>
      <c r="D22">
        <v>750</v>
      </c>
      <c r="E22">
        <v>160</v>
      </c>
      <c r="F22">
        <v>160</v>
      </c>
      <c r="G22">
        <v>160</v>
      </c>
    </row>
    <row r="23" spans="3:11" x14ac:dyDescent="0.2">
      <c r="C23" s="1" t="s">
        <v>932</v>
      </c>
      <c r="D23">
        <v>1000</v>
      </c>
      <c r="E23">
        <v>160</v>
      </c>
      <c r="F23">
        <v>160</v>
      </c>
      <c r="G23">
        <v>160</v>
      </c>
      <c r="H23">
        <v>160</v>
      </c>
    </row>
    <row r="24" spans="3:11" x14ac:dyDescent="0.2">
      <c r="C24" s="1" t="s">
        <v>942</v>
      </c>
      <c r="D24">
        <v>1000</v>
      </c>
      <c r="E24">
        <v>160</v>
      </c>
      <c r="F24">
        <v>160</v>
      </c>
      <c r="G24">
        <v>160</v>
      </c>
      <c r="H24">
        <v>160</v>
      </c>
    </row>
    <row r="25" spans="3:11" x14ac:dyDescent="0.2">
      <c r="C25" s="1" t="s">
        <v>933</v>
      </c>
      <c r="D25">
        <v>1250</v>
      </c>
      <c r="E25">
        <v>160</v>
      </c>
      <c r="F25">
        <v>160</v>
      </c>
      <c r="K25" s="1" t="s">
        <v>943</v>
      </c>
    </row>
    <row r="26" spans="3:11" x14ac:dyDescent="0.2">
      <c r="C26" s="1" t="s">
        <v>944</v>
      </c>
      <c r="D26">
        <v>1000</v>
      </c>
      <c r="K26" s="1" t="s">
        <v>943</v>
      </c>
    </row>
    <row r="27" spans="3:11" x14ac:dyDescent="0.2">
      <c r="C27" s="1" t="s">
        <v>945</v>
      </c>
      <c r="D27">
        <v>1250</v>
      </c>
      <c r="E27">
        <v>160</v>
      </c>
      <c r="F27">
        <v>160</v>
      </c>
      <c r="K27" s="1" t="s">
        <v>943</v>
      </c>
    </row>
    <row r="28" spans="3:11" x14ac:dyDescent="0.2">
      <c r="C28" s="1" t="s">
        <v>946</v>
      </c>
      <c r="D28">
        <v>1000</v>
      </c>
    </row>
    <row r="29" spans="3:11" x14ac:dyDescent="0.2">
      <c r="C29" s="1" t="s">
        <v>947</v>
      </c>
      <c r="D29">
        <v>1250</v>
      </c>
      <c r="E29">
        <v>160</v>
      </c>
      <c r="F29">
        <v>160</v>
      </c>
    </row>
    <row r="30" spans="3:11" x14ac:dyDescent="0.2">
      <c r="C30" s="1" t="s">
        <v>948</v>
      </c>
      <c r="D30">
        <v>1000</v>
      </c>
    </row>
    <row r="31" spans="3:11" x14ac:dyDescent="0.2">
      <c r="C31" s="1" t="s">
        <v>949</v>
      </c>
      <c r="D31">
        <v>1250</v>
      </c>
      <c r="E31">
        <v>160</v>
      </c>
      <c r="F31">
        <v>160</v>
      </c>
    </row>
    <row r="32" spans="3:11" x14ac:dyDescent="0.2">
      <c r="C32" s="1" t="s">
        <v>950</v>
      </c>
      <c r="D32">
        <v>1000</v>
      </c>
    </row>
    <row r="33" spans="3:6" x14ac:dyDescent="0.2">
      <c r="C33" s="1" t="s">
        <v>951</v>
      </c>
      <c r="D33">
        <v>1250</v>
      </c>
      <c r="E33">
        <v>160</v>
      </c>
      <c r="F33">
        <v>160</v>
      </c>
    </row>
    <row r="34" spans="3:6" x14ac:dyDescent="0.2">
      <c r="C34" s="1" t="s">
        <v>952</v>
      </c>
      <c r="D34">
        <v>1000</v>
      </c>
    </row>
    <row r="35" spans="3:6" x14ac:dyDescent="0.2">
      <c r="C35" s="1" t="s">
        <v>953</v>
      </c>
      <c r="D35">
        <v>1250</v>
      </c>
      <c r="E35">
        <v>160</v>
      </c>
      <c r="F35">
        <v>160</v>
      </c>
    </row>
    <row r="36" spans="3:6" x14ac:dyDescent="0.2">
      <c r="C36" s="1" t="s">
        <v>954</v>
      </c>
      <c r="D36">
        <v>1000</v>
      </c>
    </row>
    <row r="37" spans="3:6" x14ac:dyDescent="0.2">
      <c r="C37" s="1" t="s">
        <v>955</v>
      </c>
      <c r="D37">
        <v>1250</v>
      </c>
      <c r="E37">
        <v>160</v>
      </c>
      <c r="F37">
        <v>160</v>
      </c>
    </row>
  </sheetData>
  <mergeCells count="1">
    <mergeCell ref="E6:G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13</vt:i4>
      </vt:variant>
    </vt:vector>
  </HeadingPairs>
  <TitlesOfParts>
    <vt:vector size="27" baseType="lpstr">
      <vt:lpstr>COT</vt:lpstr>
      <vt:lpstr>Precios Equipos</vt:lpstr>
      <vt:lpstr>Materiales</vt:lpstr>
      <vt:lpstr>Cobre por polos</vt:lpstr>
      <vt:lpstr>Cableado</vt:lpstr>
      <vt:lpstr>Borneras</vt:lpstr>
      <vt:lpstr>Empotrado </vt:lpstr>
      <vt:lpstr>Adosado</vt:lpstr>
      <vt:lpstr>Autosoportado</vt:lpstr>
      <vt:lpstr>M. Obra Autosoportado</vt:lpstr>
      <vt:lpstr>Cobre Autosoportado</vt:lpstr>
      <vt:lpstr>Hoja4</vt:lpstr>
      <vt:lpstr>Barras</vt:lpstr>
      <vt:lpstr>Hoja3</vt:lpstr>
      <vt:lpstr>Adosado!Área_de_impresión</vt:lpstr>
      <vt:lpstr>Autosoportado!Área_de_impresión</vt:lpstr>
      <vt:lpstr>Barras!Área_de_impresión</vt:lpstr>
      <vt:lpstr>Borneras!Área_de_impresión</vt:lpstr>
      <vt:lpstr>Cableado!Área_de_impresión</vt:lpstr>
      <vt:lpstr>'Cobre Autosoportado'!Área_de_impresión</vt:lpstr>
      <vt:lpstr>'Cobre por polos'!Área_de_impresión</vt:lpstr>
      <vt:lpstr>COT!Área_de_impresión</vt:lpstr>
      <vt:lpstr>'Empotrado '!Área_de_impresión</vt:lpstr>
      <vt:lpstr>'M. Obra Autosoportado'!Área_de_impresión</vt:lpstr>
      <vt:lpstr>Materiales!Área_de_impresión</vt:lpstr>
      <vt:lpstr>'Precios Equipos'!Área_de_impresión</vt:lpstr>
      <vt:lpstr>COT!Títulos_a_imprimir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ventas3</dc:creator>
  <cp:lastModifiedBy>VENTAS 01</cp:lastModifiedBy>
  <cp:lastPrinted>2026-03-12T11:45:17Z</cp:lastPrinted>
  <dcterms:created xsi:type="dcterms:W3CDTF">1999-04-15T21:43:05Z</dcterms:created>
  <dcterms:modified xsi:type="dcterms:W3CDTF">2026-06-02T18:21:37Z</dcterms:modified>
</cp:coreProperties>
</file>