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13_ncr:1_{8A1C83B8-F0E0-4B38-B208-B5AD247033FF}" xr6:coauthVersionLast="47" xr6:coauthVersionMax="47" xr10:uidLastSave="{00000000-0000-0000-0000-000000000000}"/>
  <bookViews>
    <workbookView xWindow="-108" yWindow="-108" windowWidth="23256" windowHeight="12456" activeTab="3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  <sheet name="Sheet1" sheetId="8" r:id="rId8"/>
    <sheet name="Sheet2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9" l="1"/>
  <c r="E6" i="9" s="1"/>
  <c r="G6" i="9"/>
  <c r="B6" i="9"/>
  <c r="A6" i="9"/>
  <c r="K5" i="9"/>
  <c r="B5" i="9" s="1"/>
  <c r="G5" i="9"/>
  <c r="V4" i="9"/>
  <c r="T4" i="9"/>
  <c r="K4" i="9"/>
  <c r="G4" i="9"/>
  <c r="E4" i="9"/>
  <c r="D4" i="9"/>
  <c r="C4" i="9"/>
  <c r="B4" i="9"/>
  <c r="A4" i="9"/>
  <c r="K3" i="9"/>
  <c r="E3" i="9" s="1"/>
  <c r="G3" i="9"/>
  <c r="A3" i="9"/>
  <c r="K2" i="9"/>
  <c r="A2" i="9" s="1"/>
  <c r="G2" i="9"/>
  <c r="E2" i="9"/>
  <c r="D2" i="9"/>
  <c r="C2" i="9"/>
  <c r="A4" i="8"/>
  <c r="E5" i="8"/>
  <c r="E3" i="8"/>
  <c r="E6" i="8"/>
  <c r="E7" i="8"/>
  <c r="E2" i="8"/>
  <c r="D3" i="8"/>
  <c r="D4" i="8"/>
  <c r="D5" i="8"/>
  <c r="D6" i="8"/>
  <c r="D7" i="8"/>
  <c r="D2" i="8"/>
  <c r="C3" i="8"/>
  <c r="C5" i="8"/>
  <c r="C6" i="8"/>
  <c r="C7" i="8"/>
  <c r="C2" i="8"/>
  <c r="A7" i="8"/>
  <c r="B3" i="8"/>
  <c r="B4" i="8"/>
  <c r="B5" i="8"/>
  <c r="B6" i="8"/>
  <c r="B7" i="8"/>
  <c r="B2" i="8"/>
  <c r="A3" i="8"/>
  <c r="A5" i="8"/>
  <c r="A6" i="8"/>
  <c r="A2" i="8"/>
  <c r="K3" i="8"/>
  <c r="K4" i="8"/>
  <c r="E4" i="8" s="1"/>
  <c r="K5" i="8"/>
  <c r="K6" i="8"/>
  <c r="K7" i="8"/>
  <c r="K2" i="8"/>
  <c r="V4" i="8"/>
  <c r="T4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" i="7"/>
  <c r="G6" i="8"/>
  <c r="G5" i="8"/>
  <c r="G4" i="8"/>
  <c r="G3" i="8"/>
  <c r="G2" i="8"/>
  <c r="AA48" i="7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2" i="6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" i="7"/>
  <c r="H2" i="7"/>
  <c r="H3" i="7"/>
  <c r="H4" i="7"/>
  <c r="H5" i="7"/>
  <c r="H6" i="7"/>
  <c r="H7" i="7"/>
  <c r="AA45" i="7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2" i="2"/>
  <c r="M2" i="1"/>
  <c r="H2" i="1"/>
  <c r="AB2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4" i="1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J20" i="7"/>
  <c r="M19" i="7"/>
  <c r="N19" i="7" s="1"/>
  <c r="M18" i="7"/>
  <c r="N18" i="7" s="1"/>
  <c r="M17" i="7"/>
  <c r="N17" i="7" s="1"/>
  <c r="J17" i="7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M24" i="6"/>
  <c r="N24" i="6" s="1"/>
  <c r="M23" i="6"/>
  <c r="N23" i="6" s="1"/>
  <c r="M22" i="6"/>
  <c r="N22" i="6" s="1"/>
  <c r="H22" i="6"/>
  <c r="M21" i="6"/>
  <c r="N21" i="6" s="1"/>
  <c r="M20" i="6"/>
  <c r="N20" i="6" s="1"/>
  <c r="J20" i="6"/>
  <c r="M19" i="6"/>
  <c r="N19" i="6" s="1"/>
  <c r="H19" i="6"/>
  <c r="M18" i="6"/>
  <c r="N18" i="6" s="1"/>
  <c r="M17" i="6"/>
  <c r="N17" i="6" s="1"/>
  <c r="J17" i="6"/>
  <c r="H82" i="6" s="1"/>
  <c r="H17" i="6"/>
  <c r="M16" i="6"/>
  <c r="N16" i="6" s="1"/>
  <c r="M15" i="6"/>
  <c r="N15" i="6" s="1"/>
  <c r="M14" i="6"/>
  <c r="N14" i="6" s="1"/>
  <c r="H14" i="6"/>
  <c r="M13" i="6"/>
  <c r="N13" i="6" s="1"/>
  <c r="M12" i="6"/>
  <c r="N12" i="6" s="1"/>
  <c r="M11" i="6"/>
  <c r="N11" i="6" s="1"/>
  <c r="H11" i="6"/>
  <c r="M10" i="6"/>
  <c r="N10" i="6" s="1"/>
  <c r="M9" i="6"/>
  <c r="N9" i="6" s="1"/>
  <c r="M8" i="6"/>
  <c r="N8" i="6" s="1"/>
  <c r="H8" i="6"/>
  <c r="M7" i="6"/>
  <c r="N7" i="6" s="1"/>
  <c r="M6" i="6"/>
  <c r="N6" i="6" s="1"/>
  <c r="M5" i="6"/>
  <c r="N5" i="6" s="1"/>
  <c r="H5" i="6"/>
  <c r="M4" i="6"/>
  <c r="N4" i="6" s="1"/>
  <c r="M3" i="6"/>
  <c r="N3" i="6" s="1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M30" i="5"/>
  <c r="N30" i="5" s="1"/>
  <c r="M29" i="5"/>
  <c r="N29" i="5" s="1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M20" i="5"/>
  <c r="N20" i="5" s="1"/>
  <c r="H47" i="5"/>
  <c r="M19" i="5"/>
  <c r="N19" i="5" s="1"/>
  <c r="M18" i="5"/>
  <c r="N18" i="5" s="1"/>
  <c r="M17" i="5"/>
  <c r="N17" i="5" s="1"/>
  <c r="H44" i="5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M2" i="5"/>
  <c r="N2" i="5" s="1"/>
  <c r="M20" i="4"/>
  <c r="N20" i="4" s="1"/>
  <c r="G41" i="4"/>
  <c r="M19" i="4"/>
  <c r="N19" i="4" s="1"/>
  <c r="M18" i="4"/>
  <c r="N18" i="4" s="1"/>
  <c r="M17" i="4"/>
  <c r="N17" i="4" s="1"/>
  <c r="G38" i="4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J20" i="2"/>
  <c r="M19" i="2"/>
  <c r="N19" i="2" s="1"/>
  <c r="M18" i="2"/>
  <c r="N18" i="2" s="1"/>
  <c r="M17" i="2"/>
  <c r="N17" i="2" s="1"/>
  <c r="J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J20" i="1"/>
  <c r="J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B2" i="9" l="1"/>
  <c r="C5" i="9"/>
  <c r="B3" i="9"/>
  <c r="C6" i="9"/>
  <c r="C3" i="9"/>
  <c r="D6" i="9"/>
  <c r="D3" i="9"/>
  <c r="E5" i="9"/>
  <c r="A5" i="9"/>
  <c r="D5" i="9"/>
  <c r="C4" i="8"/>
  <c r="H63" i="6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<sst xmlns="http://schemas.openxmlformats.org/spreadsheetml/2006/main" count="156" uniqueCount="39">
  <si>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</si>
  <si>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</si>
  <si>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</si>
  <si>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</si>
  <si>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</si>
  <si>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</si>
  <si>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</si>
  <si>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</si>
  <si>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</si>
  <si>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</si>
  <si>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</si>
  <si>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</si>
  <si>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</si>
  <si>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</si>
  <si>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</si>
  <si>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</si>
  <si>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</si>
  <si>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</si>
  <si>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</si>
  <si>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</si>
  <si>
    <t>lnCorr(A)</t>
  </si>
  <si>
    <t>pendenza</t>
  </si>
  <si>
    <t>intercetta</t>
  </si>
  <si>
    <t>l</t>
  </si>
  <si>
    <t>eta</t>
  </si>
  <si>
    <t>m</t>
  </si>
  <si>
    <t>T</t>
  </si>
  <si>
    <t>x=qV/kTn</t>
  </si>
  <si>
    <t>q</t>
  </si>
  <si>
    <t>y=mx+q</t>
  </si>
  <si>
    <t>x=y-q/m</t>
  </si>
  <si>
    <t>K</t>
  </si>
  <si>
    <t>V1</t>
  </si>
  <si>
    <t>V2</t>
  </si>
  <si>
    <t>V3</t>
  </si>
  <si>
    <t>V4</t>
  </si>
  <si>
    <t>V5</t>
  </si>
  <si>
    <t>I_scelta(A)</t>
  </si>
  <si>
    <t>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</si>
</sst>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0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1"/>
    </xf>
    <xf numFmtId="0" fontId="0" fillId="6" borderId="0" xfId="0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16.668137449897625</c:v>
                </c:pt>
                <c:pt idx="1">
                  <c:v>15.462099594289572</c:v>
                </c:pt>
                <c:pt idx="2">
                  <c:v>13.642819132375985</c:v>
                </c:pt>
                <c:pt idx="3">
                  <c:v>11.449698183593043</c:v>
                </c:pt>
                <c:pt idx="4">
                  <c:v>10.621245119936939</c:v>
                </c:pt>
                <c:pt idx="5">
                  <c:v>9.8527355109651324</c:v>
                </c:pt>
                <c:pt idx="6">
                  <c:v>8.9138505509789177</c:v>
                </c:pt>
                <c:pt idx="7">
                  <c:v>8.9138505509789177</c:v>
                </c:pt>
                <c:pt idx="8">
                  <c:v>6.4375119756330212</c:v>
                </c:pt>
                <c:pt idx="9">
                  <c:v>6.2783450569582184</c:v>
                </c:pt>
                <c:pt idx="10">
                  <c:v>5.0117495223846964</c:v>
                </c:pt>
                <c:pt idx="11">
                  <c:v>3.9242390926291288</c:v>
                </c:pt>
                <c:pt idx="12">
                  <c:v>3.2932070246192433</c:v>
                </c:pt>
                <c:pt idx="13">
                  <c:v>2.2059360135450135</c:v>
                </c:pt>
                <c:pt idx="14">
                  <c:v>1.1794433285585841</c:v>
                </c:pt>
                <c:pt idx="15">
                  <c:v>0.81007935231754813</c:v>
                </c:pt>
                <c:pt idx="16">
                  <c:v>0.71473390985986318</c:v>
                </c:pt>
                <c:pt idx="17">
                  <c:v>0.14033394351902589</c:v>
                </c:pt>
                <c:pt idx="18">
                  <c:v>1.2997966300403596E-2</c:v>
                </c:pt>
                <c:pt idx="19">
                  <c:v>1.9813326740246377E-4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-4.0983525836196391</c:v>
                </c:pt>
                <c:pt idx="1">
                  <c:v>-4.2460981174496375</c:v>
                </c:pt>
                <c:pt idx="2">
                  <c:v>-4.3653661937807744</c:v>
                </c:pt>
                <c:pt idx="3">
                  <c:v>-4.5282091448519628</c:v>
                </c:pt>
                <c:pt idx="4">
                  <c:v>-4.6202838237981396</c:v>
                </c:pt>
                <c:pt idx="5">
                  <c:v>-4.6702421827318066</c:v>
                </c:pt>
                <c:pt idx="6">
                  <c:v>-4.7432834881177257</c:v>
                </c:pt>
                <c:pt idx="7">
                  <c:v>-4.7594875463724486</c:v>
                </c:pt>
                <c:pt idx="8">
                  <c:v>-5.0640360708233709</c:v>
                </c:pt>
                <c:pt idx="9">
                  <c:v>-5.0767750966008007</c:v>
                </c:pt>
                <c:pt idx="10">
                  <c:v>-5.2765558747665242</c:v>
                </c:pt>
                <c:pt idx="11">
                  <c:v>-5.4702926312878466</c:v>
                </c:pt>
                <c:pt idx="12">
                  <c:v>-5.6751950178042883</c:v>
                </c:pt>
                <c:pt idx="13">
                  <c:v>-6.0448653238350971</c:v>
                </c:pt>
                <c:pt idx="14">
                  <c:v>-6.6453910145146464</c:v>
                </c:pt>
                <c:pt idx="15">
                  <c:v>-6.9911368879211881</c:v>
                </c:pt>
                <c:pt idx="16">
                  <c:v>-7.0940848571736304</c:v>
                </c:pt>
                <c:pt idx="17">
                  <c:v>-8.740336742730447</c:v>
                </c:pt>
                <c:pt idx="1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15.777112696434461</c:v>
                </c:pt>
                <c:pt idx="1">
                  <c:v>14.319950831913154</c:v>
                </c:pt>
                <c:pt idx="2">
                  <c:v>13.245023262962146</c:v>
                </c:pt>
                <c:pt idx="3">
                  <c:v>12.573615951792021</c:v>
                </c:pt>
                <c:pt idx="4">
                  <c:v>11.331179583736253</c:v>
                </c:pt>
                <c:pt idx="5">
                  <c:v>9.949328878183259</c:v>
                </c:pt>
                <c:pt idx="6">
                  <c:v>9.2024821852183809</c:v>
                </c:pt>
                <c:pt idx="7">
                  <c:v>8.293157564048526</c:v>
                </c:pt>
                <c:pt idx="8">
                  <c:v>7.4736860113174357</c:v>
                </c:pt>
                <c:pt idx="9">
                  <c:v>6.0696648418569064</c:v>
                </c:pt>
                <c:pt idx="10">
                  <c:v>5.0593047505363753</c:v>
                </c:pt>
                <c:pt idx="11">
                  <c:v>4.5593798057038573</c:v>
                </c:pt>
                <c:pt idx="12">
                  <c:v>4.2171298113189124</c:v>
                </c:pt>
                <c:pt idx="13">
                  <c:v>4.003358060444322</c:v>
                </c:pt>
                <c:pt idx="14">
                  <c:v>3.4248916098461128</c:v>
                </c:pt>
                <c:pt idx="15">
                  <c:v>3.0864678851155976</c:v>
                </c:pt>
                <c:pt idx="16">
                  <c:v>2.6404877597039884</c:v>
                </c:pt>
                <c:pt idx="17">
                  <c:v>2.2589496683678991</c:v>
                </c:pt>
                <c:pt idx="18">
                  <c:v>1.9834680883250841</c:v>
                </c:pt>
                <c:pt idx="19">
                  <c:v>1.6968662545457855</c:v>
                </c:pt>
                <c:pt idx="20">
                  <c:v>1.4144048617593452</c:v>
                </c:pt>
                <c:pt idx="21">
                  <c:v>1.0351863317675472</c:v>
                </c:pt>
                <c:pt idx="22">
                  <c:v>0.75764073265972764</c:v>
                </c:pt>
                <c:pt idx="23">
                  <c:v>0.43877480618025211</c:v>
                </c:pt>
                <c:pt idx="24">
                  <c:v>0.23503428830758644</c:v>
                </c:pt>
                <c:pt idx="25">
                  <c:v>0.13262129615978224</c:v>
                </c:pt>
                <c:pt idx="26">
                  <c:v>7.4447422576405561E-2</c:v>
                </c:pt>
                <c:pt idx="27">
                  <c:v>3.325013527208686E-2</c:v>
                </c:pt>
                <c:pt idx="28">
                  <c:v>1.4097831804468006E-2</c:v>
                </c:pt>
                <c:pt idx="29">
                  <c:v>6.6325231377546354E-3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-4.2138040022594287</c:v>
                </c:pt>
                <c:pt idx="1">
                  <c:v>-4.3058066087624729</c:v>
                </c:pt>
                <c:pt idx="2">
                  <c:v>-4.3804279133101849</c:v>
                </c:pt>
                <c:pt idx="3">
                  <c:v>-4.4498773015820561</c:v>
                </c:pt>
                <c:pt idx="4">
                  <c:v>-4.5450162631683444</c:v>
                </c:pt>
                <c:pt idx="5">
                  <c:v>-4.6659823253848485</c:v>
                </c:pt>
                <c:pt idx="6">
                  <c:v>-4.7387015786126137</c:v>
                </c:pt>
                <c:pt idx="7">
                  <c:v>-4.8258168571037139</c:v>
                </c:pt>
                <c:pt idx="8">
                  <c:v>-4.9171449510089165</c:v>
                </c:pt>
                <c:pt idx="9">
                  <c:v>-5.1193347110195964</c:v>
                </c:pt>
                <c:pt idx="10">
                  <c:v>-5.2983173665480363</c:v>
                </c:pt>
                <c:pt idx="11">
                  <c:v>-5.3948282669288803</c:v>
                </c:pt>
                <c:pt idx="12">
                  <c:v>-5.4679201509342166</c:v>
                </c:pt>
                <c:pt idx="13">
                  <c:v>-5.5164733763512075</c:v>
                </c:pt>
                <c:pt idx="14">
                  <c:v>-5.6549923104867688</c:v>
                </c:pt>
                <c:pt idx="15">
                  <c:v>-5.7603528261445955</c:v>
                </c:pt>
                <c:pt idx="16">
                  <c:v>-5.9182140853683896</c:v>
                </c:pt>
                <c:pt idx="17">
                  <c:v>-6.0490936599446181</c:v>
                </c:pt>
                <c:pt idx="18">
                  <c:v>-6.161067331494162</c:v>
                </c:pt>
                <c:pt idx="19">
                  <c:v>-6.3089187778934335</c:v>
                </c:pt>
                <c:pt idx="20">
                  <c:v>-6.4824875435777924</c:v>
                </c:pt>
                <c:pt idx="21">
                  <c:v>-6.7679933366069784</c:v>
                </c:pt>
                <c:pt idx="22">
                  <c:v>-7.0821086661269153</c:v>
                </c:pt>
                <c:pt idx="23">
                  <c:v>-7.6009024595420822</c:v>
                </c:pt>
                <c:pt idx="24">
                  <c:v>-8.2170885989658995</c:v>
                </c:pt>
                <c:pt idx="25">
                  <c:v>-8.8048752638680181</c:v>
                </c:pt>
                <c:pt idx="26">
                  <c:v>-9.4334839232903924</c:v>
                </c:pt>
                <c:pt idx="27">
                  <c:v>-10.41431317630212</c:v>
                </c:pt>
                <c:pt idx="2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311549385710442E-2"/>
                  <c:y val="-2.2905930720516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Temp_6!$H$2:$H$31</c:f>
              <c:numCache>
                <c:formatCode>General</c:formatCode>
                <c:ptCount val="30"/>
                <c:pt idx="0">
                  <c:v>159.78745010603305</c:v>
                </c:pt>
                <c:pt idx="1">
                  <c:v>159.33649775389938</c:v>
                </c:pt>
                <c:pt idx="2">
                  <c:v>158.88554540176568</c:v>
                </c:pt>
                <c:pt idx="3">
                  <c:v>158.58491050034323</c:v>
                </c:pt>
                <c:pt idx="4">
                  <c:v>158.28427559892077</c:v>
                </c:pt>
                <c:pt idx="5">
                  <c:v>158.13395814820956</c:v>
                </c:pt>
                <c:pt idx="6">
                  <c:v>157.68300579607589</c:v>
                </c:pt>
                <c:pt idx="7">
                  <c:v>157.38237089465341</c:v>
                </c:pt>
                <c:pt idx="8">
                  <c:v>156.78110109180852</c:v>
                </c:pt>
                <c:pt idx="9">
                  <c:v>156.48046619038607</c:v>
                </c:pt>
                <c:pt idx="10">
                  <c:v>156.17983128896361</c:v>
                </c:pt>
                <c:pt idx="11">
                  <c:v>155.72887893682994</c:v>
                </c:pt>
                <c:pt idx="12">
                  <c:v>155.27792658469625</c:v>
                </c:pt>
                <c:pt idx="13">
                  <c:v>153.92506952829521</c:v>
                </c:pt>
                <c:pt idx="14">
                  <c:v>153.0231648240279</c:v>
                </c:pt>
                <c:pt idx="15">
                  <c:v>152.27157757047175</c:v>
                </c:pt>
                <c:pt idx="16">
                  <c:v>149.41554600695846</c:v>
                </c:pt>
                <c:pt idx="17">
                  <c:v>146.70983189415637</c:v>
                </c:pt>
                <c:pt idx="18">
                  <c:v>144.60538758419924</c:v>
                </c:pt>
              </c:numCache>
            </c:numRef>
          </c:xVal>
          <c:yVal>
            <c:numRef>
              <c:f>Temp_6!$AB$2:$AB$19</c:f>
              <c:numCache>
                <c:formatCode>General</c:formatCode>
                <c:ptCount val="18"/>
                <c:pt idx="0">
                  <c:v>-4.2233149435190604</c:v>
                </c:pt>
                <c:pt idx="1">
                  <c:v>-4.4022293419914007</c:v>
                </c:pt>
                <c:pt idx="2">
                  <c:v>-4.5892968368318012</c:v>
                </c:pt>
                <c:pt idx="3">
                  <c:v>-4.7432834881177257</c:v>
                </c:pt>
                <c:pt idx="4">
                  <c:v>-4.911695346241352</c:v>
                </c:pt>
                <c:pt idx="5">
                  <c:v>-5.0086372914335824</c:v>
                </c:pt>
                <c:pt idx="6">
                  <c:v>-5.2030071867437115</c:v>
                </c:pt>
                <c:pt idx="7">
                  <c:v>-5.3838752549096833</c:v>
                </c:pt>
                <c:pt idx="8">
                  <c:v>-5.649294289372131</c:v>
                </c:pt>
                <c:pt idx="9">
                  <c:v>-5.8464987768577963</c:v>
                </c:pt>
                <c:pt idx="10">
                  <c:v>-6.0157572396770265</c:v>
                </c:pt>
                <c:pt idx="11">
                  <c:v>-6.2096205569111529</c:v>
                </c:pt>
                <c:pt idx="12">
                  <c:v>-6.4759728625565991</c:v>
                </c:pt>
                <c:pt idx="13">
                  <c:v>-7.1954373514339176</c:v>
                </c:pt>
                <c:pt idx="14">
                  <c:v>-7.7287358310519672</c:v>
                </c:pt>
                <c:pt idx="15">
                  <c:v>-8.2170885989658995</c:v>
                </c:pt>
                <c:pt idx="16">
                  <c:v>-9.9034875525361272</c:v>
                </c:pt>
                <c:pt idx="17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Pol_inv!$H$2:$H$15</c:f>
              <c:numCache>
                <c:formatCode>General</c:formatCode>
                <c:ptCount val="14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</c:numCache>
            </c:numRef>
          </c:xVal>
          <c:yVal>
            <c:numRef>
              <c:f>Pol_inv!$AB$2:$AB$15</c:f>
              <c:numCache>
                <c:formatCode>General</c:formatCode>
                <c:ptCount val="14"/>
                <c:pt idx="0">
                  <c:v>-15.424948470398375</c:v>
                </c:pt>
                <c:pt idx="1">
                  <c:v>-15.424948470398375</c:v>
                </c:pt>
                <c:pt idx="2">
                  <c:v>-15.424948470398375</c:v>
                </c:pt>
                <c:pt idx="3">
                  <c:v>-15.424948470398375</c:v>
                </c:pt>
                <c:pt idx="4">
                  <c:v>-15.01948336229021</c:v>
                </c:pt>
                <c:pt idx="5">
                  <c:v>-14.73180128983843</c:v>
                </c:pt>
                <c:pt idx="6">
                  <c:v>-14.038654109278484</c:v>
                </c:pt>
                <c:pt idx="7">
                  <c:v>-13.815510557964274</c:v>
                </c:pt>
                <c:pt idx="8">
                  <c:v>-13.72020037815995</c:v>
                </c:pt>
                <c:pt idx="9">
                  <c:v>-13.633189001170319</c:v>
                </c:pt>
                <c:pt idx="10">
                  <c:v>-13.479038321343062</c:v>
                </c:pt>
                <c:pt idx="11">
                  <c:v>-13.41004544985611</c:v>
                </c:pt>
                <c:pt idx="12">
                  <c:v>-13.284882306902103</c:v>
                </c:pt>
                <c:pt idx="13">
                  <c:v>-13.073573213234896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-4.2391391471253339</c:v>
                </c:pt>
                <c:pt idx="1">
                  <c:v>-4.2517003729983074</c:v>
                </c:pt>
                <c:pt idx="2">
                  <c:v>-4.2637104078558394</c:v>
                </c:pt>
                <c:pt idx="3">
                  <c:v>-4.2838115871769267</c:v>
                </c:pt>
                <c:pt idx="4">
                  <c:v>-4.3043251270100296</c:v>
                </c:pt>
                <c:pt idx="5">
                  <c:v>-4.3336174954661937</c:v>
                </c:pt>
                <c:pt idx="6">
                  <c:v>-4.3482050861983712</c:v>
                </c:pt>
                <c:pt idx="7">
                  <c:v>-4.3645797210701609</c:v>
                </c:pt>
                <c:pt idx="8">
                  <c:v>-4.3900588063711456</c:v>
                </c:pt>
                <c:pt idx="9">
                  <c:v>-4.412898298340969</c:v>
                </c:pt>
                <c:pt idx="10">
                  <c:v>-4.427861171017681</c:v>
                </c:pt>
                <c:pt idx="11">
                  <c:v>-4.4396557475105176</c:v>
                </c:pt>
                <c:pt idx="12">
                  <c:v>-4.4593397377765518</c:v>
                </c:pt>
                <c:pt idx="13">
                  <c:v>-4.4803012039422221</c:v>
                </c:pt>
                <c:pt idx="14">
                  <c:v>-4.5008101706638488</c:v>
                </c:pt>
                <c:pt idx="15">
                  <c:v>-4.5235901989956684</c:v>
                </c:pt>
                <c:pt idx="16">
                  <c:v>-4.5393824454500882</c:v>
                </c:pt>
                <c:pt idx="17">
                  <c:v>-4.5582866000892412</c:v>
                </c:pt>
                <c:pt idx="18">
                  <c:v>-4.5756113837465469</c:v>
                </c:pt>
                <c:pt idx="19">
                  <c:v>-4.5873302678597607</c:v>
                </c:pt>
                <c:pt idx="20">
                  <c:v>-4.6101827278116358</c:v>
                </c:pt>
                <c:pt idx="21">
                  <c:v>-4.6202838237981396</c:v>
                </c:pt>
                <c:pt idx="22">
                  <c:v>-4.6304879939723813</c:v>
                </c:pt>
                <c:pt idx="23">
                  <c:v>-4.6533105613160268</c:v>
                </c:pt>
                <c:pt idx="24">
                  <c:v>-4.6745202641228847</c:v>
                </c:pt>
                <c:pt idx="25">
                  <c:v>-4.699480865459333</c:v>
                </c:pt>
                <c:pt idx="26">
                  <c:v>-4.7250804826606494</c:v>
                </c:pt>
                <c:pt idx="27">
                  <c:v>-4.7467337503098781</c:v>
                </c:pt>
                <c:pt idx="28">
                  <c:v>-4.7618239960334678</c:v>
                </c:pt>
                <c:pt idx="29">
                  <c:v>-4.8024023555177999</c:v>
                </c:pt>
                <c:pt idx="30">
                  <c:v>-4.824570751023467</c:v>
                </c:pt>
                <c:pt idx="31">
                  <c:v>-4.8561989407918364</c:v>
                </c:pt>
                <c:pt idx="32">
                  <c:v>-4.8915198132060933</c:v>
                </c:pt>
                <c:pt idx="33">
                  <c:v>-4.9378496243706085</c:v>
                </c:pt>
                <c:pt idx="34">
                  <c:v>-4.9923043374115323</c:v>
                </c:pt>
                <c:pt idx="35">
                  <c:v>-5.053021010592694</c:v>
                </c:pt>
                <c:pt idx="36">
                  <c:v>-5.1176638668547794</c:v>
                </c:pt>
                <c:pt idx="37">
                  <c:v>-5.1778712134721694</c:v>
                </c:pt>
                <c:pt idx="38">
                  <c:v>-5.2476242522325185</c:v>
                </c:pt>
                <c:pt idx="39">
                  <c:v>-5.2963193638853641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74446773461793E-2"/>
                  <c:y val="-7.740806556799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-4.1950492663437329</c:v>
                </c:pt>
                <c:pt idx="1">
                  <c:v>-4.2651328832023827</c:v>
                </c:pt>
                <c:pt idx="2">
                  <c:v>-4.3125005720252716</c:v>
                </c:pt>
                <c:pt idx="3">
                  <c:v>-4.3536335601726641</c:v>
                </c:pt>
                <c:pt idx="4">
                  <c:v>-4.4270240006046171</c:v>
                </c:pt>
                <c:pt idx="5">
                  <c:v>-4.5116798429007527</c:v>
                </c:pt>
                <c:pt idx="6">
                  <c:v>-4.5611533005713172</c:v>
                </c:pt>
                <c:pt idx="7">
                  <c:v>-4.6263938224397183</c:v>
                </c:pt>
                <c:pt idx="8">
                  <c:v>-4.6907280743497379</c:v>
                </c:pt>
                <c:pt idx="9">
                  <c:v>-4.7700448291783255</c:v>
                </c:pt>
                <c:pt idx="10">
                  <c:v>-4.9008844301371361</c:v>
                </c:pt>
                <c:pt idx="11">
                  <c:v>-4.9776841939565699</c:v>
                </c:pt>
                <c:pt idx="12">
                  <c:v>-5.0498960080495587</c:v>
                </c:pt>
                <c:pt idx="13">
                  <c:v>-5.1193347110195964</c:v>
                </c:pt>
                <c:pt idx="14">
                  <c:v>-5.1760997338237873</c:v>
                </c:pt>
                <c:pt idx="15">
                  <c:v>-5.2726496197994592</c:v>
                </c:pt>
                <c:pt idx="16">
                  <c:v>-5.4444998767261179</c:v>
                </c:pt>
                <c:pt idx="17">
                  <c:v>-5.6021288209297015</c:v>
                </c:pt>
                <c:pt idx="18">
                  <c:v>-5.9219384844593721</c:v>
                </c:pt>
                <c:pt idx="19">
                  <c:v>-5.9874725258384442</c:v>
                </c:pt>
                <c:pt idx="20">
                  <c:v>-6.4191752641634663</c:v>
                </c:pt>
                <c:pt idx="21">
                  <c:v>-6.6846117276679271</c:v>
                </c:pt>
                <c:pt idx="22">
                  <c:v>-7.0585781687167204</c:v>
                </c:pt>
                <c:pt idx="23">
                  <c:v>-7.5239414184059541</c:v>
                </c:pt>
                <c:pt idx="24">
                  <c:v>-7.9865649403540671</c:v>
                </c:pt>
                <c:pt idx="25">
                  <c:v>-8.4218830116119126</c:v>
                </c:pt>
                <c:pt idx="26">
                  <c:v>-8.8048752638680181</c:v>
                </c:pt>
                <c:pt idx="27">
                  <c:v>-9.2103403719761818</c:v>
                </c:pt>
                <c:pt idx="28">
                  <c:v>-10.41431317630212</c:v>
                </c:pt>
                <c:pt idx="29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19" totalsRowShown="0">
  <autoFilter ref="M1:N19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zoomScale="64" zoomScaleNormal="40" workbookViewId="0">
      <selection activeCell="L16" sqref="L16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 t="shared" ref="AB2:AB3" si="0">LN(F2/1000)</f>
        <v>-4.2391391471253339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1">$J$17*D3/($J$20*(B3+273.15))/1000</f>
        <v>22.224726802173947</v>
      </c>
      <c r="M3">
        <f t="shared" ref="M3:M37" si="2">(D4-D3)/(F4-F3)</f>
        <v>5.8823529411764728</v>
      </c>
      <c r="N3">
        <f t="shared" ref="N3:N57" si="3">M3*(2*E4/(D4-D3)+2*G4/(F4-F3))</f>
        <v>-12.456747404844295</v>
      </c>
      <c r="AB3" s="5">
        <f t="shared" si="0"/>
        <v>-4.2517003729983074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1"/>
        <v>22.189946322045351</v>
      </c>
      <c r="M4">
        <f t="shared" si="2"/>
        <v>3.571428571428557</v>
      </c>
      <c r="N4">
        <f t="shared" si="3"/>
        <v>-7.3979591836734384</v>
      </c>
      <c r="AB4" s="5">
        <f>LN(F4/1000)</f>
        <v>-4.2637104078558394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1"/>
        <v>22.161808074218335</v>
      </c>
      <c r="M5">
        <f t="shared" si="2"/>
        <v>0</v>
      </c>
      <c r="N5" t="e">
        <f t="shared" si="3"/>
        <v>#DIV/0!</v>
      </c>
      <c r="AB5" s="5">
        <f t="shared" ref="AB5:AB57" si="4">LN(F5/1000)</f>
        <v>-4.2838115871769267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1"/>
        <v>22.161808074218335</v>
      </c>
      <c r="M6">
        <f t="shared" si="2"/>
        <v>5.1282051282051206</v>
      </c>
      <c r="N6">
        <f t="shared" si="3"/>
        <v>-5.3911900065746128</v>
      </c>
      <c r="AB6" s="5">
        <f t="shared" si="4"/>
        <v>-4.3043251270100296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1"/>
        <v>22.092226259228635</v>
      </c>
      <c r="M7">
        <f t="shared" si="2"/>
        <v>0</v>
      </c>
      <c r="N7" t="e">
        <f t="shared" si="3"/>
        <v>#DIV/0!</v>
      </c>
      <c r="AB7" s="5">
        <f t="shared" si="4"/>
        <v>-4.3336174954661937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1"/>
        <v>22.098851608234245</v>
      </c>
      <c r="M8">
        <f t="shared" si="2"/>
        <v>4.7619047619047832</v>
      </c>
      <c r="N8">
        <f t="shared" si="3"/>
        <v>-9.9773242630385965</v>
      </c>
      <c r="AB8" s="5">
        <f t="shared" si="4"/>
        <v>-4.3482050861983712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1"/>
        <v>22.070669151254851</v>
      </c>
      <c r="M9">
        <f t="shared" si="2"/>
        <v>3.1249999999999973</v>
      </c>
      <c r="N9">
        <f t="shared" si="3"/>
        <v>-6.4453124999999947</v>
      </c>
      <c r="AB9" s="5">
        <f t="shared" si="4"/>
        <v>-4.3645797210701609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1"/>
        <v>22.03585737025918</v>
      </c>
      <c r="M10">
        <f t="shared" si="2"/>
        <v>3.571428571428557</v>
      </c>
      <c r="N10">
        <f t="shared" si="3"/>
        <v>-7.3979591836734384</v>
      </c>
      <c r="AB10" s="5">
        <f t="shared" si="4"/>
        <v>-4.3900588063711456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1"/>
        <v>22.001045589263509</v>
      </c>
      <c r="M11">
        <f t="shared" si="2"/>
        <v>5.5555555555555642</v>
      </c>
      <c r="N11">
        <f t="shared" si="3"/>
        <v>-11.728395061728413</v>
      </c>
      <c r="AB11" s="5">
        <f t="shared" si="4"/>
        <v>-4.412898298340969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1"/>
        <v>21.972825326289826</v>
      </c>
      <c r="M12">
        <f t="shared" si="2"/>
        <v>0</v>
      </c>
      <c r="N12" t="e">
        <f t="shared" si="3"/>
        <v>#DIV/0!</v>
      </c>
      <c r="AB12" s="5">
        <f t="shared" si="4"/>
        <v>-4.427861171017681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1"/>
        <v>21.972825326289826</v>
      </c>
      <c r="M13">
        <f t="shared" si="2"/>
        <v>4.3478260869565135</v>
      </c>
      <c r="N13">
        <f t="shared" si="3"/>
        <v>-9.0737240075614185</v>
      </c>
      <c r="AB13" s="5">
        <f t="shared" si="4"/>
        <v>-4.4396557475105176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1"/>
        <v>21.938003099148318</v>
      </c>
      <c r="M14">
        <f t="shared" si="2"/>
        <v>4.1666666666666625</v>
      </c>
      <c r="N14">
        <f t="shared" si="3"/>
        <v>-8.6805555555555465</v>
      </c>
      <c r="AB14" s="5">
        <f t="shared" si="4"/>
        <v>-4.4593397377765518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1"/>
        <v>21.903180872006814</v>
      </c>
      <c r="M15">
        <f t="shared" si="2"/>
        <v>4.3478260869565135</v>
      </c>
      <c r="N15">
        <f t="shared" si="3"/>
        <v>-9.0737240075614185</v>
      </c>
      <c r="AB15" s="5">
        <f t="shared" si="4"/>
        <v>-4.4803012039422221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1"/>
        <v>21.874922762723592</v>
      </c>
      <c r="J16" t="s">
        <v>11</v>
      </c>
      <c r="M16">
        <f t="shared" si="2"/>
        <v>4</v>
      </c>
      <c r="N16">
        <f t="shared" si="3"/>
        <v>-8.32</v>
      </c>
      <c r="AB16" s="5">
        <f t="shared" si="4"/>
        <v>-4.5008101706638488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1"/>
        <v>21.840090083165112</v>
      </c>
      <c r="J17" s="9">
        <f>1.602176634*10^(-19)</f>
        <v>1.6021766340000001E-19</v>
      </c>
      <c r="M17">
        <f t="shared" si="2"/>
        <v>5.8823529411764728</v>
      </c>
      <c r="N17">
        <f t="shared" si="3"/>
        <v>-12.456747404844295</v>
      </c>
      <c r="AB17" s="5">
        <f t="shared" si="4"/>
        <v>-4.5235901989956684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1"/>
        <v>21.805257403606635</v>
      </c>
      <c r="M18">
        <f t="shared" si="2"/>
        <v>5.0000000000000178</v>
      </c>
      <c r="N18">
        <f t="shared" si="3"/>
        <v>-10.500000000000041</v>
      </c>
      <c r="AB18" s="5">
        <f t="shared" si="4"/>
        <v>-4.5393824454500882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1"/>
        <v>21.776961407646436</v>
      </c>
      <c r="J19" t="s">
        <v>12</v>
      </c>
      <c r="M19">
        <f t="shared" si="2"/>
        <v>0</v>
      </c>
      <c r="N19" t="e">
        <f t="shared" si="3"/>
        <v>#DIV/0!</v>
      </c>
      <c r="AB19" s="5">
        <f t="shared" si="4"/>
        <v>-4.5582866000892412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1"/>
        <v>21.776961407646436</v>
      </c>
      <c r="J20" s="11">
        <f>1.3806503*10^(-23)</f>
        <v>1.3806503000000004E-23</v>
      </c>
      <c r="M20">
        <f t="shared" si="2"/>
        <v>8.3333333333332646</v>
      </c>
      <c r="N20">
        <f t="shared" si="3"/>
        <v>-18.055555555555394</v>
      </c>
      <c r="AB20" s="5">
        <f t="shared" si="4"/>
        <v>-4.5756113837465469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1"/>
        <v>21.742118269394201</v>
      </c>
      <c r="J21" s="10"/>
      <c r="M21">
        <f t="shared" si="2"/>
        <v>4.3478260869565135</v>
      </c>
      <c r="N21">
        <f t="shared" si="3"/>
        <v>-9.0737240075614185</v>
      </c>
      <c r="AB21" s="5">
        <f t="shared" si="4"/>
        <v>-4.5873302678597607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1"/>
        <v>21.713794811313498</v>
      </c>
      <c r="J22" s="14" t="s">
        <v>13</v>
      </c>
      <c r="M22">
        <f t="shared" si="2"/>
        <v>0</v>
      </c>
      <c r="N22" t="e">
        <f t="shared" si="3"/>
        <v>#DIV/0!</v>
      </c>
      <c r="AB22" s="5">
        <f t="shared" si="4"/>
        <v>-4.6101827278116358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1"/>
        <v>21.720318408973505</v>
      </c>
      <c r="J23" t="s">
        <v>14</v>
      </c>
      <c r="M23">
        <f t="shared" si="2"/>
        <v>0</v>
      </c>
      <c r="N23" t="e">
        <f t="shared" si="3"/>
        <v>#DIV/0!</v>
      </c>
      <c r="AB23" s="5">
        <f t="shared" si="4"/>
        <v>-4.6202838237981396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1"/>
        <v>21.726845927653883</v>
      </c>
      <c r="M24">
        <f t="shared" si="2"/>
        <v>4.5454545454545325</v>
      </c>
      <c r="N24">
        <f t="shared" si="3"/>
        <v>-9.504132231404931</v>
      </c>
      <c r="AB24" s="5">
        <f t="shared" si="4"/>
        <v>-4.6304879939723813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1"/>
        <v>21.698492334982486</v>
      </c>
      <c r="M25">
        <f t="shared" si="2"/>
        <v>10.000000000000036</v>
      </c>
      <c r="N25">
        <f t="shared" si="3"/>
        <v>-11.000000000000043</v>
      </c>
      <c r="AB25" s="5">
        <f t="shared" si="4"/>
        <v>-4.6533105613160268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1"/>
        <v>21.628722263165823</v>
      </c>
      <c r="M26">
        <f t="shared" si="2"/>
        <v>4.3478260869565135</v>
      </c>
      <c r="N26">
        <f t="shared" si="3"/>
        <v>-9.0737240075614185</v>
      </c>
      <c r="AB26" s="5">
        <f t="shared" si="4"/>
        <v>-4.6745202641228847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1"/>
        <v>21.600330637940775</v>
      </c>
      <c r="M27">
        <f t="shared" si="2"/>
        <v>4.3478260869565135</v>
      </c>
      <c r="N27">
        <f t="shared" si="3"/>
        <v>-9.0737240075614185</v>
      </c>
      <c r="AB27" s="5">
        <f t="shared" si="4"/>
        <v>-4.699480865459333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1"/>
        <v>21.565435111869785</v>
      </c>
      <c r="M28">
        <f t="shared" si="2"/>
        <v>5.2631578947368558</v>
      </c>
      <c r="N28">
        <f t="shared" si="3"/>
        <v>-11.08033240997233</v>
      </c>
      <c r="AB28" s="5">
        <f t="shared" si="4"/>
        <v>-4.7250804826606494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1"/>
        <v>21.530539585798799</v>
      </c>
      <c r="M29">
        <f t="shared" si="2"/>
        <v>7.6923076923077511</v>
      </c>
      <c r="N29">
        <f t="shared" si="3"/>
        <v>-16.568047337278244</v>
      </c>
      <c r="AB29" s="5">
        <f t="shared" si="4"/>
        <v>-4.7467337503098781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1"/>
        <v>21.502109887389032</v>
      </c>
      <c r="M30">
        <f t="shared" si="2"/>
        <v>2.9411764705882364</v>
      </c>
      <c r="N30">
        <f t="shared" si="3"/>
        <v>-6.0553633217993106</v>
      </c>
      <c r="AB30" s="5">
        <f t="shared" si="4"/>
        <v>-4.7618239960334678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1"/>
        <v>21.480126184703018</v>
      </c>
      <c r="M31">
        <f t="shared" si="2"/>
        <v>5.5555555555555092</v>
      </c>
      <c r="N31">
        <f t="shared" si="3"/>
        <v>-11.728395061728293</v>
      </c>
      <c r="AB31" s="5">
        <f t="shared" si="4"/>
        <v>-4.8024023555177999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1"/>
        <v>21.451655630506309</v>
      </c>
      <c r="M32">
        <f t="shared" si="2"/>
        <v>8.0000000000000284</v>
      </c>
      <c r="N32">
        <f t="shared" si="3"/>
        <v>-8.6400000000000325</v>
      </c>
      <c r="AB32" s="5">
        <f t="shared" si="4"/>
        <v>-4.824570751023467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1"/>
        <v>21.381780530732673</v>
      </c>
      <c r="M33">
        <f t="shared" si="2"/>
        <v>3.7037037037036975</v>
      </c>
      <c r="N33">
        <f t="shared" si="3"/>
        <v>-7.681755829903965</v>
      </c>
      <c r="AB33" s="5">
        <f t="shared" si="4"/>
        <v>-4.8561989407918364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1"/>
        <v>21.346842980845857</v>
      </c>
      <c r="M34">
        <f t="shared" si="2"/>
        <v>5.8823529411764728</v>
      </c>
      <c r="N34">
        <f t="shared" si="3"/>
        <v>-6.2283737024221475</v>
      </c>
      <c r="AB34" s="5">
        <f t="shared" si="4"/>
        <v>-4.8915198132060933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1"/>
        <v>21.27696788107222</v>
      </c>
      <c r="M35">
        <f t="shared" si="2"/>
        <v>7.8947368421052655</v>
      </c>
      <c r="N35">
        <f t="shared" si="3"/>
        <v>-5.6786703601108055</v>
      </c>
      <c r="AB35" s="5">
        <f t="shared" si="4"/>
        <v>-4.9378496243706085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1"/>
        <v>21.178531426331627</v>
      </c>
      <c r="M36">
        <f t="shared" si="2"/>
        <v>9.9999999999999911</v>
      </c>
      <c r="N36">
        <f t="shared" si="3"/>
        <v>-5.4999999999999947</v>
      </c>
      <c r="AB36" s="5">
        <f t="shared" si="4"/>
        <v>-4.9923043374115323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1"/>
        <v>21.038739139689181</v>
      </c>
      <c r="M37">
        <f t="shared" si="2"/>
        <v>7.5000000000000098</v>
      </c>
      <c r="N37">
        <f t="shared" si="3"/>
        <v>-5.3750000000000071</v>
      </c>
      <c r="AB37" s="5">
        <f t="shared" si="4"/>
        <v>-5.053021010592694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1"/>
        <v>20.933894924707335</v>
      </c>
      <c r="M38">
        <f>(D60-D38)/(F60-F38)</f>
        <v>100</v>
      </c>
      <c r="N38">
        <f t="shared" si="3"/>
        <v>-105.71428571428572</v>
      </c>
      <c r="AB38" s="5">
        <f t="shared" si="4"/>
        <v>-5.1176638668547794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1"/>
        <v>20.870284064947306</v>
      </c>
      <c r="M39">
        <f t="shared" ref="M39:M57" si="5">(D40-D39)/(F40-F39)</f>
        <v>10.526315789473687</v>
      </c>
      <c r="N39">
        <f t="shared" si="3"/>
        <v>-5.8171745152354593</v>
      </c>
      <c r="AB39" s="5">
        <f t="shared" si="4"/>
        <v>-5.1778712134721694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1"/>
        <v>20.730449665852181</v>
      </c>
      <c r="M40">
        <f t="shared" si="5"/>
        <v>12</v>
      </c>
      <c r="N40">
        <f t="shared" si="3"/>
        <v>-8.9599999999999991</v>
      </c>
      <c r="AB40" s="5">
        <f t="shared" si="4"/>
        <v>-5.2476242522325185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1"/>
        <v>20.63178919691099</v>
      </c>
      <c r="M41">
        <f t="shared" si="5"/>
        <v>8.3333333333333464</v>
      </c>
      <c r="N41">
        <f t="shared" si="3"/>
        <v>-6.0185185185185288</v>
      </c>
      <c r="AB41" s="5">
        <f t="shared" si="4"/>
        <v>-5.2963193638853641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1"/>
        <v>20.52688179421483</v>
      </c>
      <c r="M42">
        <f t="shared" si="5"/>
        <v>12.499999999999989</v>
      </c>
      <c r="N42">
        <f t="shared" si="3"/>
        <v>-7.0312499999999938</v>
      </c>
      <c r="AB42" s="5">
        <f t="shared" si="4"/>
        <v>-5.3708880593828718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1"/>
        <v>20.387005257286624</v>
      </c>
      <c r="M43">
        <f t="shared" si="5"/>
        <v>10.526315789473687</v>
      </c>
      <c r="N43">
        <f t="shared" si="3"/>
        <v>-5.8171745152354593</v>
      </c>
      <c r="AB43" s="5">
        <f t="shared" si="4"/>
        <v>-5.4421877369677389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1"/>
        <v>20.25323184883478</v>
      </c>
      <c r="M44">
        <f t="shared" si="5"/>
        <v>13.888888888888877</v>
      </c>
      <c r="N44">
        <f t="shared" si="3"/>
        <v>-6.3271604938271553</v>
      </c>
      <c r="AB44" s="5">
        <f t="shared" si="4"/>
        <v>-5.5340397000691066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1"/>
        <v>20.078333473628955</v>
      </c>
      <c r="M45">
        <f t="shared" si="5"/>
        <v>14.285714285714288</v>
      </c>
      <c r="N45">
        <f t="shared" si="3"/>
        <v>-5.4421768707483</v>
      </c>
      <c r="AB45" s="5">
        <f t="shared" si="4"/>
        <v>-5.62960307648195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1"/>
        <v>19.868455423381963</v>
      </c>
      <c r="M46">
        <f t="shared" si="5"/>
        <v>19.230769230769248</v>
      </c>
      <c r="N46">
        <f t="shared" si="3"/>
        <v>-9.1715976331361038</v>
      </c>
      <c r="AB46" s="5">
        <f t="shared" si="4"/>
        <v>-5.7540236910929474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1"/>
        <v>19.699495102464745</v>
      </c>
      <c r="M47">
        <f t="shared" si="5"/>
        <v>21.428571428571409</v>
      </c>
      <c r="N47">
        <f t="shared" si="3"/>
        <v>-17.346938775510186</v>
      </c>
      <c r="AB47" s="5">
        <f t="shared" si="4"/>
        <v>-5.8396021977987358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1"/>
        <v>19.594524435844153</v>
      </c>
      <c r="M48">
        <f t="shared" si="5"/>
        <v>19.999999999999996</v>
      </c>
      <c r="N48">
        <f t="shared" si="3"/>
        <v>-6.857142857142855</v>
      </c>
      <c r="AB48" s="5">
        <f t="shared" si="4"/>
        <v>-5.8889079587828901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1"/>
        <v>19.36126860396249</v>
      </c>
      <c r="M49">
        <f t="shared" si="5"/>
        <v>22.641509433962263</v>
      </c>
      <c r="N49">
        <f t="shared" si="3"/>
        <v>-4.6279814880740471</v>
      </c>
      <c r="AB49" s="5">
        <f t="shared" si="4"/>
        <v>-6.0239877388135419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1"/>
        <v>18.946848928457783</v>
      </c>
      <c r="M50">
        <f t="shared" si="5"/>
        <v>31.481481481481492</v>
      </c>
      <c r="N50">
        <f t="shared" si="3"/>
        <v>-4.8696844993141308</v>
      </c>
      <c r="AB50" s="5">
        <f t="shared" si="4"/>
        <v>-6.271178449910586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1"/>
        <v>18.345939870662466</v>
      </c>
      <c r="M51">
        <f t="shared" si="5"/>
        <v>42.307692307692307</v>
      </c>
      <c r="N51">
        <f t="shared" si="3"/>
        <v>-10.946745562130177</v>
      </c>
      <c r="AB51" s="5">
        <f t="shared" si="4"/>
        <v>-6.607650686531799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1"/>
        <v>17.966235675228916</v>
      </c>
      <c r="M52">
        <f t="shared" si="5"/>
        <v>59.574468085106375</v>
      </c>
      <c r="N52">
        <f t="shared" si="3"/>
        <v>-6.7904028972385682</v>
      </c>
      <c r="AB52" s="5">
        <f t="shared" si="4"/>
        <v>-6.8215775827410843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1"/>
        <v>16.985622422000048</v>
      </c>
      <c r="M53">
        <f t="shared" si="5"/>
        <v>116.66666666666679</v>
      </c>
      <c r="N53">
        <f t="shared" si="3"/>
        <v>-72.222222222222328</v>
      </c>
      <c r="AB53" s="5">
        <f t="shared" si="4"/>
        <v>-7.3857910799251369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1"/>
        <v>16.745522835216203</v>
      </c>
      <c r="M54">
        <f t="shared" si="5"/>
        <v>129.62962962962959</v>
      </c>
      <c r="N54">
        <f t="shared" si="3"/>
        <v>-17.009602194787373</v>
      </c>
      <c r="AB54" s="5">
        <f t="shared" si="4"/>
        <v>-7.487573774235079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1"/>
        <v>15.528762082294632</v>
      </c>
      <c r="M55">
        <f t="shared" si="5"/>
        <v>228.57142857142858</v>
      </c>
      <c r="N55">
        <f t="shared" si="3"/>
        <v>-46.938775510204088</v>
      </c>
      <c r="AB55" s="5">
        <f t="shared" si="4"/>
        <v>-8.145629634983754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1"/>
        <v>14.415754744163895</v>
      </c>
      <c r="M56">
        <f t="shared" si="5"/>
        <v>518.18181818181824</v>
      </c>
      <c r="N56">
        <f t="shared" si="3"/>
        <v>-112.39669421487606</v>
      </c>
      <c r="AB56" s="5">
        <f t="shared" si="4"/>
        <v>-8.8048752638680181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1"/>
        <v>12.416489487674014</v>
      </c>
      <c r="M57">
        <f t="shared" si="5"/>
        <v>2700</v>
      </c>
      <c r="N57">
        <f t="shared" si="3"/>
        <v>-1400</v>
      </c>
      <c r="AB57" s="5">
        <f t="shared" si="4"/>
        <v>-10.126631103850338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1"/>
        <v>8.6284079490616019</v>
      </c>
      <c r="AB58" s="5"/>
      <c r="AC58" s="6"/>
    </row>
    <row r="59" spans="1:29" ht="16.2" thickBot="1">
      <c r="AB59" s="5"/>
      <c r="AC59" s="8"/>
    </row>
    <row r="60" spans="1:29">
      <c r="B60" s="23" t="s">
        <v>15</v>
      </c>
      <c r="C60" s="23"/>
      <c r="D60" s="23"/>
      <c r="E60" s="23"/>
      <c r="F60" s="23"/>
      <c r="G60" s="23"/>
      <c r="AB60" s="5"/>
      <c r="AC60" s="6"/>
    </row>
    <row r="61" spans="1:29">
      <c r="B61" s="24"/>
      <c r="C61" s="24"/>
      <c r="D61" s="24"/>
      <c r="E61" s="24"/>
      <c r="F61" s="24"/>
      <c r="G61" s="24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zoomScale="75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LN(F2/1000)</f>
        <v>-4.1950492663437329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LN(F3/1000)</f>
        <v>-4.2651328832023827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-4.3125005720252716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-4.3536335601726641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-4.4270240006046171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-4.5116798429007527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-4.5611533005713172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-4.6263938224397183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-4.6907280743497379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-4.7700448291783255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-4.9008844301371361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-4.9776841939565699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-5.0498960080495587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-5.1193347110195964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11</v>
      </c>
      <c r="M16">
        <f t="shared" si="1"/>
        <v>7.6923076923076854</v>
      </c>
      <c r="N16">
        <f t="shared" si="2"/>
        <v>-4.1420118343195229</v>
      </c>
      <c r="AB16" s="5">
        <f t="shared" si="3"/>
        <v>-5.1760997338237873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-5.2726496197994592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-5.4444998767261179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12</v>
      </c>
      <c r="M19">
        <f t="shared" si="1"/>
        <v>14.851485148514854</v>
      </c>
      <c r="N19">
        <f t="shared" si="2"/>
        <v>-2.2742868346240566</v>
      </c>
      <c r="AB19" s="5">
        <f t="shared" si="3"/>
        <v>-5.6021288209297015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-5.9219384844593721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-5.9874725258384442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13</v>
      </c>
      <c r="M22">
        <f t="shared" si="1"/>
        <v>34.210526315789487</v>
      </c>
      <c r="N22">
        <f t="shared" si="2"/>
        <v>-7.0637119113573448</v>
      </c>
      <c r="AB22" s="5">
        <f t="shared" si="3"/>
        <v>-6.4191752641634663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14</v>
      </c>
      <c r="M23">
        <f t="shared" si="1"/>
        <v>43.589743589743591</v>
      </c>
      <c r="N23">
        <f t="shared" si="2"/>
        <v>-7.363576594345826</v>
      </c>
      <c r="AB23" s="5">
        <f t="shared" si="3"/>
        <v>-6.6846117276679271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-7.0585781687167204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-7.5239414184059541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-7.9865649403540671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-8.4218830116119126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-8.8048752638680181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-9.2103403719761818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-10.41431317630212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-11.512925464970229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23" t="s">
        <v>15</v>
      </c>
      <c r="C34" s="23"/>
      <c r="D34" s="23"/>
      <c r="E34" s="23"/>
      <c r="F34" s="23"/>
      <c r="G34" s="23"/>
    </row>
    <row r="35" spans="2:7">
      <c r="B35" s="24"/>
      <c r="C35" s="24"/>
      <c r="D35" s="24"/>
      <c r="E35" s="24"/>
      <c r="F35" s="24"/>
      <c r="G35" s="24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zoomScale="70" zoomScaleNormal="40" workbookViewId="0">
      <selection activeCell="I28" sqref="I28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11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12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13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14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6.2" thickBot="1"/>
    <row r="57" spans="9:14">
      <c r="I57" s="23" t="s">
        <v>15</v>
      </c>
      <c r="J57" s="23"/>
      <c r="K57" s="23"/>
      <c r="L57" s="23"/>
      <c r="M57" s="23"/>
      <c r="N57" s="23"/>
    </row>
    <row r="58" spans="9:14">
      <c r="I58" s="24"/>
      <c r="J58" s="24"/>
      <c r="K58" s="24"/>
      <c r="L58" s="24"/>
      <c r="M58" s="24"/>
      <c r="N58" s="24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tabSelected="1" topLeftCell="A27" zoomScale="58" zoomScaleNormal="40" workbookViewId="0">
      <selection activeCell="G37" sqref="G37:G38"/>
    </sheetView>
  </sheetViews>
  <sheetFormatPr defaultColWidth="11.19921875" defaultRowHeight="15.6"/>
  <cols>
    <col min="1" max="4" width="11.19921875" customWidth="1"/>
    <col min="6" max="6" width="11.296875" bestFit="1" customWidth="1"/>
    <col min="7" max="7" width="17.19921875" bestFit="1" customWidth="1"/>
    <col min="8" max="8" width="11.296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EXP(-22.145)*(EXP(I2)-1)*1000</f>
        <v>16.668137449897625</v>
      </c>
      <c r="M2">
        <f>(D3-D2)/(F3-F2)</f>
        <v>1.31578947368421</v>
      </c>
      <c r="N2">
        <f t="shared" ref="N2:N20" si="0">M2*(2*E3/(D3-D2)+2*G3/(F3-F2))</f>
        <v>0</v>
      </c>
      <c r="AB2" s="5">
        <f>LN(F2/1000)</f>
        <v>-4.0983525836196391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EXP(-22.145)*(EXP(I3)-1)*1000</f>
        <v>15.462099594289572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LN(F3/1000)</f>
        <v>-4.2460981174496375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13.642819132375985</v>
      </c>
      <c r="M4">
        <f t="shared" si="4"/>
        <v>3.664921465968586</v>
      </c>
      <c r="N4">
        <f t="shared" si="0"/>
        <v>0</v>
      </c>
      <c r="AB4" s="5">
        <f t="shared" si="5"/>
        <v>-4.3653661937807744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11.449698183593043</v>
      </c>
      <c r="M5">
        <f t="shared" si="4"/>
        <v>3.1578947368421018</v>
      </c>
      <c r="N5">
        <f t="shared" si="0"/>
        <v>0</v>
      </c>
      <c r="AB5" s="5">
        <f t="shared" si="5"/>
        <v>-4.5282091448519628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10.621245119936939</v>
      </c>
      <c r="M6">
        <f t="shared" si="4"/>
        <v>6.2499999999999947</v>
      </c>
      <c r="N6">
        <f t="shared" si="0"/>
        <v>0</v>
      </c>
      <c r="AB6" s="5">
        <f t="shared" si="5"/>
        <v>-4.6202838237981396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9.8527355109651324</v>
      </c>
      <c r="M7">
        <f t="shared" si="4"/>
        <v>6.0606060606060757</v>
      </c>
      <c r="N7">
        <f t="shared" si="0"/>
        <v>0</v>
      </c>
      <c r="AB7" s="5">
        <f t="shared" si="5"/>
        <v>-4.6702421827318066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8.9138505509789177</v>
      </c>
      <c r="M8">
        <f t="shared" si="4"/>
        <v>0</v>
      </c>
      <c r="N8" t="e">
        <f t="shared" si="0"/>
        <v>#DIV/0!</v>
      </c>
      <c r="AB8" s="5">
        <f t="shared" si="5"/>
        <v>-4.7432834881177257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8.9138505509789177</v>
      </c>
      <c r="M9">
        <f t="shared" si="4"/>
        <v>5.7777777777777777</v>
      </c>
      <c r="N9">
        <f t="shared" si="0"/>
        <v>0</v>
      </c>
      <c r="AB9" s="5">
        <f t="shared" si="5"/>
        <v>-4.7594875463724486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6.4375119756330212</v>
      </c>
      <c r="M10">
        <f t="shared" si="4"/>
        <v>12.499999999999989</v>
      </c>
      <c r="N10">
        <f t="shared" si="0"/>
        <v>0</v>
      </c>
      <c r="AB10" s="5">
        <f t="shared" si="5"/>
        <v>-5.0640360708233709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6.2783450569582184</v>
      </c>
      <c r="M11">
        <f t="shared" si="4"/>
        <v>7.9646017699115053</v>
      </c>
      <c r="N11">
        <f t="shared" si="0"/>
        <v>0</v>
      </c>
      <c r="AB11" s="5">
        <f t="shared" si="5"/>
        <v>-5.0767750966008007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5.0117495223846964</v>
      </c>
      <c r="M12">
        <f t="shared" si="4"/>
        <v>11.111111111111107</v>
      </c>
      <c r="N12">
        <f t="shared" si="0"/>
        <v>0</v>
      </c>
      <c r="AB12" s="5">
        <f t="shared" si="5"/>
        <v>-5.2765558747665242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3.9242390926291288</v>
      </c>
      <c r="M13">
        <f t="shared" si="4"/>
        <v>8.9743589743589762</v>
      </c>
      <c r="N13">
        <f t="shared" si="0"/>
        <v>0</v>
      </c>
      <c r="AB13" s="5">
        <f t="shared" si="5"/>
        <v>-5.4702926312878466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3.2932070246192433</v>
      </c>
      <c r="M14">
        <f t="shared" si="4"/>
        <v>15.094339622641508</v>
      </c>
      <c r="N14">
        <f t="shared" si="0"/>
        <v>0</v>
      </c>
      <c r="AB14" s="5">
        <f t="shared" si="5"/>
        <v>-5.6751950178042883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2.2059360135450135</v>
      </c>
      <c r="M15">
        <f t="shared" si="4"/>
        <v>23.364485981308409</v>
      </c>
      <c r="N15">
        <f t="shared" si="0"/>
        <v>0</v>
      </c>
      <c r="AB15" s="5">
        <f t="shared" si="5"/>
        <v>-6.0448653238350971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1.1794433285585841</v>
      </c>
      <c r="M16">
        <f t="shared" si="4"/>
        <v>39.473684210526315</v>
      </c>
      <c r="N16">
        <f t="shared" si="0"/>
        <v>0</v>
      </c>
      <c r="AB16" s="5">
        <f t="shared" si="5"/>
        <v>-6.6453910145146464</v>
      </c>
      <c r="AC16" s="6"/>
    </row>
    <row r="17" spans="1:29" ht="16.2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0.81007935231754813</v>
      </c>
      <c r="M17">
        <f t="shared" si="4"/>
        <v>55.555555555555507</v>
      </c>
      <c r="N17">
        <f t="shared" si="0"/>
        <v>0</v>
      </c>
      <c r="AB17" s="5">
        <f t="shared" si="5"/>
        <v>-6.9911368879211881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0.71473390985986318</v>
      </c>
      <c r="M18">
        <f t="shared" si="4"/>
        <v>97.014925373134332</v>
      </c>
      <c r="N18">
        <f t="shared" si="0"/>
        <v>0</v>
      </c>
      <c r="AB18" s="5">
        <f t="shared" si="5"/>
        <v>-7.0940848571736304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0.14033394351902589</v>
      </c>
      <c r="M19">
        <f t="shared" si="4"/>
        <v>633.33333333333337</v>
      </c>
      <c r="N19">
        <f t="shared" si="0"/>
        <v>0</v>
      </c>
      <c r="AB19" s="5">
        <f t="shared" si="5"/>
        <v>-8.740336742730447</v>
      </c>
      <c r="AC19" s="8"/>
    </row>
    <row r="20" spans="1:29" ht="16.2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1.2997966300403596E-2</v>
      </c>
      <c r="M20">
        <f t="shared" si="4"/>
        <v>16700</v>
      </c>
      <c r="N20">
        <f t="shared" si="0"/>
        <v>0</v>
      </c>
      <c r="AB20" s="5">
        <f t="shared" si="5"/>
        <v>-11.512925464970229</v>
      </c>
      <c r="AC20" s="6"/>
    </row>
    <row r="21" spans="1:2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1.9813326740246377E-4</v>
      </c>
    </row>
    <row r="22" spans="1:29" ht="16.2" thickBot="1"/>
    <row r="23" spans="1:29">
      <c r="B23" s="23" t="s">
        <v>15</v>
      </c>
      <c r="C23" s="23"/>
      <c r="D23" s="23"/>
      <c r="E23" s="23"/>
      <c r="F23" s="23"/>
      <c r="G23" s="23"/>
    </row>
    <row r="24" spans="1:29">
      <c r="B24" s="24"/>
      <c r="C24" s="24"/>
      <c r="D24" s="24"/>
      <c r="E24" s="24"/>
      <c r="F24" s="24"/>
      <c r="G24" s="24"/>
    </row>
    <row r="27" spans="1:29">
      <c r="K27" t="s">
        <v>23</v>
      </c>
    </row>
    <row r="37" spans="7:7">
      <c r="G37" t="s">
        <v>11</v>
      </c>
    </row>
    <row r="38" spans="7:7" ht="17.399999999999999">
      <c r="G38" s="9">
        <f>1.602176634*10^(-19)</f>
        <v>1.6021766340000001E-19</v>
      </c>
    </row>
    <row r="40" spans="7:7">
      <c r="G40" t="s">
        <v>12</v>
      </c>
    </row>
    <row r="41" spans="7:7" ht="16.8">
      <c r="G41" s="11">
        <f>1.3806503*10^(-23)</f>
        <v>1.3806503000000004E-23</v>
      </c>
    </row>
    <row r="42" spans="7:7" ht="17.399999999999999">
      <c r="G42" s="10"/>
    </row>
    <row r="43" spans="7:7" ht="20.399999999999999">
      <c r="G43" s="14" t="s">
        <v>13</v>
      </c>
    </row>
    <row r="44" spans="7:7">
      <c r="G44" t="s">
        <v>14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50"/>
  <sheetViews>
    <sheetView zoomScale="75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6" max="6" width="11.296875" bestFit="1" customWidth="1"/>
    <col min="8" max="8" width="16.69921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18</v>
      </c>
      <c r="J1" s="17" t="s">
        <v>19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EXP(-23.598)*(EXP(I2)-1)*10^3</f>
        <v>15.777112696434461</v>
      </c>
      <c r="M2">
        <f>(D3-D2)/(F3-F2)</f>
        <v>3.0769230769230793</v>
      </c>
      <c r="N2">
        <f t="shared" ref="N2:N30" si="1">M2*(2*E3/(D3-D2)+2*G3/(F3-F2))</f>
        <v>0</v>
      </c>
      <c r="AB2" s="5">
        <f>LN(F2/1000)</f>
        <v>-4.2138040022594287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EXP(-23.598)*(EXP(I3)-1)*10^3</f>
        <v>14.319950831913154</v>
      </c>
      <c r="M3">
        <f t="shared" ref="M3:M30" si="4">(D4-D3)/(F4-F3)</f>
        <v>3.0927835051546371</v>
      </c>
      <c r="N3">
        <f t="shared" si="1"/>
        <v>0</v>
      </c>
      <c r="AB3" s="5">
        <f t="shared" ref="AB3:AB30" si="5">LN(F3/1000)</f>
        <v>-4.3058066087624729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13.245023262962146</v>
      </c>
      <c r="M4">
        <f t="shared" si="4"/>
        <v>2.3809523809523814</v>
      </c>
      <c r="N4">
        <f t="shared" si="1"/>
        <v>0</v>
      </c>
      <c r="AB4" s="5">
        <f t="shared" si="5"/>
        <v>-4.3804279133101849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12.573615951792021</v>
      </c>
      <c r="M5">
        <f t="shared" si="4"/>
        <v>3.7735849056603756</v>
      </c>
      <c r="N5">
        <f t="shared" si="1"/>
        <v>0</v>
      </c>
      <c r="AB5" s="5">
        <f t="shared" si="5"/>
        <v>-4.4498773015820561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11.331179583736253</v>
      </c>
      <c r="M6">
        <f t="shared" si="4"/>
        <v>4.1322314049586808</v>
      </c>
      <c r="N6">
        <f t="shared" si="1"/>
        <v>0</v>
      </c>
      <c r="AB6" s="5">
        <f t="shared" si="5"/>
        <v>-4.5450162631683444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9.949328878183259</v>
      </c>
      <c r="M7">
        <f t="shared" si="4"/>
        <v>4.5454545454545441</v>
      </c>
      <c r="N7">
        <f t="shared" si="1"/>
        <v>0</v>
      </c>
      <c r="AB7" s="5">
        <f t="shared" si="5"/>
        <v>-4.6659823253848485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9.2024821852183809</v>
      </c>
      <c r="M8">
        <f t="shared" si="4"/>
        <v>5.4794520547945176</v>
      </c>
      <c r="N8">
        <f t="shared" si="1"/>
        <v>0</v>
      </c>
      <c r="AB8" s="5">
        <f t="shared" si="5"/>
        <v>-4.7387015786126137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8.293157564048526</v>
      </c>
      <c r="M9">
        <f t="shared" si="4"/>
        <v>5.7142857142857197</v>
      </c>
      <c r="N9">
        <f t="shared" si="1"/>
        <v>0</v>
      </c>
      <c r="AB9" s="5">
        <f t="shared" si="5"/>
        <v>-4.8258168571037139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7.4736860113174357</v>
      </c>
      <c r="M10">
        <f t="shared" si="4"/>
        <v>5.9701492537313436</v>
      </c>
      <c r="N10">
        <f t="shared" si="1"/>
        <v>0</v>
      </c>
      <c r="AB10" s="5">
        <f t="shared" si="5"/>
        <v>-4.9171449510089165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6.0696648418569064</v>
      </c>
      <c r="M11">
        <f t="shared" si="4"/>
        <v>7.1428571428571397</v>
      </c>
      <c r="N11">
        <f t="shared" si="1"/>
        <v>0</v>
      </c>
      <c r="AB11" s="5">
        <f t="shared" si="5"/>
        <v>-5.1193347110195964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5.0593047505363753</v>
      </c>
      <c r="M12">
        <f t="shared" si="4"/>
        <v>8.6956521739130448</v>
      </c>
      <c r="N12">
        <f t="shared" si="1"/>
        <v>0</v>
      </c>
      <c r="AB12" s="5">
        <f t="shared" si="5"/>
        <v>-5.2983173665480363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4.5593798057038573</v>
      </c>
      <c r="M13">
        <f t="shared" si="4"/>
        <v>9.3749999999999911</v>
      </c>
      <c r="N13">
        <f t="shared" si="1"/>
        <v>0</v>
      </c>
      <c r="AB13" s="5">
        <f t="shared" si="5"/>
        <v>-5.3948282669288803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4.2171298113189124</v>
      </c>
      <c r="M14">
        <f t="shared" si="4"/>
        <v>9.9999999999999911</v>
      </c>
      <c r="N14">
        <f t="shared" si="1"/>
        <v>0</v>
      </c>
      <c r="AB14" s="5">
        <f t="shared" si="5"/>
        <v>-5.4679201509342166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4.003358060444322</v>
      </c>
      <c r="M15">
        <f t="shared" si="4"/>
        <v>11.538461538461547</v>
      </c>
      <c r="N15">
        <f t="shared" si="1"/>
        <v>0</v>
      </c>
      <c r="AB15" s="5">
        <f t="shared" si="5"/>
        <v>-5.5164733763512075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3.4248916098461128</v>
      </c>
      <c r="M16">
        <f t="shared" si="4"/>
        <v>11.428571428571425</v>
      </c>
      <c r="N16">
        <f t="shared" si="1"/>
        <v>0</v>
      </c>
      <c r="AB16" s="5">
        <f t="shared" si="5"/>
        <v>-5.6549923104867688</v>
      </c>
      <c r="AC16" s="6"/>
    </row>
    <row r="17" spans="1:29" ht="16.2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3.0864678851155976</v>
      </c>
      <c r="M17">
        <f t="shared" si="4"/>
        <v>13.043478260869566</v>
      </c>
      <c r="N17">
        <f t="shared" si="1"/>
        <v>0</v>
      </c>
      <c r="AB17" s="5">
        <f t="shared" si="5"/>
        <v>-5.7603528261445955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2.6404877597039884</v>
      </c>
      <c r="M18">
        <f t="shared" si="4"/>
        <v>18.181818181818176</v>
      </c>
      <c r="N18">
        <f t="shared" si="1"/>
        <v>0</v>
      </c>
      <c r="AB18" s="5">
        <f t="shared" si="5"/>
        <v>-5.9182140853683896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2.2589496683678991</v>
      </c>
      <c r="M19">
        <f t="shared" si="4"/>
        <v>20</v>
      </c>
      <c r="N19">
        <f t="shared" si="1"/>
        <v>0</v>
      </c>
      <c r="AB19" s="5">
        <f t="shared" si="5"/>
        <v>-6.0490936599446181</v>
      </c>
      <c r="AC19" s="8"/>
    </row>
    <row r="20" spans="1:29" ht="16.2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1.9834680883250841</v>
      </c>
      <c r="M20">
        <f t="shared" si="4"/>
        <v>20.689655172413808</v>
      </c>
      <c r="N20">
        <f t="shared" si="1"/>
        <v>0</v>
      </c>
      <c r="AB20" s="5">
        <f t="shared" si="5"/>
        <v>-6.161067331494162</v>
      </c>
      <c r="AC20" s="6"/>
    </row>
    <row r="21" spans="1:29" ht="16.2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1.6968662545457855</v>
      </c>
      <c r="M21">
        <f t="shared" si="4"/>
        <v>24.137931034482754</v>
      </c>
      <c r="N21">
        <f t="shared" si="1"/>
        <v>0</v>
      </c>
      <c r="AB21" s="5">
        <f t="shared" si="5"/>
        <v>-6.3089187778934335</v>
      </c>
      <c r="AC21" s="8"/>
    </row>
    <row r="22" spans="1:29" ht="16.2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1.4144048617593452</v>
      </c>
      <c r="M22">
        <f t="shared" si="4"/>
        <v>31.578947368421044</v>
      </c>
      <c r="N22">
        <f t="shared" si="1"/>
        <v>0</v>
      </c>
      <c r="AB22" s="5">
        <f t="shared" si="5"/>
        <v>-6.4824875435777924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1.0351863317675472</v>
      </c>
      <c r="M23">
        <f t="shared" si="4"/>
        <v>38.709677419354847</v>
      </c>
      <c r="N23">
        <f t="shared" si="1"/>
        <v>0</v>
      </c>
      <c r="AB23" s="5">
        <f t="shared" si="5"/>
        <v>-6.7679933366069784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0.75764073265972764</v>
      </c>
      <c r="M24">
        <f t="shared" si="4"/>
        <v>61.764705882352949</v>
      </c>
      <c r="N24">
        <f t="shared" si="1"/>
        <v>0</v>
      </c>
      <c r="AB24" s="5">
        <f t="shared" si="5"/>
        <v>-7.0821086661269153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0.43877480618025211</v>
      </c>
      <c r="M25">
        <f t="shared" si="4"/>
        <v>104.34782608695653</v>
      </c>
      <c r="N25">
        <f t="shared" si="1"/>
        <v>0</v>
      </c>
      <c r="AB25" s="5">
        <f t="shared" si="5"/>
        <v>-7.6009024595420822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0.23503428830758644</v>
      </c>
      <c r="M26">
        <f t="shared" si="4"/>
        <v>183.33333333333329</v>
      </c>
      <c r="N26">
        <f t="shared" si="1"/>
        <v>0</v>
      </c>
      <c r="AB26" s="5">
        <f t="shared" si="5"/>
        <v>-8.2170885989658995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0.13262129615978224</v>
      </c>
      <c r="M27">
        <f t="shared" si="4"/>
        <v>314.28571428571433</v>
      </c>
      <c r="N27">
        <f t="shared" si="1"/>
        <v>0</v>
      </c>
      <c r="AB27" s="5">
        <f t="shared" si="5"/>
        <v>-8.8048752638680181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7.4447422576405561E-2</v>
      </c>
      <c r="M28">
        <f t="shared" si="4"/>
        <v>620</v>
      </c>
      <c r="N28">
        <f t="shared" si="1"/>
        <v>0</v>
      </c>
      <c r="AB28" s="5">
        <f t="shared" si="5"/>
        <v>-9.4334839232903924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3.325013527208686E-2</v>
      </c>
      <c r="M29">
        <f t="shared" si="4"/>
        <v>1650.0000000000002</v>
      </c>
      <c r="N29">
        <f t="shared" si="1"/>
        <v>0</v>
      </c>
      <c r="AB29" s="5">
        <f t="shared" si="5"/>
        <v>-10.41431317630212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1.4097831804468006E-2</v>
      </c>
      <c r="M30">
        <f t="shared" si="4"/>
        <v>2900</v>
      </c>
      <c r="N30">
        <f t="shared" si="1"/>
        <v>0</v>
      </c>
      <c r="AB30" s="5">
        <f t="shared" si="5"/>
        <v>-11.512925464970229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6.6325231377546354E-3</v>
      </c>
    </row>
    <row r="32" spans="1:29" ht="16.2" thickBot="1"/>
    <row r="33" spans="2:8">
      <c r="B33" s="23" t="s">
        <v>15</v>
      </c>
      <c r="C33" s="23"/>
      <c r="D33" s="23"/>
      <c r="E33" s="23"/>
      <c r="F33" s="23"/>
      <c r="G33" s="23"/>
    </row>
    <row r="34" spans="2:8">
      <c r="B34" s="24"/>
      <c r="C34" s="24"/>
      <c r="D34" s="24"/>
      <c r="E34" s="24"/>
      <c r="F34" s="24"/>
      <c r="G34" s="24"/>
    </row>
    <row r="43" spans="2:8">
      <c r="H43" t="s">
        <v>11</v>
      </c>
    </row>
    <row r="44" spans="2:8" ht="17.399999999999999">
      <c r="H44" s="9">
        <f>1.602176634*10^(-19)</f>
        <v>1.6021766340000001E-19</v>
      </c>
    </row>
    <row r="46" spans="2:8">
      <c r="H46" t="s">
        <v>12</v>
      </c>
    </row>
    <row r="47" spans="2:8" ht="16.8">
      <c r="H47" s="11">
        <f>1.3806503*10^(-23)</f>
        <v>1.3806503000000004E-23</v>
      </c>
    </row>
    <row r="48" spans="2:8" ht="17.399999999999999">
      <c r="H48" s="10"/>
    </row>
    <row r="49" spans="8:8" ht="20.399999999999999">
      <c r="H49" s="14" t="s">
        <v>13</v>
      </c>
    </row>
    <row r="50" spans="8:8">
      <c r="H50" t="s">
        <v>14</v>
      </c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zoomScale="61" zoomScaleNormal="50" workbookViewId="0">
      <selection activeCell="B5" sqref="B5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f>77.2-273.15</f>
        <v>-195.95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$J$17*D2/($J$20*(273.15+B2))/1000</f>
        <v>159.78745010603305</v>
      </c>
      <c r="M2">
        <f>(D3-D2)/(F3-F2)</f>
        <v>1.2499999999999998</v>
      </c>
      <c r="N2">
        <f t="shared" ref="N2:N19" si="0">M2*(2*E3/(D3-D2)+2*G3/(F3-F2))</f>
        <v>-0.84374999999999978</v>
      </c>
      <c r="AB2" s="5">
        <f>LN(F2/1000)</f>
        <v>-4.2233149435190604</v>
      </c>
      <c r="AC2" s="6"/>
    </row>
    <row r="3" spans="1:29" ht="16.2" thickBot="1">
      <c r="A3" s="7">
        <v>1</v>
      </c>
      <c r="B3" s="12">
        <f t="shared" ref="B3:B20" si="1">77.2-273.15</f>
        <v>-195.95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0" si="2">$J$17*D3/($J$20*(273.15+B3))/1000</f>
        <v>159.33649775389938</v>
      </c>
      <c r="M3">
        <f t="shared" ref="M3:M19" si="3">(D4-D3)/(F4-F3)</f>
        <v>1.4354066985645935</v>
      </c>
      <c r="N3">
        <f t="shared" si="0"/>
        <v>-0.97067374831162301</v>
      </c>
      <c r="AB3" s="5">
        <f t="shared" ref="AB3:AB19" si="4">LN(F3/1000)</f>
        <v>-4.4022293419914007</v>
      </c>
      <c r="AC3" s="8"/>
    </row>
    <row r="4" spans="1:29" ht="16.2" thickBot="1">
      <c r="A4" s="5">
        <v>2</v>
      </c>
      <c r="B4" s="12">
        <f t="shared" si="1"/>
        <v>-195.95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2"/>
        <v>158.88554540176568</v>
      </c>
      <c r="M4">
        <f t="shared" si="3"/>
        <v>1.379310344827587</v>
      </c>
      <c r="N4">
        <f t="shared" si="0"/>
        <v>-1.3983353151010709</v>
      </c>
      <c r="AB4" s="5">
        <f t="shared" si="4"/>
        <v>-4.5892968368318012</v>
      </c>
      <c r="AC4" s="6"/>
    </row>
    <row r="5" spans="1:29" ht="16.2" thickBot="1">
      <c r="A5" s="7">
        <v>3</v>
      </c>
      <c r="B5" s="12">
        <f t="shared" si="1"/>
        <v>-195.95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2"/>
        <v>158.58491050034323</v>
      </c>
      <c r="M5">
        <f t="shared" si="3"/>
        <v>1.481481481481481</v>
      </c>
      <c r="N5">
        <f t="shared" si="0"/>
        <v>-1.5034293552812066</v>
      </c>
      <c r="AB5" s="5">
        <f t="shared" si="4"/>
        <v>-4.7432834881177257</v>
      </c>
      <c r="AC5" s="8"/>
    </row>
    <row r="6" spans="1:29" ht="16.2" thickBot="1">
      <c r="A6" s="5">
        <v>4</v>
      </c>
      <c r="B6" s="12">
        <f t="shared" si="1"/>
        <v>-195.95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2"/>
        <v>158.28427559892077</v>
      </c>
      <c r="M6">
        <f t="shared" si="3"/>
        <v>1.4705882352941164</v>
      </c>
      <c r="N6">
        <f t="shared" si="0"/>
        <v>-2.9844290657439418</v>
      </c>
      <c r="AB6" s="5">
        <f t="shared" si="4"/>
        <v>-4.911695346241352</v>
      </c>
      <c r="AC6" s="6"/>
    </row>
    <row r="7" spans="1:29" ht="16.2" thickBot="1">
      <c r="A7" s="7">
        <v>5</v>
      </c>
      <c r="B7" s="12">
        <f t="shared" si="1"/>
        <v>-195.95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2"/>
        <v>158.13395814820956</v>
      </c>
      <c r="M7">
        <f t="shared" si="3"/>
        <v>2.542372881355933</v>
      </c>
      <c r="N7">
        <f t="shared" si="0"/>
        <v>-1.7380063200229823</v>
      </c>
      <c r="AB7" s="5">
        <f t="shared" si="4"/>
        <v>-5.0086372914335824</v>
      </c>
      <c r="AC7" s="8"/>
    </row>
    <row r="8" spans="1:29" ht="16.2" thickBot="1">
      <c r="A8" s="5">
        <v>6</v>
      </c>
      <c r="B8" s="12">
        <f t="shared" si="1"/>
        <v>-195.95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2"/>
        <v>157.68300579607589</v>
      </c>
      <c r="M8">
        <f t="shared" si="3"/>
        <v>2.1978021978021975</v>
      </c>
      <c r="N8">
        <f t="shared" si="0"/>
        <v>-2.2461055428088392</v>
      </c>
      <c r="AB8" s="5">
        <f t="shared" si="4"/>
        <v>-5.2030071867437115</v>
      </c>
      <c r="AC8" s="6"/>
    </row>
    <row r="9" spans="1:29" ht="16.2" thickBot="1">
      <c r="A9" s="7">
        <v>7</v>
      </c>
      <c r="B9" s="12">
        <f t="shared" si="1"/>
        <v>-195.95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2"/>
        <v>157.38237089465341</v>
      </c>
      <c r="M9">
        <f t="shared" si="3"/>
        <v>3.7383177570093462</v>
      </c>
      <c r="N9">
        <f t="shared" si="0"/>
        <v>-1.9390339767665301</v>
      </c>
      <c r="AB9" s="5">
        <f t="shared" si="4"/>
        <v>-5.3838752549096833</v>
      </c>
      <c r="AC9" s="8"/>
    </row>
    <row r="10" spans="1:29" ht="16.2" thickBot="1">
      <c r="A10" s="5">
        <v>8</v>
      </c>
      <c r="B10" s="12">
        <f t="shared" si="1"/>
        <v>-195.95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2"/>
        <v>156.78110109180852</v>
      </c>
      <c r="M10">
        <f t="shared" si="3"/>
        <v>3.1746031746031753</v>
      </c>
      <c r="N10">
        <f t="shared" si="0"/>
        <v>-3.2753842277651812</v>
      </c>
      <c r="AB10" s="5">
        <f t="shared" si="4"/>
        <v>-5.649294289372131</v>
      </c>
      <c r="AC10" s="6"/>
    </row>
    <row r="11" spans="1:29" ht="16.2" thickBot="1">
      <c r="A11" s="7">
        <v>9</v>
      </c>
      <c r="B11" s="12">
        <f t="shared" si="1"/>
        <v>-195.95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2"/>
        <v>156.48046619038607</v>
      </c>
      <c r="M11">
        <f t="shared" si="3"/>
        <v>4.4444444444444429</v>
      </c>
      <c r="N11">
        <f t="shared" si="0"/>
        <v>-4.6419753086419737</v>
      </c>
      <c r="AB11" s="5">
        <f t="shared" si="4"/>
        <v>-5.8464987768577963</v>
      </c>
      <c r="AC11" s="8"/>
    </row>
    <row r="12" spans="1:29" ht="16.2" thickBot="1">
      <c r="A12" s="5">
        <v>10</v>
      </c>
      <c r="B12" s="12">
        <f t="shared" si="1"/>
        <v>-195.95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2"/>
        <v>156.17983128896361</v>
      </c>
      <c r="M12">
        <f t="shared" si="3"/>
        <v>6.9767441860465089</v>
      </c>
      <c r="N12">
        <f t="shared" si="0"/>
        <v>-4.9756625202812303</v>
      </c>
      <c r="AB12" s="5">
        <f t="shared" si="4"/>
        <v>-6.0157572396770265</v>
      </c>
      <c r="AC12" s="6"/>
    </row>
    <row r="13" spans="1:29" ht="16.2" thickBot="1">
      <c r="A13" s="7">
        <v>11</v>
      </c>
      <c r="B13" s="12">
        <f t="shared" si="1"/>
        <v>-195.95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2"/>
        <v>155.72887893682994</v>
      </c>
      <c r="M13">
        <f t="shared" si="3"/>
        <v>6.3829787234042588</v>
      </c>
      <c r="N13">
        <f t="shared" si="0"/>
        <v>-4.526935264825716</v>
      </c>
      <c r="AB13" s="5">
        <f t="shared" si="4"/>
        <v>-6.2096205569111529</v>
      </c>
      <c r="AC13" s="8"/>
    </row>
    <row r="14" spans="1:29" ht="16.2" thickBot="1">
      <c r="A14" s="5">
        <v>12</v>
      </c>
      <c r="B14" s="12">
        <f t="shared" si="1"/>
        <v>-195.95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2"/>
        <v>155.27792658469625</v>
      </c>
      <c r="M14">
        <f t="shared" si="3"/>
        <v>11.39240506329114</v>
      </c>
      <c r="N14">
        <f t="shared" si="0"/>
        <v>-2.8200608876782565</v>
      </c>
      <c r="AB14" s="5">
        <f t="shared" si="4"/>
        <v>-6.4759728625565991</v>
      </c>
      <c r="AC14" s="6"/>
    </row>
    <row r="15" spans="1:29" ht="16.2" thickBot="1">
      <c r="A15" s="7">
        <v>13</v>
      </c>
      <c r="B15" s="12">
        <f t="shared" si="1"/>
        <v>-195.95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2"/>
        <v>153.92506952829521</v>
      </c>
      <c r="M15">
        <f t="shared" si="3"/>
        <v>19.35483870967742</v>
      </c>
      <c r="N15">
        <f t="shared" si="0"/>
        <v>-7.7003121748178982</v>
      </c>
      <c r="AB15" s="5">
        <f t="shared" si="4"/>
        <v>-7.1954373514339176</v>
      </c>
      <c r="AC15" s="8"/>
    </row>
    <row r="16" spans="1:29" ht="16.2" thickBot="1">
      <c r="A16" s="5">
        <v>14</v>
      </c>
      <c r="B16" s="12">
        <f t="shared" si="1"/>
        <v>-195.95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2"/>
        <v>153.0231648240279</v>
      </c>
      <c r="J16" t="s">
        <v>11</v>
      </c>
      <c r="M16">
        <f t="shared" si="3"/>
        <v>29.411764705882355</v>
      </c>
      <c r="N16">
        <f t="shared" si="0"/>
        <v>-15.224913494809691</v>
      </c>
      <c r="AB16" s="5">
        <f t="shared" si="4"/>
        <v>-7.7287358310519672</v>
      </c>
      <c r="AC16" s="6"/>
    </row>
    <row r="17" spans="1:29" ht="18" thickBot="1">
      <c r="A17" s="7">
        <v>15</v>
      </c>
      <c r="B17" s="12">
        <f t="shared" si="1"/>
        <v>-195.95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2"/>
        <v>152.27157757047175</v>
      </c>
      <c r="J17" s="9">
        <f>1.602176634*10^(-19)</f>
        <v>1.6021766340000001E-19</v>
      </c>
      <c r="M17">
        <f t="shared" si="3"/>
        <v>86.363636363636346</v>
      </c>
      <c r="N17">
        <f t="shared" si="0"/>
        <v>-16.942148760330571</v>
      </c>
      <c r="AB17" s="5">
        <f t="shared" si="4"/>
        <v>-8.2170885989658995</v>
      </c>
      <c r="AC17" s="8"/>
    </row>
    <row r="18" spans="1:29" ht="16.2" thickBot="1">
      <c r="A18" s="5">
        <v>16</v>
      </c>
      <c r="B18" s="12">
        <f t="shared" si="1"/>
        <v>-195.95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2"/>
        <v>149.41554600695846</v>
      </c>
      <c r="M18">
        <f t="shared" si="3"/>
        <v>450</v>
      </c>
      <c r="N18">
        <f t="shared" si="0"/>
        <v>-275</v>
      </c>
      <c r="AB18" s="5">
        <f t="shared" si="4"/>
        <v>-9.9034875525361272</v>
      </c>
      <c r="AC18" s="6"/>
    </row>
    <row r="19" spans="1:29" ht="16.2" thickBot="1">
      <c r="A19" s="7">
        <v>17</v>
      </c>
      <c r="B19" s="12">
        <f t="shared" si="1"/>
        <v>-195.95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2"/>
        <v>146.70983189415637</v>
      </c>
      <c r="J19" t="s">
        <v>12</v>
      </c>
      <c r="M19">
        <f t="shared" si="3"/>
        <v>1400</v>
      </c>
      <c r="N19">
        <f t="shared" si="0"/>
        <v>-3000</v>
      </c>
      <c r="AB19" s="5">
        <f t="shared" si="4"/>
        <v>-11.512925464970229</v>
      </c>
      <c r="AC19" s="8"/>
    </row>
    <row r="20" spans="1:29" ht="17.399999999999999" thickBot="1">
      <c r="A20" s="5">
        <v>18</v>
      </c>
      <c r="B20" s="12">
        <f t="shared" si="1"/>
        <v>-195.95</v>
      </c>
      <c r="C20" s="15">
        <v>0.1</v>
      </c>
      <c r="D20" s="15">
        <v>962</v>
      </c>
      <c r="E20" s="15">
        <v>1</v>
      </c>
      <c r="F20" s="15">
        <v>0</v>
      </c>
      <c r="G20" s="15">
        <v>0.01</v>
      </c>
      <c r="H20" s="6">
        <f t="shared" si="2"/>
        <v>144.60538758419924</v>
      </c>
      <c r="J20" s="11">
        <f>1.3806503*10^(-23)</f>
        <v>1.3806503000000004E-23</v>
      </c>
      <c r="AB20" s="5"/>
    </row>
    <row r="21" spans="1:29" ht="17.399999999999999">
      <c r="J21" s="10"/>
    </row>
    <row r="22" spans="1:29" ht="20.399999999999999">
      <c r="J22" s="14" t="s">
        <v>13</v>
      </c>
    </row>
    <row r="23" spans="1:29">
      <c r="J23" t="s">
        <v>14</v>
      </c>
    </row>
    <row r="44" spans="27:27">
      <c r="AA44" t="s">
        <v>21</v>
      </c>
    </row>
    <row r="45" spans="27:27">
      <c r="AA45">
        <f>SLOPE(AB2:AB19,H2:H19)</f>
        <v>0.55845473451013328</v>
      </c>
    </row>
    <row r="47" spans="27:27">
      <c r="AA47" t="s">
        <v>22</v>
      </c>
    </row>
    <row r="48" spans="27:27">
      <c r="AA48">
        <f>INTERCEPT(AB2:AB19,H2:H19)</f>
        <v>-93.280856724131766</v>
      </c>
    </row>
    <row r="56" spans="9:14" ht="16.2" thickBot="1"/>
    <row r="57" spans="9:14">
      <c r="I57" s="23" t="s">
        <v>15</v>
      </c>
      <c r="J57" s="23"/>
      <c r="K57" s="23"/>
      <c r="L57" s="23"/>
      <c r="M57" s="23"/>
      <c r="N57" s="23"/>
    </row>
    <row r="58" spans="9:14">
      <c r="I58" s="24"/>
      <c r="J58" s="24"/>
      <c r="K58" s="24"/>
      <c r="L58" s="24"/>
      <c r="M58" s="24"/>
      <c r="N58" s="24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59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17</v>
      </c>
      <c r="G1" s="4" t="s">
        <v>16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>
        <f>LN(-F2/10^6)</f>
        <v>-15.424948470398375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>
        <f t="shared" ref="AB3:AB15" si="3">LN(-F3/10^6)</f>
        <v>-15.424948470398375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>
        <f t="shared" si="3"/>
        <v>-15.424948470398375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>
        <f t="shared" si="3"/>
        <v>-15.424948470398375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>
        <f t="shared" si="3"/>
        <v>-15.01948336229021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>
        <f t="shared" si="3"/>
        <v>-14.73180128983843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>
        <f t="shared" si="3"/>
        <v>-14.038654109278484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>
        <f t="shared" si="3"/>
        <v>-13.815510557964274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>
        <f t="shared" si="3"/>
        <v>-13.72020037815995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>
        <f t="shared" si="3"/>
        <v>-13.633189001170319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>
        <f t="shared" si="3"/>
        <v>-13.479038321343062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>
        <f t="shared" si="3"/>
        <v>-13.41004544985611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>
        <f t="shared" si="3"/>
        <v>-13.284882306902103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>
        <f t="shared" si="3"/>
        <v>-13.073573213234896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11</v>
      </c>
      <c r="M16" t="e">
        <f t="shared" si="2"/>
        <v>#DIV/0!</v>
      </c>
      <c r="N16" t="e">
        <f t="shared" si="0"/>
        <v>#DIV/0!</v>
      </c>
      <c r="AB16" s="5"/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/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/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12</v>
      </c>
      <c r="M19" t="e">
        <f t="shared" si="2"/>
        <v>#DIV/0!</v>
      </c>
      <c r="N19" t="e">
        <f t="shared" si="0"/>
        <v>#DIV/0!</v>
      </c>
      <c r="AB19" s="5"/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/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/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13</v>
      </c>
      <c r="M22" t="e">
        <f t="shared" si="2"/>
        <v>#DIV/0!</v>
      </c>
      <c r="N22" t="e">
        <f t="shared" si="0"/>
        <v>#DIV/0!</v>
      </c>
      <c r="AB22" s="5"/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14</v>
      </c>
      <c r="M23" t="e">
        <f t="shared" si="2"/>
        <v>#DIV/0!</v>
      </c>
      <c r="N23" t="e">
        <f t="shared" si="0"/>
        <v>#DIV/0!</v>
      </c>
      <c r="AB23" s="5"/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/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ref="AB25:AB57" si="4">LN(F25)</f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4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4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4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4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4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4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4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5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4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5"/>
        <v>#DIV/0!</v>
      </c>
      <c r="M34" t="e">
        <f t="shared" si="2"/>
        <v>#DIV/0!</v>
      </c>
      <c r="N34" t="e">
        <f t="shared" si="0"/>
        <v>#DIV/0!</v>
      </c>
      <c r="AB34" s="5" t="e">
        <f t="shared" si="4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5"/>
        <v>#DIV/0!</v>
      </c>
      <c r="M35" t="e">
        <f t="shared" si="2"/>
        <v>#DIV/0!</v>
      </c>
      <c r="N35" t="e">
        <f t="shared" si="0"/>
        <v>#DIV/0!</v>
      </c>
      <c r="AB35" s="5" t="e">
        <f t="shared" si="4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5"/>
        <v>#DIV/0!</v>
      </c>
      <c r="M36" t="e">
        <f t="shared" si="2"/>
        <v>#DIV/0!</v>
      </c>
      <c r="N36" t="e">
        <f t="shared" si="0"/>
        <v>#DIV/0!</v>
      </c>
      <c r="AB36" s="5" t="e">
        <f t="shared" si="4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5"/>
        <v>#DIV/0!</v>
      </c>
      <c r="M37" t="e">
        <f t="shared" si="2"/>
        <v>#DIV/0!</v>
      </c>
      <c r="N37" t="e">
        <f t="shared" si="0"/>
        <v>#DIV/0!</v>
      </c>
      <c r="AB37" s="5" t="e">
        <f t="shared" si="4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5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4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5"/>
        <v>#DIV/0!</v>
      </c>
      <c r="AB39" s="5" t="e">
        <f t="shared" si="4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5"/>
        <v>#DIV/0!</v>
      </c>
      <c r="AB40" s="5" t="e">
        <f t="shared" si="4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5"/>
        <v>#DIV/0!</v>
      </c>
      <c r="AB41" s="5" t="e">
        <f t="shared" si="4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5"/>
        <v>#DIV/0!</v>
      </c>
      <c r="AB42" s="5" t="e">
        <f t="shared" si="4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5"/>
        <v>#DIV/0!</v>
      </c>
      <c r="AB43" s="5" t="e">
        <f t="shared" si="4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5"/>
        <v>#DIV/0!</v>
      </c>
      <c r="AB44" s="5" t="e">
        <f t="shared" si="4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5"/>
        <v>#DIV/0!</v>
      </c>
      <c r="AB45" s="5" t="e">
        <f t="shared" si="4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5"/>
        <v>#DIV/0!</v>
      </c>
      <c r="AB46" s="5" t="e">
        <f t="shared" si="4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5"/>
        <v>#DIV/0!</v>
      </c>
      <c r="AB47" s="5" t="e">
        <f t="shared" si="4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5"/>
        <v>#DIV/0!</v>
      </c>
      <c r="AB48" s="5" t="e">
        <f t="shared" si="4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5"/>
        <v>#DIV/0!</v>
      </c>
      <c r="AB49" s="5" t="e">
        <f t="shared" si="4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5"/>
        <v>#DIV/0!</v>
      </c>
      <c r="AB50" s="5" t="e">
        <f t="shared" si="4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5"/>
        <v>#DIV/0!</v>
      </c>
      <c r="AB51" s="5" t="e">
        <f t="shared" si="4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5"/>
        <v>#DIV/0!</v>
      </c>
      <c r="AB52" s="5" t="e">
        <f t="shared" si="4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5"/>
        <v>#DIV/0!</v>
      </c>
      <c r="AB53" s="5" t="e">
        <f t="shared" si="4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5"/>
        <v>#DIV/0!</v>
      </c>
      <c r="AB54" s="5" t="e">
        <f t="shared" si="4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5"/>
        <v>#DIV/0!</v>
      </c>
      <c r="AB55" s="5" t="e">
        <f t="shared" si="4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5"/>
        <v>#DIV/0!</v>
      </c>
      <c r="AB56" s="5" t="e">
        <f t="shared" si="4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5"/>
        <v>#DIV/0!</v>
      </c>
      <c r="I57" s="23" t="s">
        <v>15</v>
      </c>
      <c r="J57" s="23"/>
      <c r="K57" s="23"/>
      <c r="L57" s="23"/>
      <c r="M57" s="23"/>
      <c r="N57" s="23"/>
      <c r="AB57" s="5" t="e">
        <f t="shared" si="4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5"/>
        <v>#DIV/0!</v>
      </c>
      <c r="I58" s="24"/>
      <c r="J58" s="24"/>
      <c r="K58" s="24"/>
      <c r="L58" s="24"/>
      <c r="M58" s="24"/>
      <c r="N58" s="24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5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5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5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5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5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5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5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5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5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5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5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5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5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5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5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5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5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5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5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5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5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5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5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5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1310-AE3F-46D9-BA7D-9008211E0E75}">
  <dimension ref="A1:V8"/>
  <sheetViews>
    <sheetView workbookViewId="0">
      <selection activeCell="P9" sqref="P7:P9"/>
    </sheetView>
  </sheetViews>
  <sheetFormatPr defaultColWidth="8.796875" defaultRowHeight="15.6"/>
  <cols>
    <col min="1" max="5" width="13.19921875" bestFit="1" customWidth="1"/>
    <col min="11" max="11" width="12.19921875" bestFit="1" customWidth="1"/>
  </cols>
  <sheetData>
    <row r="1" spans="1:22">
      <c r="A1" t="s">
        <v>32</v>
      </c>
      <c r="B1" t="s">
        <v>33</v>
      </c>
      <c r="C1" t="s">
        <v>34</v>
      </c>
      <c r="D1" t="s">
        <v>35</v>
      </c>
      <c r="E1" t="s">
        <v>36</v>
      </c>
      <c r="G1" t="s">
        <v>26</v>
      </c>
      <c r="I1" t="s">
        <v>25</v>
      </c>
      <c r="J1" t="s">
        <v>28</v>
      </c>
      <c r="K1" t="s">
        <v>38</v>
      </c>
      <c r="M1" t="s">
        <v>24</v>
      </c>
      <c r="O1" t="s">
        <v>27</v>
      </c>
    </row>
    <row r="2" spans="1:22">
      <c r="A2" s="21">
        <f>LN($P$4/K2+1)/I2</f>
        <v>0.57783361346788653</v>
      </c>
      <c r="B2" s="21">
        <f>LN($P$5/K2+1)/I2</f>
        <v>0.58890270444303594</v>
      </c>
      <c r="C2" s="21">
        <f>LN($P$6/K2+1)/I2</f>
        <v>0.59794682332599025</v>
      </c>
      <c r="D2" s="20">
        <f>LN($P$7/K2+1)/I2</f>
        <v>0.60559352446353687</v>
      </c>
      <c r="E2" s="20">
        <f>LN($P$8/K2+1)/I2</f>
        <v>0.61221740307494998</v>
      </c>
      <c r="G2" s="22">
        <f>60.5+273.15</f>
        <v>333.65</v>
      </c>
      <c r="I2">
        <v>20.158999999999999</v>
      </c>
      <c r="J2">
        <v>-17.170000000000002</v>
      </c>
      <c r="K2">
        <f>EXP(J2)</f>
        <v>3.4927197962393328E-8</v>
      </c>
      <c r="M2">
        <v>1.702</v>
      </c>
      <c r="R2" t="s">
        <v>29</v>
      </c>
    </row>
    <row r="3" spans="1:22">
      <c r="A3" s="21">
        <f t="shared" ref="A3:A6" si="0">LN($P$4/K3+1)/I3</f>
        <v>0.60314919592841976</v>
      </c>
      <c r="B3" s="21">
        <f t="shared" ref="B3:B7" si="1">LN($P$5/K3+1)/I3</f>
        <v>0.61308301109620134</v>
      </c>
      <c r="C3" s="21">
        <f t="shared" ref="C3:C7" si="2">LN($P$6/K3+1)/I3</f>
        <v>0.62119953082465984</v>
      </c>
      <c r="D3" s="20">
        <f t="shared" ref="D3:D7" si="3">LN($P$7/K3+1)/I3</f>
        <v>0.62806195149180588</v>
      </c>
      <c r="E3" s="20">
        <f t="shared" ref="E3:E7" si="4">LN($P$8/K3+1)/I3</f>
        <v>0.6340064513065522</v>
      </c>
      <c r="G3" s="22">
        <f>47.7+273.15</f>
        <v>320.84999999999997</v>
      </c>
      <c r="I3">
        <v>22.463000000000001</v>
      </c>
      <c r="J3">
        <v>-19.07</v>
      </c>
      <c r="K3">
        <f t="shared" ref="K3:K7" si="5">EXP(J3)</f>
        <v>5.2240127725508097E-9</v>
      </c>
      <c r="M3">
        <v>1.6040000000000001</v>
      </c>
      <c r="P3" t="s">
        <v>37</v>
      </c>
      <c r="R3" t="s">
        <v>30</v>
      </c>
      <c r="T3" t="s">
        <v>11</v>
      </c>
      <c r="V3" t="s">
        <v>31</v>
      </c>
    </row>
    <row r="4" spans="1:22" ht="17.399999999999999">
      <c r="A4" s="21">
        <f>LN($P$4/K4+1)/I4</f>
        <v>0.64480655629434747</v>
      </c>
      <c r="B4" s="21">
        <f t="shared" si="1"/>
        <v>0.65441900947683951</v>
      </c>
      <c r="C4" s="21">
        <f t="shared" si="2"/>
        <v>0.66227295600494307</v>
      </c>
      <c r="D4" s="20">
        <f t="shared" si="3"/>
        <v>0.66891337341523727</v>
      </c>
      <c r="E4" s="20">
        <f>LN($P$8/K4+1)/I4</f>
        <v>0.67466556476855888</v>
      </c>
      <c r="G4" s="22">
        <f>25.1+273.15</f>
        <v>298.25</v>
      </c>
      <c r="I4">
        <v>23.213999999999999</v>
      </c>
      <c r="J4">
        <v>-20.49</v>
      </c>
      <c r="K4">
        <f t="shared" si="5"/>
        <v>1.262717111574683E-9</v>
      </c>
      <c r="M4">
        <v>1.6759999999999999</v>
      </c>
      <c r="P4" s="18">
        <v>4.0000000000000001E-3</v>
      </c>
      <c r="T4" s="9">
        <f>1.602176634*10^(-19)</f>
        <v>1.6021766340000001E-19</v>
      </c>
      <c r="V4" s="11">
        <f>1.3806503*10^(-23)</f>
        <v>1.3806503000000004E-23</v>
      </c>
    </row>
    <row r="5" spans="1:22">
      <c r="A5" s="21">
        <f t="shared" si="0"/>
        <v>0.66399628766534324</v>
      </c>
      <c r="B5" s="21">
        <f t="shared" si="1"/>
        <v>0.67291739025468134</v>
      </c>
      <c r="C5" s="21">
        <f t="shared" si="2"/>
        <v>0.68020646188260381</v>
      </c>
      <c r="D5" s="20">
        <f t="shared" si="3"/>
        <v>0.68636928417482412</v>
      </c>
      <c r="E5" s="20">
        <f>LN($P$8/K5+1)/I5</f>
        <v>0.6917077636954958</v>
      </c>
      <c r="G5" s="22">
        <f>15.9+273.15</f>
        <v>289.04999999999995</v>
      </c>
      <c r="I5">
        <v>25.013000000000002</v>
      </c>
      <c r="J5">
        <v>-22.13</v>
      </c>
      <c r="K5">
        <f t="shared" si="5"/>
        <v>2.4494191870468971E-10</v>
      </c>
      <c r="M5">
        <v>1.6040000000000001</v>
      </c>
      <c r="P5" s="18">
        <v>5.0000000000000001E-3</v>
      </c>
    </row>
    <row r="6" spans="1:22">
      <c r="A6" s="21">
        <f t="shared" si="0"/>
        <v>0.69509814764159616</v>
      </c>
      <c r="B6" s="21">
        <f t="shared" si="1"/>
        <v>0.70367300636373842</v>
      </c>
      <c r="C6" s="21">
        <f t="shared" si="2"/>
        <v>0.71067917609571996</v>
      </c>
      <c r="D6" s="20">
        <f t="shared" si="3"/>
        <v>0.7166028082096072</v>
      </c>
      <c r="E6" s="20">
        <f t="shared" si="4"/>
        <v>0.72173409175219805</v>
      </c>
      <c r="G6" s="22">
        <f>-0.6+273.15</f>
        <v>272.54999999999995</v>
      </c>
      <c r="I6">
        <v>26.023</v>
      </c>
      <c r="J6">
        <v>-23.61</v>
      </c>
      <c r="K6">
        <f t="shared" si="5"/>
        <v>5.5758012162231333E-11</v>
      </c>
      <c r="M6">
        <v>1.637</v>
      </c>
      <c r="P6" s="18">
        <v>6.0000000000000001E-3</v>
      </c>
    </row>
    <row r="7" spans="1:22">
      <c r="A7" s="21">
        <f>LN($P$4/K7+1)/I7</f>
        <v>1.0454290199790073</v>
      </c>
      <c r="B7" s="21">
        <f t="shared" si="1"/>
        <v>1.0480872313235092</v>
      </c>
      <c r="C7" s="21">
        <f t="shared" si="2"/>
        <v>1.0502591481356356</v>
      </c>
      <c r="D7" s="20">
        <f t="shared" si="3"/>
        <v>1.0520954776350371</v>
      </c>
      <c r="E7" s="20">
        <f t="shared" si="4"/>
        <v>1.053686178601438</v>
      </c>
      <c r="G7" s="22">
        <v>77.2</v>
      </c>
      <c r="I7">
        <v>83.944999999999993</v>
      </c>
      <c r="J7">
        <v>-93.28</v>
      </c>
      <c r="K7">
        <f t="shared" si="5"/>
        <v>3.0832641129675857E-41</v>
      </c>
      <c r="M7">
        <v>1.7909999999999999</v>
      </c>
      <c r="P7" s="18">
        <v>7.0000000000000001E-3</v>
      </c>
    </row>
    <row r="8" spans="1:22">
      <c r="D8" s="19"/>
      <c r="E8" s="19"/>
      <c r="P8" s="18">
        <v>8.0000000000000002E-3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3DD2-37EC-2948-87AD-2776D461F2EA}">
  <dimension ref="A1:V9"/>
  <sheetViews>
    <sheetView workbookViewId="0">
      <selection activeCell="P12" sqref="P12"/>
    </sheetView>
  </sheetViews>
  <sheetFormatPr defaultColWidth="11.19921875" defaultRowHeight="15.6"/>
  <sheetData>
    <row r="1" spans="1:22">
      <c r="A1" t="s">
        <v>32</v>
      </c>
      <c r="B1" t="s">
        <v>33</v>
      </c>
      <c r="C1" t="s">
        <v>34</v>
      </c>
      <c r="D1" t="s">
        <v>35</v>
      </c>
      <c r="E1" t="s">
        <v>36</v>
      </c>
      <c r="G1" t="s">
        <v>26</v>
      </c>
      <c r="I1" t="s">
        <v>25</v>
      </c>
      <c r="J1" t="s">
        <v>28</v>
      </c>
      <c r="K1" t="s">
        <v>38</v>
      </c>
      <c r="M1" t="s">
        <v>24</v>
      </c>
      <c r="O1" t="s">
        <v>27</v>
      </c>
    </row>
    <row r="2" spans="1:22">
      <c r="A2" s="21">
        <f>LN($P$4/K2+1)/I2</f>
        <v>0.57783361346788653</v>
      </c>
      <c r="B2" s="21">
        <f>LN($P$5/K2+1)/I2</f>
        <v>0.58890270444303594</v>
      </c>
      <c r="C2" s="21">
        <f>LN($P$6/K2+1)/I2</f>
        <v>0.59794682332599025</v>
      </c>
      <c r="D2" s="20">
        <f>LN($P$7/K2+1)/I2</f>
        <v>0.60559352446353687</v>
      </c>
      <c r="E2" s="20">
        <f>LN($P$8/K2+1)/I2</f>
        <v>0.61221740307494998</v>
      </c>
      <c r="G2" s="22">
        <f>60.5+273.15</f>
        <v>333.65</v>
      </c>
      <c r="I2">
        <v>20.158999999999999</v>
      </c>
      <c r="J2">
        <v>-17.170000000000002</v>
      </c>
      <c r="K2">
        <f>EXP(J2)</f>
        <v>3.4927197962393328E-8</v>
      </c>
      <c r="M2">
        <v>1.702</v>
      </c>
      <c r="R2" t="s">
        <v>29</v>
      </c>
    </row>
    <row r="3" spans="1:22">
      <c r="A3" s="21">
        <f t="shared" ref="A3:A6" si="0">LN($P$4/K3+1)/I3</f>
        <v>0.60314919592841976</v>
      </c>
      <c r="B3" s="21">
        <f t="shared" ref="B3:B6" si="1">LN($P$5/K3+1)/I3</f>
        <v>0.61308301109620134</v>
      </c>
      <c r="C3" s="21">
        <f t="shared" ref="C3:C6" si="2">LN($P$6/K3+1)/I3</f>
        <v>0.62119953082465984</v>
      </c>
      <c r="D3" s="20">
        <f t="shared" ref="D3:D6" si="3">LN($P$7/K3+1)/I3</f>
        <v>0.62806195149180588</v>
      </c>
      <c r="E3" s="20">
        <f t="shared" ref="E3:E6" si="4">LN($P$8/K3+1)/I3</f>
        <v>0.6340064513065522</v>
      </c>
      <c r="G3" s="22">
        <f>47.7+273.15</f>
        <v>320.84999999999997</v>
      </c>
      <c r="I3">
        <v>22.463000000000001</v>
      </c>
      <c r="J3">
        <v>-19.07</v>
      </c>
      <c r="K3">
        <f t="shared" ref="K3:K6" si="5">EXP(J3)</f>
        <v>5.2240127725508097E-9</v>
      </c>
      <c r="M3">
        <v>1.6040000000000001</v>
      </c>
      <c r="P3" t="s">
        <v>37</v>
      </c>
      <c r="R3" t="s">
        <v>30</v>
      </c>
      <c r="T3" t="s">
        <v>11</v>
      </c>
      <c r="V3" t="s">
        <v>31</v>
      </c>
    </row>
    <row r="4" spans="1:22" ht="17.399999999999999">
      <c r="A4" s="21">
        <f>LN($P$4/K4+1)/I4</f>
        <v>0.64480655629434747</v>
      </c>
      <c r="B4" s="21">
        <f t="shared" si="1"/>
        <v>0.65441900947683951</v>
      </c>
      <c r="C4" s="21">
        <f t="shared" si="2"/>
        <v>0.66227295600494307</v>
      </c>
      <c r="D4" s="20">
        <f t="shared" si="3"/>
        <v>0.66891337341523727</v>
      </c>
      <c r="E4" s="20">
        <f>LN($P$8/K4+1)/I4</f>
        <v>0.67466556476855888</v>
      </c>
      <c r="G4" s="22">
        <f>25.1+273.15</f>
        <v>298.25</v>
      </c>
      <c r="I4">
        <v>23.213999999999999</v>
      </c>
      <c r="J4">
        <v>-20.49</v>
      </c>
      <c r="K4">
        <f t="shared" si="5"/>
        <v>1.262717111574683E-9</v>
      </c>
      <c r="M4">
        <v>1.6759999999999999</v>
      </c>
      <c r="P4" s="18">
        <v>4.0000000000000001E-3</v>
      </c>
      <c r="T4" s="9">
        <f>1.602176634*10^(-19)</f>
        <v>1.6021766340000001E-19</v>
      </c>
      <c r="V4" s="11">
        <f>1.3806503*10^(-23)</f>
        <v>1.3806503000000004E-23</v>
      </c>
    </row>
    <row r="5" spans="1:22">
      <c r="A5" s="21">
        <f t="shared" si="0"/>
        <v>0.66399628766534324</v>
      </c>
      <c r="B5" s="21">
        <f t="shared" si="1"/>
        <v>0.67291739025468134</v>
      </c>
      <c r="C5" s="21">
        <f t="shared" si="2"/>
        <v>0.68020646188260381</v>
      </c>
      <c r="D5" s="20">
        <f t="shared" si="3"/>
        <v>0.68636928417482412</v>
      </c>
      <c r="E5" s="20">
        <f>LN($P$8/K5+1)/I5</f>
        <v>0.6917077636954958</v>
      </c>
      <c r="G5" s="22">
        <f>15.9+273.15</f>
        <v>289.04999999999995</v>
      </c>
      <c r="I5">
        <v>25.013000000000002</v>
      </c>
      <c r="J5">
        <v>-22.13</v>
      </c>
      <c r="K5">
        <f t="shared" si="5"/>
        <v>2.4494191870468971E-10</v>
      </c>
      <c r="M5">
        <v>1.6040000000000001</v>
      </c>
      <c r="P5" s="18">
        <v>5.0000000000000001E-3</v>
      </c>
    </row>
    <row r="6" spans="1:22">
      <c r="A6" s="21">
        <f t="shared" si="0"/>
        <v>0.69509814764159616</v>
      </c>
      <c r="B6" s="21">
        <f t="shared" si="1"/>
        <v>0.70367300636373842</v>
      </c>
      <c r="C6" s="21">
        <f t="shared" si="2"/>
        <v>0.71067917609571996</v>
      </c>
      <c r="D6" s="20">
        <f t="shared" si="3"/>
        <v>0.7166028082096072</v>
      </c>
      <c r="E6" s="20">
        <f t="shared" si="4"/>
        <v>0.72173409175219805</v>
      </c>
      <c r="G6" s="22">
        <f>-0.6+273.15</f>
        <v>272.54999999999995</v>
      </c>
      <c r="I6">
        <v>26.023</v>
      </c>
      <c r="J6">
        <v>-23.61</v>
      </c>
      <c r="K6">
        <f t="shared" si="5"/>
        <v>5.5758012162231333E-11</v>
      </c>
      <c r="M6">
        <v>1.637</v>
      </c>
      <c r="P6" s="18">
        <v>6.0000000000000001E-3</v>
      </c>
    </row>
    <row r="7" spans="1:22">
      <c r="P7" s="18">
        <v>7.0000000000000001E-3</v>
      </c>
    </row>
    <row r="8" spans="1:22">
      <c r="P8" s="18">
        <v>8.0000000000000002E-3</v>
      </c>
    </row>
    <row r="9" spans="1:22">
      <c r="P9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Props1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Temp_1</vt:lpstr>
      <vt:lpstr>Temp_2</vt:lpstr>
      <vt:lpstr>Temp_3</vt:lpstr>
      <vt:lpstr>Temp_4</vt:lpstr>
      <vt:lpstr>Temp_5</vt:lpstr>
      <vt:lpstr>Temp_6</vt:lpstr>
      <vt:lpstr>Pol_inv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2025-10-27T17:19:27Z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