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FE3E655D-04B3-44F1-813E-BFCAAE8D66DA}" xr6:coauthVersionLast="47" xr6:coauthVersionMax="47" xr10:uidLastSave="{00000000-0000-0000-0000-000000000000}"/>
  <bookViews>
    <workbookView xWindow="11424" yWindow="0" windowWidth="11712" windowHeight="12336" firstSheet="5" activeTab="7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  <sheet name="Sheet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8" l="1"/>
  <c r="T4" i="8"/>
  <c r="B3" i="8"/>
  <c r="C3" i="8"/>
  <c r="E3" i="8"/>
  <c r="A4" i="8"/>
  <c r="A3" i="8"/>
  <c r="P8" i="8"/>
  <c r="E6" i="8" s="1"/>
  <c r="P5" i="8"/>
  <c r="B6" i="8" s="1"/>
  <c r="P6" i="8"/>
  <c r="C6" i="8" s="1"/>
  <c r="P7" i="8"/>
  <c r="D6" i="8" s="1"/>
  <c r="P4" i="8"/>
  <c r="A7" i="8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6" i="8"/>
  <c r="G5" i="8"/>
  <c r="G4" i="8"/>
  <c r="G3" i="8"/>
  <c r="G2" i="8"/>
  <c r="AA48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AA45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B7" i="8" l="1"/>
  <c r="B4" i="8"/>
  <c r="B5" i="8"/>
  <c r="B2" i="8"/>
  <c r="C4" i="8"/>
  <c r="C7" i="8"/>
  <c r="C5" i="8"/>
  <c r="D4" i="8"/>
  <c r="A2" i="8"/>
  <c r="C2" i="8"/>
  <c r="E4" i="8"/>
  <c r="D3" i="8"/>
  <c r="A5" i="8"/>
  <c r="D5" i="8"/>
  <c r="E5" i="8"/>
  <c r="D7" i="8"/>
  <c r="A6" i="8"/>
  <c r="D2" i="8"/>
  <c r="E7" i="8"/>
  <c r="E2" i="8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<sst xmlns="http://schemas.openxmlformats.org/spreadsheetml/2006/main" count="140" uniqueCount="39">
  <si>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</si>
  <si>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</si>
  <si>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</si>
  <si>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</si>
  <si>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</si>
  <si>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</si>
  <si>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</si>
  <si>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</si>
  <si>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</si>
  <si>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</si>
  <si>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</si>
  <si>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</si>
  <si>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</si>
  <si>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</si>
  <si>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</si>
  <si>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</si>
  <si>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</si>
  <si>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</si>
  <si>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</si>
  <si>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</si>
  <si>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</si>
  <si>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</si>
  <si>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</si>
  <si>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</si>
  <si>
    <t>eta</t>
  </si>
  <si>
    <t>m</t>
  </si>
  <si>
    <t>T</t>
  </si>
  <si>
    <t>x=qV/kTn</t>
  </si>
  <si>
    <t>I scelta</t>
  </si>
  <si>
    <t>ln (I scelta)</t>
  </si>
  <si>
    <t>q</t>
  </si>
  <si>
    <t>y=mx+q</t>
  </si>
  <si>
    <t>x=y-q/m</t>
  </si>
  <si>
    <t>K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</si>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</sst>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159.78745010603305</c:v>
                </c:pt>
                <c:pt idx="1">
                  <c:v>159.33649775389938</c:v>
                </c:pt>
                <c:pt idx="2">
                  <c:v>158.88554540176568</c:v>
                </c:pt>
                <c:pt idx="3">
                  <c:v>158.58491050034323</c:v>
                </c:pt>
                <c:pt idx="4">
                  <c:v>158.28427559892077</c:v>
                </c:pt>
                <c:pt idx="5">
                  <c:v>158.13395814820956</c:v>
                </c:pt>
                <c:pt idx="6">
                  <c:v>157.68300579607589</c:v>
                </c:pt>
                <c:pt idx="7">
                  <c:v>157.38237089465341</c:v>
                </c:pt>
                <c:pt idx="8">
                  <c:v>156.78110109180852</c:v>
                </c:pt>
                <c:pt idx="9">
                  <c:v>156.48046619038607</c:v>
                </c:pt>
                <c:pt idx="10">
                  <c:v>156.17983128896361</c:v>
                </c:pt>
                <c:pt idx="11">
                  <c:v>155.72887893682994</c:v>
                </c:pt>
                <c:pt idx="12">
                  <c:v>155.27792658469625</c:v>
                </c:pt>
                <c:pt idx="13">
                  <c:v>153.92506952829521</c:v>
                </c:pt>
                <c:pt idx="14">
                  <c:v>153.0231648240279</c:v>
                </c:pt>
                <c:pt idx="15">
                  <c:v>152.27157757047175</c:v>
                </c:pt>
                <c:pt idx="16">
                  <c:v>149.41554600695846</c:v>
                </c:pt>
                <c:pt idx="17">
                  <c:v>146.70983189415637</c:v>
                </c:pt>
                <c:pt idx="18">
                  <c:v>144.60538758419924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L16" sqref="L1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6.2" thickBot="1">
      <c r="AB59" s="5"/>
      <c r="AC59" s="8"/>
    </row>
    <row r="60" spans="1:29">
      <c r="B60" s="18" t="s">
        <v>15</v>
      </c>
      <c r="C60" s="18"/>
      <c r="D60" s="18"/>
      <c r="E60" s="18"/>
      <c r="F60" s="18"/>
      <c r="G60" s="18"/>
      <c r="AB60" s="5"/>
      <c r="AC60" s="6"/>
    </row>
    <row r="61" spans="1:29">
      <c r="B61" s="19"/>
      <c r="C61" s="19"/>
      <c r="D61" s="19"/>
      <c r="E61" s="19"/>
      <c r="F61" s="19"/>
      <c r="G61" s="19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AA1"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8" t="s">
        <v>15</v>
      </c>
      <c r="C34" s="18"/>
      <c r="D34" s="18"/>
      <c r="E34" s="18"/>
      <c r="F34" s="18"/>
      <c r="G34" s="18"/>
    </row>
    <row r="35" spans="2:7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8" t="s">
        <v>15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8" zoomScaleNormal="40" workbookViewId="0">
      <selection activeCell="K27" sqref="K27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6.2" thickBot="1"/>
    <row r="23" spans="1:29">
      <c r="B23" s="18" t="s">
        <v>15</v>
      </c>
      <c r="C23" s="18"/>
      <c r="D23" s="18"/>
      <c r="E23" s="18"/>
      <c r="F23" s="18"/>
      <c r="G23" s="18"/>
    </row>
    <row r="24" spans="1:29">
      <c r="B24" s="19"/>
      <c r="C24" s="19"/>
      <c r="D24" s="19"/>
      <c r="E24" s="19"/>
      <c r="F24" s="19"/>
      <c r="G24" s="19"/>
    </row>
    <row r="27" spans="1:29">
      <c r="K27" t="s">
        <v>23</v>
      </c>
    </row>
    <row r="37" spans="7:7">
      <c r="G37" t="s">
        <v>11</v>
      </c>
    </row>
    <row r="38" spans="7:7" ht="17.399999999999999">
      <c r="G38" s="9">
        <f>1.602176634*10^(-19)</f>
        <v>1.6021766340000001E-19</v>
      </c>
    </row>
    <row r="40" spans="7:7">
      <c r="G40" t="s">
        <v>12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13</v>
      </c>
    </row>
    <row r="44" spans="7:7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topLeftCell="M1"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6.2" thickBot="1"/>
    <row r="33" spans="2:8">
      <c r="B33" s="18" t="s">
        <v>15</v>
      </c>
      <c r="C33" s="18"/>
      <c r="D33" s="18"/>
      <c r="E33" s="18"/>
      <c r="F33" s="18"/>
      <c r="G33" s="18"/>
    </row>
    <row r="34" spans="2:8">
      <c r="B34" s="19"/>
      <c r="C34" s="19"/>
      <c r="D34" s="19"/>
      <c r="E34" s="19"/>
      <c r="F34" s="19"/>
      <c r="G34" s="19"/>
    </row>
    <row r="43" spans="2:8">
      <c r="H43" t="s">
        <v>11</v>
      </c>
    </row>
    <row r="44" spans="2:8" ht="17.399999999999999">
      <c r="H44" s="9">
        <f>1.602176634*10^(-19)</f>
        <v>1.6021766340000001E-19</v>
      </c>
    </row>
    <row r="46" spans="2:8">
      <c r="H46" t="s">
        <v>12</v>
      </c>
    </row>
    <row r="47" spans="2:8" ht="16.8">
      <c r="H47" s="11">
        <f>1.3806503*10^(-23)</f>
        <v>1.3806503000000004E-23</v>
      </c>
    </row>
    <row r="48" spans="2:8" ht="17.399999999999999">
      <c r="H48" s="10"/>
    </row>
    <row r="49" spans="8:8" ht="20.399999999999999">
      <c r="H49" s="14" t="s">
        <v>13</v>
      </c>
    </row>
    <row r="50" spans="8:8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zoomScale="61" zoomScaleNormal="50" workbookViewId="0">
      <selection activeCell="J20" sqref="J20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77.2-273.15</f>
        <v>-195.95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159.78745010603305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6.2" thickBot="1">
      <c r="A3" s="7">
        <v>1</v>
      </c>
      <c r="B3" s="12">
        <f t="shared" ref="B3:B20" si="1">77.2-273.15</f>
        <v>-195.95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2">$J$17*D3/($J$20*(273.15+B3))/1000</f>
        <v>159.33649775389938</v>
      </c>
      <c r="M3">
        <f t="shared" ref="M3:M19" si="3">(D4-D3)/(F4-F3)</f>
        <v>1.4354066985645935</v>
      </c>
      <c r="N3">
        <f t="shared" si="0"/>
        <v>-0.97067374831162301</v>
      </c>
      <c r="AB3" s="5">
        <f t="shared" ref="AB3:AB19" si="4">LN(F3/1000)</f>
        <v>-4.4022293419914007</v>
      </c>
      <c r="AC3" s="8"/>
    </row>
    <row r="4" spans="1:29" ht="16.2" thickBot="1">
      <c r="A4" s="5">
        <v>2</v>
      </c>
      <c r="B4" s="12">
        <f t="shared" si="1"/>
        <v>-195.95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2"/>
        <v>158.88554540176568</v>
      </c>
      <c r="M4">
        <f t="shared" si="3"/>
        <v>1.379310344827587</v>
      </c>
      <c r="N4">
        <f t="shared" si="0"/>
        <v>-1.3983353151010709</v>
      </c>
      <c r="AB4" s="5">
        <f t="shared" si="4"/>
        <v>-4.5892968368318012</v>
      </c>
      <c r="AC4" s="6"/>
    </row>
    <row r="5" spans="1:29" ht="16.2" thickBot="1">
      <c r="A5" s="7">
        <v>3</v>
      </c>
      <c r="B5" s="12">
        <f t="shared" si="1"/>
        <v>-195.95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2"/>
        <v>158.58491050034323</v>
      </c>
      <c r="M5">
        <f t="shared" si="3"/>
        <v>1.481481481481481</v>
      </c>
      <c r="N5">
        <f t="shared" si="0"/>
        <v>-1.5034293552812066</v>
      </c>
      <c r="AB5" s="5">
        <f t="shared" si="4"/>
        <v>-4.7432834881177257</v>
      </c>
      <c r="AC5" s="8"/>
    </row>
    <row r="6" spans="1:29" ht="16.2" thickBot="1">
      <c r="A6" s="5">
        <v>4</v>
      </c>
      <c r="B6" s="12">
        <f t="shared" si="1"/>
        <v>-195.95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2"/>
        <v>158.28427559892077</v>
      </c>
      <c r="M6">
        <f t="shared" si="3"/>
        <v>1.4705882352941164</v>
      </c>
      <c r="N6">
        <f t="shared" si="0"/>
        <v>-2.9844290657439418</v>
      </c>
      <c r="AB6" s="5">
        <f t="shared" si="4"/>
        <v>-4.911695346241352</v>
      </c>
      <c r="AC6" s="6"/>
    </row>
    <row r="7" spans="1:29" ht="16.2" thickBot="1">
      <c r="A7" s="7">
        <v>5</v>
      </c>
      <c r="B7" s="12">
        <f t="shared" si="1"/>
        <v>-195.95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2"/>
        <v>158.13395814820956</v>
      </c>
      <c r="M7">
        <f t="shared" si="3"/>
        <v>2.542372881355933</v>
      </c>
      <c r="N7">
        <f t="shared" si="0"/>
        <v>-1.7380063200229823</v>
      </c>
      <c r="AB7" s="5">
        <f t="shared" si="4"/>
        <v>-5.0086372914335824</v>
      </c>
      <c r="AC7" s="8"/>
    </row>
    <row r="8" spans="1:29" ht="16.2" thickBot="1">
      <c r="A8" s="5">
        <v>6</v>
      </c>
      <c r="B8" s="12">
        <f t="shared" si="1"/>
        <v>-195.95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2"/>
        <v>157.68300579607589</v>
      </c>
      <c r="M8">
        <f t="shared" si="3"/>
        <v>2.1978021978021975</v>
      </c>
      <c r="N8">
        <f t="shared" si="0"/>
        <v>-2.2461055428088392</v>
      </c>
      <c r="AB8" s="5">
        <f t="shared" si="4"/>
        <v>-5.2030071867437115</v>
      </c>
      <c r="AC8" s="6"/>
    </row>
    <row r="9" spans="1:29" ht="16.2" thickBot="1">
      <c r="A9" s="7">
        <v>7</v>
      </c>
      <c r="B9" s="12">
        <f t="shared" si="1"/>
        <v>-195.95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2"/>
        <v>157.38237089465341</v>
      </c>
      <c r="M9">
        <f t="shared" si="3"/>
        <v>3.7383177570093462</v>
      </c>
      <c r="N9">
        <f t="shared" si="0"/>
        <v>-1.9390339767665301</v>
      </c>
      <c r="AB9" s="5">
        <f t="shared" si="4"/>
        <v>-5.3838752549096833</v>
      </c>
      <c r="AC9" s="8"/>
    </row>
    <row r="10" spans="1:29" ht="16.2" thickBot="1">
      <c r="A10" s="5">
        <v>8</v>
      </c>
      <c r="B10" s="12">
        <f t="shared" si="1"/>
        <v>-195.95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2"/>
        <v>156.78110109180852</v>
      </c>
      <c r="M10">
        <f t="shared" si="3"/>
        <v>3.1746031746031753</v>
      </c>
      <c r="N10">
        <f t="shared" si="0"/>
        <v>-3.2753842277651812</v>
      </c>
      <c r="AB10" s="5">
        <f t="shared" si="4"/>
        <v>-5.649294289372131</v>
      </c>
      <c r="AC10" s="6"/>
    </row>
    <row r="11" spans="1:29" ht="16.2" thickBot="1">
      <c r="A11" s="7">
        <v>9</v>
      </c>
      <c r="B11" s="12">
        <f t="shared" si="1"/>
        <v>-195.95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2"/>
        <v>156.48046619038607</v>
      </c>
      <c r="M11">
        <f t="shared" si="3"/>
        <v>4.4444444444444429</v>
      </c>
      <c r="N11">
        <f t="shared" si="0"/>
        <v>-4.6419753086419737</v>
      </c>
      <c r="AB11" s="5">
        <f t="shared" si="4"/>
        <v>-5.8464987768577963</v>
      </c>
      <c r="AC11" s="8"/>
    </row>
    <row r="12" spans="1:29" ht="16.2" thickBot="1">
      <c r="A12" s="5">
        <v>10</v>
      </c>
      <c r="B12" s="12">
        <f t="shared" si="1"/>
        <v>-195.95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2"/>
        <v>156.17983128896361</v>
      </c>
      <c r="M12">
        <f t="shared" si="3"/>
        <v>6.9767441860465089</v>
      </c>
      <c r="N12">
        <f t="shared" si="0"/>
        <v>-4.9756625202812303</v>
      </c>
      <c r="AB12" s="5">
        <f t="shared" si="4"/>
        <v>-6.0157572396770265</v>
      </c>
      <c r="AC12" s="6"/>
    </row>
    <row r="13" spans="1:29" ht="16.2" thickBot="1">
      <c r="A13" s="7">
        <v>11</v>
      </c>
      <c r="B13" s="12">
        <f t="shared" si="1"/>
        <v>-195.95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2"/>
        <v>155.72887893682994</v>
      </c>
      <c r="M13">
        <f t="shared" si="3"/>
        <v>6.3829787234042588</v>
      </c>
      <c r="N13">
        <f t="shared" si="0"/>
        <v>-4.526935264825716</v>
      </c>
      <c r="AB13" s="5">
        <f t="shared" si="4"/>
        <v>-6.2096205569111529</v>
      </c>
      <c r="AC13" s="8"/>
    </row>
    <row r="14" spans="1:29" ht="16.2" thickBot="1">
      <c r="A14" s="5">
        <v>12</v>
      </c>
      <c r="B14" s="12">
        <f t="shared" si="1"/>
        <v>-195.95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2"/>
        <v>155.27792658469625</v>
      </c>
      <c r="M14">
        <f t="shared" si="3"/>
        <v>11.39240506329114</v>
      </c>
      <c r="N14">
        <f t="shared" si="0"/>
        <v>-2.8200608876782565</v>
      </c>
      <c r="AB14" s="5">
        <f t="shared" si="4"/>
        <v>-6.4759728625565991</v>
      </c>
      <c r="AC14" s="6"/>
    </row>
    <row r="15" spans="1:29" ht="16.2" thickBot="1">
      <c r="A15" s="7">
        <v>13</v>
      </c>
      <c r="B15" s="12">
        <f t="shared" si="1"/>
        <v>-195.95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2"/>
        <v>153.92506952829521</v>
      </c>
      <c r="M15">
        <f t="shared" si="3"/>
        <v>19.35483870967742</v>
      </c>
      <c r="N15">
        <f t="shared" si="0"/>
        <v>-7.7003121748178982</v>
      </c>
      <c r="AB15" s="5">
        <f t="shared" si="4"/>
        <v>-7.1954373514339176</v>
      </c>
      <c r="AC15" s="8"/>
    </row>
    <row r="16" spans="1:29" ht="16.2" thickBot="1">
      <c r="A16" s="5">
        <v>14</v>
      </c>
      <c r="B16" s="12">
        <f t="shared" si="1"/>
        <v>-195.95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2"/>
        <v>153.0231648240279</v>
      </c>
      <c r="J16" t="s">
        <v>11</v>
      </c>
      <c r="M16">
        <f t="shared" si="3"/>
        <v>29.411764705882355</v>
      </c>
      <c r="N16">
        <f t="shared" si="0"/>
        <v>-15.224913494809691</v>
      </c>
      <c r="AB16" s="5">
        <f t="shared" si="4"/>
        <v>-7.7287358310519672</v>
      </c>
      <c r="AC16" s="6"/>
    </row>
    <row r="17" spans="1:29" ht="18" thickBot="1">
      <c r="A17" s="7">
        <v>15</v>
      </c>
      <c r="B17" s="12">
        <f t="shared" si="1"/>
        <v>-195.95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2"/>
        <v>152.27157757047175</v>
      </c>
      <c r="J17" s="9">
        <f>1.602176634*10^(-19)</f>
        <v>1.6021766340000001E-19</v>
      </c>
      <c r="M17">
        <f t="shared" si="3"/>
        <v>86.363636363636346</v>
      </c>
      <c r="N17">
        <f t="shared" si="0"/>
        <v>-16.942148760330571</v>
      </c>
      <c r="AB17" s="5">
        <f t="shared" si="4"/>
        <v>-8.2170885989658995</v>
      </c>
      <c r="AC17" s="8"/>
    </row>
    <row r="18" spans="1:29" ht="16.2" thickBot="1">
      <c r="A18" s="5">
        <v>16</v>
      </c>
      <c r="B18" s="12">
        <f t="shared" si="1"/>
        <v>-195.95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2"/>
        <v>149.41554600695846</v>
      </c>
      <c r="M18">
        <f t="shared" si="3"/>
        <v>450</v>
      </c>
      <c r="N18">
        <f t="shared" si="0"/>
        <v>-275</v>
      </c>
      <c r="AB18" s="5">
        <f t="shared" si="4"/>
        <v>-9.9034875525361272</v>
      </c>
      <c r="AC18" s="6"/>
    </row>
    <row r="19" spans="1:29" ht="16.2" thickBot="1">
      <c r="A19" s="7">
        <v>17</v>
      </c>
      <c r="B19" s="12">
        <f t="shared" si="1"/>
        <v>-195.95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2"/>
        <v>146.70983189415637</v>
      </c>
      <c r="J19" t="s">
        <v>12</v>
      </c>
      <c r="M19">
        <f t="shared" si="3"/>
        <v>1400</v>
      </c>
      <c r="N19">
        <f t="shared" si="0"/>
        <v>-3000</v>
      </c>
      <c r="AB19" s="5">
        <f t="shared" si="4"/>
        <v>-11.512925464970229</v>
      </c>
      <c r="AC19" s="8"/>
    </row>
    <row r="20" spans="1:29" ht="17.399999999999999" thickBot="1">
      <c r="A20" s="5">
        <v>18</v>
      </c>
      <c r="B20" s="12">
        <f t="shared" si="1"/>
        <v>-195.95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2"/>
        <v>144.60538758419924</v>
      </c>
      <c r="J20" s="11">
        <f>1.3806503*10^(-23)</f>
        <v>1.3806503000000004E-23</v>
      </c>
      <c r="AB20" s="5"/>
    </row>
    <row r="21" spans="1:29" ht="17.399999999999999">
      <c r="J21" s="10"/>
    </row>
    <row r="22" spans="1:29" ht="20.399999999999999">
      <c r="J22" s="14" t="s">
        <v>13</v>
      </c>
    </row>
    <row r="23" spans="1:29">
      <c r="J23" t="s">
        <v>14</v>
      </c>
    </row>
    <row r="44" spans="27:27">
      <c r="AA44" t="s">
        <v>21</v>
      </c>
    </row>
    <row r="45" spans="27:27">
      <c r="AA45">
        <f>SLOPE(AB2:AB19,H2:H19)</f>
        <v>0.55845473451013328</v>
      </c>
    </row>
    <row r="47" spans="27:27">
      <c r="AA47" t="s">
        <v>22</v>
      </c>
    </row>
    <row r="48" spans="27:27">
      <c r="AA48">
        <f>INTERCEPT(AB2:AB19,H2:H19)</f>
        <v>-93.280856724131766</v>
      </c>
    </row>
    <row r="56" spans="9:14" ht="16.2" thickBot="1"/>
    <row r="57" spans="9:14">
      <c r="I57" s="18" t="s">
        <v>15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18" t="s">
        <v>15</v>
      </c>
      <c r="J57" s="18"/>
      <c r="K57" s="18"/>
      <c r="L57" s="18"/>
      <c r="M57" s="18"/>
      <c r="N57" s="18"/>
      <c r="AB57" s="5" t="e">
        <f t="shared" si="4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310-AE3F-46D9-BA7D-9008211E0E75}">
  <dimension ref="A1:V8"/>
  <sheetViews>
    <sheetView tabSelected="1" topLeftCell="F1" zoomScale="67" workbookViewId="0">
      <selection activeCell="O3" sqref="O3:O8"/>
    </sheetView>
  </sheetViews>
  <sheetFormatPr defaultRowHeight="15.6"/>
  <cols>
    <col min="3" max="3" width="11.8984375" bestFit="1" customWidth="1"/>
  </cols>
  <sheetData>
    <row r="1" spans="1:22">
      <c r="A1" t="s">
        <v>34</v>
      </c>
      <c r="B1" t="s">
        <v>35</v>
      </c>
      <c r="C1" t="s">
        <v>36</v>
      </c>
      <c r="D1" t="s">
        <v>37</v>
      </c>
      <c r="E1" t="s">
        <v>38</v>
      </c>
      <c r="G1" t="s">
        <v>26</v>
      </c>
      <c r="I1" t="s">
        <v>25</v>
      </c>
      <c r="J1" t="s">
        <v>30</v>
      </c>
      <c r="M1" t="s">
        <v>24</v>
      </c>
      <c r="O1" t="s">
        <v>27</v>
      </c>
    </row>
    <row r="2" spans="1:22">
      <c r="A2">
        <f>($P$4-$J$2)/$I$2</f>
        <v>0.92049676874447606</v>
      </c>
      <c r="B2">
        <f>($P$5-$J$2)/$I$2</f>
        <v>0.93156594634823664</v>
      </c>
      <c r="C2">
        <f>($P$5-$J$2)/$I$2</f>
        <v>0.93156594634823664</v>
      </c>
      <c r="D2">
        <f>($P$6-$J$2)/$I$2</f>
        <v>0.94061012298368263</v>
      </c>
      <c r="E2">
        <f>($P$7-$J$2)/$I$2</f>
        <v>0.94825686537304998</v>
      </c>
      <c r="G2">
        <f>60.5+273.15</f>
        <v>333.65</v>
      </c>
      <c r="I2">
        <v>20.158999999999999</v>
      </c>
      <c r="J2">
        <v>-17.170000000000002</v>
      </c>
      <c r="M2">
        <v>1.702</v>
      </c>
      <c r="R2" t="s">
        <v>31</v>
      </c>
    </row>
    <row r="3" spans="1:22">
      <c r="A3">
        <f>($P$4-$J$3)/$I$3</f>
        <v>0.91066617820949514</v>
      </c>
      <c r="B3">
        <f>($P$6-$J$3)/$I$3</f>
        <v>0.92871653248577901</v>
      </c>
      <c r="C3">
        <f>($P$7-$J$3)/$I$3</f>
        <v>0.93557895869008201</v>
      </c>
      <c r="D3">
        <f>($P$8-$J$3)/$I$3</f>
        <v>0.94152346265769638</v>
      </c>
      <c r="E3">
        <f>($C$18-$J$3)/$I$3</f>
        <v>0.84895160931309266</v>
      </c>
      <c r="G3">
        <f>47.7+273.15</f>
        <v>320.84999999999997</v>
      </c>
      <c r="I3">
        <v>22.463000000000001</v>
      </c>
      <c r="J3">
        <v>-19.07</v>
      </c>
      <c r="M3">
        <v>1.6040000000000001</v>
      </c>
      <c r="O3" t="s">
        <v>28</v>
      </c>
      <c r="P3" t="s">
        <v>29</v>
      </c>
      <c r="R3" t="s">
        <v>32</v>
      </c>
      <c r="T3" t="s">
        <v>11</v>
      </c>
      <c r="V3" t="s">
        <v>33</v>
      </c>
    </row>
    <row r="4" spans="1:22" ht="17.399999999999999">
      <c r="A4">
        <f>($P$4-$J$4)/$I$4</f>
        <v>0.92337789097613043</v>
      </c>
      <c r="B4">
        <f>($P$5-$J$4)/$I$4</f>
        <v>0.93299034687835358</v>
      </c>
      <c r="C4">
        <f>($P$6-$J$4)/$I$4</f>
        <v>0.94084429521961122</v>
      </c>
      <c r="D4">
        <f>($P$7-$J$4)/$I$4</f>
        <v>0.94748471392501565</v>
      </c>
      <c r="E4">
        <f>($P$8-$J$4)/$I$4</f>
        <v>0.95323690624966984</v>
      </c>
      <c r="G4">
        <f>25.1+273.15</f>
        <v>298.25</v>
      </c>
      <c r="I4">
        <v>23.213999999999999</v>
      </c>
      <c r="J4">
        <v>-20.048999999999999</v>
      </c>
      <c r="M4">
        <v>1.6759999999999999</v>
      </c>
      <c r="O4">
        <v>4</v>
      </c>
      <c r="P4">
        <f>LN(O4)</f>
        <v>1.3862943611198906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>
        <f>($P$4-$J$5)/$I$5</f>
        <v>0.94016288974212958</v>
      </c>
      <c r="B5">
        <f>($P$5-$J$5)/$I$5</f>
        <v>0.9490839928210969</v>
      </c>
      <c r="C5">
        <f>($P$7-$J$5)/$I$5</f>
        <v>0.96253588730081596</v>
      </c>
      <c r="D5">
        <f>($P$4-$J$5)/$I$5</f>
        <v>0.94016288974212958</v>
      </c>
      <c r="E5">
        <f>($P$8-$J$5)/$I$5</f>
        <v>0.96787436699635521</v>
      </c>
      <c r="G5">
        <f>15.9+273.15</f>
        <v>289.04999999999995</v>
      </c>
      <c r="I5">
        <v>25.013000000000002</v>
      </c>
      <c r="J5">
        <v>-22.13</v>
      </c>
      <c r="M5">
        <v>1.6040000000000001</v>
      </c>
      <c r="O5">
        <v>5</v>
      </c>
      <c r="P5">
        <f>LN(O5)</f>
        <v>1.6094379124341003</v>
      </c>
    </row>
    <row r="6" spans="1:22">
      <c r="A6">
        <f>(P4-$J$6)/$I$6</f>
        <v>0.96054622299964998</v>
      </c>
      <c r="B6">
        <f>(P5-$J$6)/$I$6</f>
        <v>0.96912108182892442</v>
      </c>
      <c r="C6">
        <f>(P6-$J$6)/$I$6</f>
        <v>0.97612725163232739</v>
      </c>
      <c r="D6">
        <f>(P7-$J$6)/$I$6</f>
        <v>0.98205088379722982</v>
      </c>
      <c r="E6">
        <f>(P8-$J$6)/$I$6</f>
        <v>0.98718216737808229</v>
      </c>
      <c r="G6">
        <f>-0.6+273.15</f>
        <v>272.54999999999995</v>
      </c>
      <c r="I6">
        <v>26.023</v>
      </c>
      <c r="J6">
        <v>-23.61</v>
      </c>
      <c r="M6">
        <v>1.637</v>
      </c>
      <c r="O6">
        <v>6</v>
      </c>
      <c r="P6">
        <f>LN(O6)</f>
        <v>1.791759469228055</v>
      </c>
    </row>
    <row r="7" spans="1:22">
      <c r="A7">
        <f>($P$4-$J$7)/$I$7</f>
        <v>1.1277180816143892</v>
      </c>
      <c r="B7">
        <f>($P5-$J$7)/$I$7</f>
        <v>1.1303762929588912</v>
      </c>
      <c r="C7">
        <f>($P$6-$J$7)/$I$7</f>
        <v>1.1325482097710176</v>
      </c>
      <c r="D7">
        <f>($P$7-$J$7)/$I$7</f>
        <v>1.1343845392704188</v>
      </c>
      <c r="E7">
        <f>($P$8-$J$7)/$I$7</f>
        <v>1.1359752402368199</v>
      </c>
      <c r="G7">
        <v>77.2</v>
      </c>
      <c r="I7">
        <v>83.944999999999993</v>
      </c>
      <c r="J7">
        <v>-93.28</v>
      </c>
      <c r="M7">
        <v>1.7909999999999999</v>
      </c>
      <c r="O7">
        <v>7</v>
      </c>
      <c r="P7">
        <f>LN(O7)</f>
        <v>1.9459101490553132</v>
      </c>
    </row>
    <row r="8" spans="1:22">
      <c r="O8">
        <v>8</v>
      </c>
      <c r="P8">
        <f>LN(O8)</f>
        <v>2.0794415416798357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Props1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Temp_1</vt:lpstr>
      <vt:lpstr>Temp_2</vt:lpstr>
      <vt:lpstr>Temp_3</vt:lpstr>
      <vt:lpstr>Temp_4</vt:lpstr>
      <vt:lpstr>Temp_5</vt:lpstr>
      <vt:lpstr>Temp_6</vt:lpstr>
      <vt:lpstr>Pol_inv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2025-10-26T19:17:02Z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