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24.xml" ContentType="application/inkml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drawings/drawing6.xml" ContentType="application/vnd.openxmlformats-officedocument.drawing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threadedComments/threadedComment1.xml" ContentType="application/vnd.ms-excel.threadedcomments+xml"/>
  <Override PartName="/xl/charts/chart3.xml" ContentType="application/vnd.openxmlformats-officedocument.drawingml.chart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omments9.xml" ContentType="application/vnd.openxmlformats-officedocument.spreadsheetml.comments+xml"/>
  <Override PartName="/xl/drawings/drawing12.xml" ContentType="application/vnd.openxmlformats-officedocument.drawing+xml"/>
  <Override PartName="/xl/comments10.xml" ContentType="application/vnd.openxmlformats-officedocument.spreadsheetml.comments+xml"/>
  <Override PartName="/xl/charts/chart1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6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omments12.xml" ContentType="application/vnd.openxmlformats-officedocument.spreadsheetml.comments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comments13.xml" ContentType="application/vnd.openxmlformats-officedocument.spreadsheetml.comments+xml"/>
  <Override PartName="/xl/drawings/drawing16.xml" ContentType="application/vnd.openxmlformats-officedocument.drawing+xml"/>
  <Override PartName="/xl/tables/table7.xml" ContentType="application/vnd.openxmlformats-officedocument.spreadsheetml.table+xml"/>
  <Override PartName="/xl/comments14.xml" ContentType="application/vnd.openxmlformats-officedocument.spreadsheetml.comments+xml"/>
  <Override PartName="/xl/charts/chartEx9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+xml"/>
  <Override PartName="/xl/comments15.xml" ContentType="application/vnd.openxmlformats-officedocument.spreadsheetml.comments+xml"/>
  <Override PartName="/xl/charts/chartEx10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+xml"/>
  <Override PartName="/xl/comments16.xml" ContentType="application/vnd.openxmlformats-officedocument.spreadsheetml.comments+xml"/>
  <Override PartName="/xl/drawings/drawing19.xml" ContentType="application/vnd.openxmlformats-officedocument.drawing+xml"/>
  <Override PartName="/xl/tables/table8.xml" ContentType="application/vnd.openxmlformats-officedocument.spreadsheetml.table+xml"/>
  <Override PartName="/xl/comments17.xml" ContentType="application/vnd.openxmlformats-officedocument.spreadsheetml.comments+xml"/>
  <Override PartName="/xl/charts/chart24.xml" ContentType="application/vnd.openxmlformats-officedocument.drawingml.chart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tables/table9.xml" ContentType="application/vnd.openxmlformats-officedocument.spreadsheetml.table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tables/table10.xml" ContentType="application/vnd.openxmlformats-officedocument.spreadsheetml.table+xml"/>
  <Override PartName="/xl/drawings/drawing20.xml" ContentType="application/vnd.openxmlformats-officedocument.drawing+xml"/>
  <Override PartName="/xl/charts/chart25.xml" ContentType="application/vnd.openxmlformats-officedocument.drawingml.chart+xml"/>
  <Override PartName="/xl/drawings/drawing21.xml" ContentType="application/vnd.openxmlformats-officedocument.drawing+xml"/>
  <Override PartName="/xl/tables/table11.xml" ContentType="application/vnd.openxmlformats-officedocument.spreadsheetml.table+xml"/>
  <Override PartName="/xl/charts/chart26.xml" ContentType="application/vnd.openxmlformats-officedocument.drawingml.chart+xml"/>
  <Override PartName="/xl/drawings/drawing22.xml" ContentType="application/vnd.openxmlformats-officedocument.drawing+xml"/>
  <Override PartName="/xl/tables/table12.xml" ContentType="application/vnd.openxmlformats-officedocument.spreadsheetml.table+xml"/>
  <Override PartName="/xl/charts/chart27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0d4d1b27afcb5a/! Kurzy/Databázy a Analytika/IBM SPSS/Datasety/"/>
    </mc:Choice>
  </mc:AlternateContent>
  <xr:revisionPtr revIDLastSave="3" documentId="13_ncr:1_{E5F9EB91-AFBC-4656-87FD-BC0B6327C07D}" xr6:coauthVersionLast="47" xr6:coauthVersionMax="47" xr10:uidLastSave="{96789A4E-4068-407B-8FEF-1150AD8F1676}"/>
  <bookViews>
    <workbookView xWindow="-110" yWindow="-110" windowWidth="25820" windowHeight="14020" xr2:uid="{C14347AD-89F1-402E-8A2F-3E115583AEA1}"/>
  </bookViews>
  <sheets>
    <sheet name="Popisna Statistika OK (2)" sheetId="59" r:id="rId1"/>
    <sheet name="Dáta (2)" sheetId="58" r:id="rId2"/>
    <sheet name="Cas Minuty" sheetId="57" r:id="rId3"/>
    <sheet name="Body" sheetId="56" r:id="rId4"/>
    <sheet name="Znamienkový test" sheetId="54" r:id="rId5"/>
    <sheet name="Test Hypotéza Rozptyl" sheetId="53" r:id="rId6"/>
    <sheet name="Test Hypotéza Mi Konšt 390" sheetId="55" r:id="rId7"/>
    <sheet name="Test Hypotéza Mi Konšt 350" sheetId="52" r:id="rId8"/>
    <sheet name="Transponovanie Histogramy" sheetId="45" r:id="rId9"/>
    <sheet name="Podiel" sheetId="51" r:id="rId10"/>
    <sheet name="Generovanie-Vyber-Nahodny (3)" sheetId="50" r:id="rId11"/>
    <sheet name="Generovanie-Vyber-Nahodny (2)" sheetId="49" r:id="rId12"/>
    <sheet name="Generovanie-Vyber-Nahodny" sheetId="48" r:id="rId13"/>
    <sheet name="NR Generovanie" sheetId="43" r:id="rId14"/>
    <sheet name="Transponovanie" sheetId="44" r:id="rId15"/>
    <sheet name="Aproximácia BI NR" sheetId="42" r:id="rId16"/>
    <sheet name="Normálne Rozdelenie" sheetId="41" r:id="rId17"/>
    <sheet name="Binomické-Rozdelenie" sheetId="40" r:id="rId18"/>
    <sheet name="Náhodné-Hodnoty" sheetId="39" r:id="rId19"/>
    <sheet name="Rozhodovacie Stromy, Ven" sheetId="38" r:id="rId20"/>
    <sheet name="Nezávislosť Javov" sheetId="37" r:id="rId21"/>
    <sheet name="Dočasná Tabuľka" sheetId="36" r:id="rId22"/>
    <sheet name="Konti-Tab Pravdepodobnosti" sheetId="35" r:id="rId23"/>
    <sheet name="! Vážene Miery-Jednoduchá_Frekv" sheetId="26" r:id="rId24"/>
    <sheet name="Frekvenčné_Tabuľky_Početnosti" sheetId="31" r:id="rId25"/>
    <sheet name="Dáta a Funkcie" sheetId="18" r:id="rId26"/>
    <sheet name="Kvartily_Miery_Lokacie" sheetId="25" r:id="rId27"/>
    <sheet name="Miery_Polohy_Mzdy_Zamestnanci" sheetId="24" r:id="rId28"/>
    <sheet name="Histogram Novy" sheetId="16" r:id="rId29"/>
    <sheet name="Vážene Miery-Jednoduchá_Fre (2)" sheetId="34" r:id="rId30"/>
    <sheet name="Vážene Miery-Interval_Frekv (2)" sheetId="33" r:id="rId31"/>
    <sheet name="Vážene Miery-Interval_Frekv" sheetId="27" r:id="rId32"/>
    <sheet name="Dáta" sheetId="1" r:id="rId33"/>
    <sheet name="Popisna Statistika NG" sheetId="19" r:id="rId34"/>
    <sheet name="Popisna Statistika OK" sheetId="20" r:id="rId35"/>
    <sheet name="Absolútna a Relatívna Početnosť" sheetId="17" r:id="rId36"/>
    <sheet name="Tabuľky" sheetId="12" r:id="rId37"/>
    <sheet name="Duplikácia" sheetId="11" r:id="rId38"/>
    <sheet name="Histogram NG" sheetId="13" r:id="rId39"/>
    <sheet name="Histogram OK" sheetId="15" r:id="rId40"/>
    <sheet name="Histogram NG - Pozor riadok súč" sheetId="14" r:id="rId41"/>
  </sheets>
  <definedNames>
    <definedName name="_AMO_UniqueIdentifier" hidden="1">"'56e116f9-aa6b-4f01-802c-e0f76d37249d'"</definedName>
    <definedName name="_xlnm._FilterDatabase" localSheetId="3" hidden="1">Body!$A$1:$D$67</definedName>
    <definedName name="_xlnm._FilterDatabase" localSheetId="2" hidden="1">'Cas Minuty'!$A$1:$D$67</definedName>
    <definedName name="_xlnm._FilterDatabase" localSheetId="32" hidden="1">Dáta!$A$1:$G$51</definedName>
    <definedName name="_xlnm._FilterDatabase" localSheetId="1" hidden="1">'Dáta (2)'!$A$1:$G$51</definedName>
    <definedName name="_xlnm._FilterDatabase" localSheetId="25" hidden="1">'Dáta a Funkcie'!$B$1:$H$51</definedName>
    <definedName name="_xlnm._FilterDatabase" localSheetId="4" hidden="1">'Znamienkový test'!$B$1:$D$10</definedName>
    <definedName name="_xlchart.v1.0" hidden="1">'Cas Minuty'!$G$1</definedName>
    <definedName name="_xlchart.v1.1" hidden="1">'Cas Minuty'!$G$2:$G$35</definedName>
    <definedName name="_xlchart.v1.10" hidden="1">'Generovanie-Vyber-Nahodny (2)'!$P$2:$P$145</definedName>
    <definedName name="_xlchart.v1.11" hidden="1">'Generovanie-Vyber-Nahodny (2)'!$B$2:$B$201</definedName>
    <definedName name="_xlchart.v1.12" hidden="1">'Generovanie-Vyber-Nahodny'!$B$2:$B$201</definedName>
    <definedName name="_xlchart.v1.13" hidden="1">'Generovanie-Vyber-Nahodny'!$P$2:$P$145</definedName>
    <definedName name="_xlchart.v1.14" hidden="1">'Dáta a Funkcie'!$H$2:$H$51</definedName>
    <definedName name="_xlchart.v1.15" hidden="1">'Dáta a Funkcie'!$H$2:$H$51</definedName>
    <definedName name="_xlchart.v1.2" hidden="1">'Cas Minuty'!$H$1</definedName>
    <definedName name="_xlchart.v1.3" hidden="1">'Cas Minuty'!$H$2:$H$35</definedName>
    <definedName name="_xlchart.v1.4" hidden="1">Body!$G$1</definedName>
    <definedName name="_xlchart.v1.5" hidden="1">Body!$G$2:$G$35</definedName>
    <definedName name="_xlchart.v1.6" hidden="1">Body!$H$1</definedName>
    <definedName name="_xlchart.v1.7" hidden="1">Body!$H$2:$H$35</definedName>
    <definedName name="_xlchart.v1.8" hidden="1">'Generovanie-Vyber-Nahodny (3)'!$P$2:$P$145</definedName>
    <definedName name="_xlchart.v1.9" hidden="1">'Generovanie-Vyber-Nahodny (3)'!$B$2:$B$201</definedName>
  </definedNames>
  <calcPr calcId="191028"/>
  <pivotCaches>
    <pivotCache cacheId="0" r:id="rId42"/>
    <pivotCache cacheId="1" r:id="rId4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7" i="59" l="1"/>
  <c r="E51" i="58"/>
  <c r="E50" i="58"/>
  <c r="E49" i="58"/>
  <c r="E48" i="58"/>
  <c r="E47" i="58"/>
  <c r="E46" i="58"/>
  <c r="E45" i="58"/>
  <c r="E44" i="58"/>
  <c r="E43" i="58"/>
  <c r="E42" i="58"/>
  <c r="E41" i="58"/>
  <c r="E40" i="58"/>
  <c r="E39" i="58"/>
  <c r="E38" i="58"/>
  <c r="E37" i="58"/>
  <c r="E36" i="58"/>
  <c r="E35" i="58"/>
  <c r="E34" i="58"/>
  <c r="E33" i="58"/>
  <c r="E32" i="58"/>
  <c r="E31" i="58"/>
  <c r="E30" i="58"/>
  <c r="E29" i="58"/>
  <c r="E28" i="58"/>
  <c r="E27" i="58"/>
  <c r="E26" i="58"/>
  <c r="E25" i="58"/>
  <c r="E24" i="58"/>
  <c r="E23" i="58"/>
  <c r="E22" i="58"/>
  <c r="E21" i="58"/>
  <c r="E20" i="58"/>
  <c r="E19" i="58"/>
  <c r="E18" i="58"/>
  <c r="E17" i="58"/>
  <c r="E16" i="58"/>
  <c r="E15" i="58"/>
  <c r="E14" i="58"/>
  <c r="E13" i="58"/>
  <c r="E12" i="58"/>
  <c r="E11" i="58"/>
  <c r="E10" i="58"/>
  <c r="E9" i="58"/>
  <c r="E8" i="58"/>
  <c r="E7" i="58"/>
  <c r="E6" i="58"/>
  <c r="E5" i="58"/>
  <c r="E4" i="58"/>
  <c r="E3" i="58"/>
  <c r="E2" i="58"/>
  <c r="L39" i="53"/>
  <c r="L17" i="57" l="1"/>
  <c r="L18" i="57"/>
  <c r="K18" i="57"/>
  <c r="K17" i="57"/>
  <c r="R9" i="57"/>
  <c r="R9" i="56"/>
  <c r="M3" i="56"/>
  <c r="L17" i="56"/>
  <c r="L18" i="56"/>
  <c r="K18" i="56"/>
  <c r="K17" i="56"/>
  <c r="I29" i="55" l="1"/>
  <c r="I28" i="55"/>
  <c r="I27" i="55"/>
  <c r="J23" i="55"/>
  <c r="I19" i="55"/>
  <c r="E19" i="55"/>
  <c r="B19" i="55"/>
  <c r="I18" i="55"/>
  <c r="E18" i="55"/>
  <c r="B18" i="55"/>
  <c r="I17" i="55"/>
  <c r="E17" i="55"/>
  <c r="B17" i="55"/>
  <c r="J13" i="55"/>
  <c r="I9" i="55"/>
  <c r="J8" i="55"/>
  <c r="I8" i="55"/>
  <c r="I7" i="55"/>
  <c r="J3" i="55"/>
  <c r="A10" i="54"/>
  <c r="A9" i="54"/>
  <c r="A8" i="54"/>
  <c r="A7" i="54"/>
  <c r="A6" i="54"/>
  <c r="A5" i="54"/>
  <c r="A4" i="54"/>
  <c r="A3" i="54"/>
  <c r="A2" i="54"/>
  <c r="H8" i="54" l="1"/>
  <c r="H7" i="54"/>
  <c r="H6" i="54"/>
  <c r="I6" i="54"/>
  <c r="L1" i="54"/>
  <c r="H5" i="54"/>
  <c r="E15" i="54"/>
  <c r="E13" i="54"/>
  <c r="E12" i="54"/>
  <c r="E3" i="54"/>
  <c r="E4" i="54"/>
  <c r="E5" i="54"/>
  <c r="E6" i="54"/>
  <c r="E7" i="54"/>
  <c r="E8" i="54"/>
  <c r="E9" i="54"/>
  <c r="E10" i="54"/>
  <c r="E2" i="54"/>
  <c r="I1" i="54"/>
  <c r="T29" i="53"/>
  <c r="P29" i="53"/>
  <c r="M29" i="53"/>
  <c r="S29" i="53"/>
  <c r="O29" i="53"/>
  <c r="L29" i="53"/>
  <c r="S38" i="53"/>
  <c r="S28" i="53"/>
  <c r="O38" i="53"/>
  <c r="O28" i="53"/>
  <c r="L38" i="53"/>
  <c r="L28" i="53"/>
  <c r="S50" i="53"/>
  <c r="S49" i="53"/>
  <c r="S48" i="53"/>
  <c r="T44" i="53"/>
  <c r="S40" i="53"/>
  <c r="S39" i="53"/>
  <c r="T34" i="53"/>
  <c r="T24" i="53"/>
  <c r="O50" i="53"/>
  <c r="L50" i="53"/>
  <c r="O49" i="53"/>
  <c r="L49" i="53"/>
  <c r="O48" i="53"/>
  <c r="L48" i="53"/>
  <c r="P44" i="53"/>
  <c r="M44" i="53"/>
  <c r="O40" i="53"/>
  <c r="L40" i="53"/>
  <c r="O39" i="53"/>
  <c r="P34" i="53"/>
  <c r="M34" i="53"/>
  <c r="P24" i="53"/>
  <c r="M24" i="53"/>
  <c r="L20" i="53"/>
  <c r="K20" i="53"/>
  <c r="L19" i="53"/>
  <c r="K19" i="53"/>
  <c r="K17" i="53"/>
  <c r="K16" i="53"/>
  <c r="L17" i="53"/>
  <c r="L16" i="53"/>
  <c r="K13" i="53"/>
  <c r="K12" i="53"/>
  <c r="K8" i="53"/>
  <c r="K7" i="53"/>
  <c r="K4" i="53"/>
  <c r="K3" i="53"/>
  <c r="L2" i="53"/>
  <c r="H20" i="53"/>
  <c r="E20" i="53"/>
  <c r="H19" i="53"/>
  <c r="E19" i="53"/>
  <c r="H18" i="53"/>
  <c r="E18" i="53"/>
  <c r="P29" i="52"/>
  <c r="P28" i="52"/>
  <c r="L29" i="52"/>
  <c r="L28" i="52"/>
  <c r="I29" i="52"/>
  <c r="I28" i="52"/>
  <c r="P27" i="52"/>
  <c r="L27" i="52"/>
  <c r="I27" i="52"/>
  <c r="Q23" i="52"/>
  <c r="M23" i="52"/>
  <c r="J23" i="52"/>
  <c r="P19" i="52"/>
  <c r="L19" i="52"/>
  <c r="P18" i="52"/>
  <c r="L18" i="52"/>
  <c r="I19" i="52"/>
  <c r="I18" i="52"/>
  <c r="P17" i="52"/>
  <c r="L17" i="52"/>
  <c r="I17" i="52"/>
  <c r="Q13" i="52"/>
  <c r="M13" i="52"/>
  <c r="J13" i="52"/>
  <c r="Q8" i="52"/>
  <c r="P8" i="52"/>
  <c r="M8" i="52"/>
  <c r="L8" i="52"/>
  <c r="J8" i="52"/>
  <c r="I8" i="52"/>
  <c r="L7" i="52"/>
  <c r="P7" i="52"/>
  <c r="I7" i="52"/>
  <c r="I9" i="52"/>
  <c r="Q3" i="52"/>
  <c r="M3" i="52"/>
  <c r="J3" i="52"/>
  <c r="E19" i="52" l="1"/>
  <c r="E18" i="52"/>
  <c r="E17" i="52"/>
  <c r="B19" i="52"/>
  <c r="B18" i="52"/>
  <c r="B17" i="52"/>
  <c r="H42" i="51" l="1"/>
  <c r="H41" i="51"/>
  <c r="H39" i="51"/>
  <c r="H38" i="51"/>
  <c r="I34" i="51" l="1"/>
  <c r="I33" i="51"/>
  <c r="H34" i="51" l="1"/>
  <c r="H33" i="51"/>
  <c r="H32" i="51"/>
  <c r="H31" i="51"/>
  <c r="H30" i="51"/>
  <c r="H29" i="51"/>
  <c r="H28" i="51"/>
  <c r="H27" i="51"/>
  <c r="H26" i="51"/>
  <c r="J23" i="51"/>
  <c r="I23" i="51"/>
  <c r="G13" i="51"/>
  <c r="J132" i="50" l="1"/>
  <c r="J131" i="50"/>
  <c r="J129" i="50"/>
  <c r="J128" i="50"/>
  <c r="J127" i="50"/>
  <c r="J126" i="50"/>
  <c r="J124" i="50"/>
  <c r="J122" i="50"/>
  <c r="J120" i="50"/>
  <c r="J121" i="50" s="1"/>
  <c r="E132" i="50"/>
  <c r="E131" i="50"/>
  <c r="E129" i="50"/>
  <c r="E128" i="50"/>
  <c r="E127" i="50"/>
  <c r="E126" i="50"/>
  <c r="E125" i="50"/>
  <c r="E124" i="50"/>
  <c r="E122" i="50"/>
  <c r="E121" i="50"/>
  <c r="E120" i="50"/>
  <c r="J114" i="50"/>
  <c r="J115" i="50" s="1"/>
  <c r="J113" i="50"/>
  <c r="E115" i="50"/>
  <c r="E114" i="50"/>
  <c r="E113" i="50"/>
  <c r="J107" i="50"/>
  <c r="E107" i="50"/>
  <c r="J105" i="50"/>
  <c r="K107" i="50" s="1"/>
  <c r="E105" i="50"/>
  <c r="E106" i="50" s="1"/>
  <c r="E108" i="50" s="1"/>
  <c r="J104" i="50"/>
  <c r="E104" i="50"/>
  <c r="J100" i="50"/>
  <c r="E100" i="50"/>
  <c r="J99" i="50"/>
  <c r="E99" i="50"/>
  <c r="J98" i="50"/>
  <c r="E98" i="50"/>
  <c r="L82" i="50"/>
  <c r="G82" i="50"/>
  <c r="L81" i="50"/>
  <c r="G81" i="50"/>
  <c r="L80" i="50"/>
  <c r="G80" i="50"/>
  <c r="L79" i="50"/>
  <c r="G79" i="50"/>
  <c r="L78" i="50"/>
  <c r="G78" i="50"/>
  <c r="L77" i="50"/>
  <c r="G77" i="50"/>
  <c r="E50" i="50"/>
  <c r="S48" i="50"/>
  <c r="S32" i="50"/>
  <c r="E32" i="50"/>
  <c r="K107" i="49"/>
  <c r="F107" i="49"/>
  <c r="J125" i="50" l="1"/>
  <c r="E109" i="50"/>
  <c r="E110" i="50"/>
  <c r="F107" i="50"/>
  <c r="J106" i="50"/>
  <c r="J108" i="50" s="1"/>
  <c r="J110" i="50" l="1"/>
  <c r="J109" i="50"/>
  <c r="E138" i="49" l="1"/>
  <c r="F138" i="49"/>
  <c r="E136" i="49"/>
  <c r="E137" i="49" s="1"/>
  <c r="E135" i="49" l="1"/>
  <c r="E132" i="49"/>
  <c r="E131" i="49"/>
  <c r="J107" i="49"/>
  <c r="J105" i="49"/>
  <c r="J104" i="49"/>
  <c r="J106" i="49" s="1"/>
  <c r="J108" i="49" s="1"/>
  <c r="J100" i="49"/>
  <c r="E110" i="49"/>
  <c r="E108" i="49"/>
  <c r="E109" i="49" s="1"/>
  <c r="E107" i="49"/>
  <c r="E106" i="49"/>
  <c r="E105" i="49"/>
  <c r="E104" i="49"/>
  <c r="E100" i="49"/>
  <c r="J99" i="49"/>
  <c r="J98" i="49"/>
  <c r="E99" i="49"/>
  <c r="E98" i="49"/>
  <c r="L82" i="49"/>
  <c r="L81" i="49"/>
  <c r="L80" i="49"/>
  <c r="L79" i="49"/>
  <c r="L78" i="49"/>
  <c r="L77" i="49"/>
  <c r="G80" i="49"/>
  <c r="G81" i="49"/>
  <c r="G82" i="49"/>
  <c r="G79" i="49"/>
  <c r="G78" i="49"/>
  <c r="G77" i="49"/>
  <c r="E50" i="49"/>
  <c r="S48" i="49"/>
  <c r="S32" i="49"/>
  <c r="E32" i="49"/>
  <c r="E50" i="48"/>
  <c r="E32" i="48"/>
  <c r="S32" i="48"/>
  <c r="S48" i="48"/>
  <c r="E139" i="49" l="1"/>
  <c r="E141" i="49" s="1"/>
  <c r="J110" i="49"/>
  <c r="J109" i="49"/>
  <c r="E140" i="49" l="1"/>
  <c r="B19" i="44" a="1"/>
  <c r="C19" i="44" s="1"/>
  <c r="B17" i="44" a="1"/>
  <c r="C17" i="44" s="1"/>
  <c r="C112" i="43"/>
  <c r="C111" i="43"/>
  <c r="C110" i="43"/>
  <c r="C109" i="43"/>
  <c r="B112" i="43"/>
  <c r="B111" i="43"/>
  <c r="B110" i="43"/>
  <c r="B109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Z106" i="43"/>
  <c r="AA106" i="43"/>
  <c r="AB106" i="43"/>
  <c r="AC106" i="43"/>
  <c r="AD106" i="43"/>
  <c r="AE106" i="43"/>
  <c r="AF106" i="43"/>
  <c r="AG106" i="43"/>
  <c r="AH106" i="43"/>
  <c r="AI106" i="43"/>
  <c r="AJ106" i="43"/>
  <c r="AK106" i="43"/>
  <c r="AL106" i="43"/>
  <c r="AM106" i="43"/>
  <c r="AN106" i="43"/>
  <c r="AO106" i="43"/>
  <c r="AP106" i="43"/>
  <c r="AQ106" i="43"/>
  <c r="AR106" i="43"/>
  <c r="AS106" i="43"/>
  <c r="AT106" i="43"/>
  <c r="AU106" i="43"/>
  <c r="AV106" i="43"/>
  <c r="AW106" i="43"/>
  <c r="AX106" i="43"/>
  <c r="AY106" i="43"/>
  <c r="B106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Z105" i="43"/>
  <c r="AA105" i="43"/>
  <c r="AB105" i="43"/>
  <c r="AC105" i="43"/>
  <c r="AD105" i="43"/>
  <c r="AE105" i="43"/>
  <c r="AF105" i="43"/>
  <c r="AG105" i="43"/>
  <c r="AH105" i="43"/>
  <c r="AI105" i="43"/>
  <c r="AJ105" i="43"/>
  <c r="AK105" i="43"/>
  <c r="AL105" i="43"/>
  <c r="AM105" i="43"/>
  <c r="AN105" i="43"/>
  <c r="AO105" i="43"/>
  <c r="AP105" i="43"/>
  <c r="AQ105" i="43"/>
  <c r="AR105" i="43"/>
  <c r="AS105" i="43"/>
  <c r="AT105" i="43"/>
  <c r="AU105" i="43"/>
  <c r="AV105" i="43"/>
  <c r="AW105" i="43"/>
  <c r="AX105" i="43"/>
  <c r="AY105" i="43"/>
  <c r="B105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Z104" i="43"/>
  <c r="AA104" i="43"/>
  <c r="AB104" i="43"/>
  <c r="AC104" i="43"/>
  <c r="AD104" i="43"/>
  <c r="AE104" i="43"/>
  <c r="AF104" i="43"/>
  <c r="AG104" i="43"/>
  <c r="AH104" i="43"/>
  <c r="AI104" i="43"/>
  <c r="AJ104" i="43"/>
  <c r="AK104" i="43"/>
  <c r="AL104" i="43"/>
  <c r="AM104" i="43"/>
  <c r="AN104" i="43"/>
  <c r="AO104" i="43"/>
  <c r="AP104" i="43"/>
  <c r="AQ104" i="43"/>
  <c r="AR104" i="43"/>
  <c r="AS104" i="43"/>
  <c r="AT104" i="43"/>
  <c r="AU104" i="43"/>
  <c r="AV104" i="43"/>
  <c r="AW104" i="43"/>
  <c r="AX104" i="43"/>
  <c r="AY104" i="43"/>
  <c r="B104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Z103" i="43"/>
  <c r="AA103" i="43"/>
  <c r="AB103" i="43"/>
  <c r="AC103" i="43"/>
  <c r="AD103" i="43"/>
  <c r="AE103" i="43"/>
  <c r="AF103" i="43"/>
  <c r="AG103" i="43"/>
  <c r="AH103" i="43"/>
  <c r="AI103" i="43"/>
  <c r="AJ103" i="43"/>
  <c r="AK103" i="43"/>
  <c r="AL103" i="43"/>
  <c r="AM103" i="43"/>
  <c r="AN103" i="43"/>
  <c r="AO103" i="43"/>
  <c r="AP103" i="43"/>
  <c r="AQ103" i="43"/>
  <c r="AR103" i="43"/>
  <c r="AS103" i="43"/>
  <c r="AT103" i="43"/>
  <c r="AU103" i="43"/>
  <c r="AV103" i="43"/>
  <c r="AW103" i="43"/>
  <c r="AX103" i="43"/>
  <c r="AY103" i="43"/>
  <c r="B103" i="43"/>
  <c r="B19" i="44" l="1"/>
  <c r="D19" i="44"/>
  <c r="D17" i="44"/>
  <c r="B17" i="44"/>
  <c r="H4" i="42" l="1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97" i="42"/>
  <c r="G98" i="42"/>
  <c r="G99" i="42"/>
  <c r="G100" i="42"/>
  <c r="G101" i="42"/>
  <c r="G102" i="42"/>
  <c r="G103" i="42"/>
  <c r="G3" i="42"/>
  <c r="F4" i="42"/>
  <c r="F5" i="42"/>
  <c r="F6" i="42"/>
  <c r="F7" i="42"/>
  <c r="F8" i="42"/>
  <c r="F9" i="42"/>
  <c r="F10" i="42"/>
  <c r="F11" i="42"/>
  <c r="F12" i="42"/>
  <c r="F13" i="42"/>
  <c r="F14" i="42"/>
  <c r="F15" i="42"/>
  <c r="F16" i="42"/>
  <c r="F17" i="42"/>
  <c r="F18" i="42"/>
  <c r="F19" i="42"/>
  <c r="F20" i="42"/>
  <c r="F21" i="42"/>
  <c r="F22" i="42"/>
  <c r="F23" i="42"/>
  <c r="F24" i="42"/>
  <c r="F25" i="42"/>
  <c r="F26" i="42"/>
  <c r="F27" i="42"/>
  <c r="F28" i="42"/>
  <c r="F29" i="42"/>
  <c r="F30" i="42"/>
  <c r="F31" i="42"/>
  <c r="F32" i="42"/>
  <c r="F33" i="42"/>
  <c r="F34" i="42"/>
  <c r="F35" i="42"/>
  <c r="F36" i="42"/>
  <c r="F37" i="42"/>
  <c r="F38" i="42"/>
  <c r="F39" i="42"/>
  <c r="F40" i="42"/>
  <c r="F41" i="42"/>
  <c r="F42" i="42"/>
  <c r="F43" i="42"/>
  <c r="F44" i="42"/>
  <c r="F45" i="42"/>
  <c r="F46" i="42"/>
  <c r="F47" i="42"/>
  <c r="F48" i="42"/>
  <c r="F49" i="42"/>
  <c r="F50" i="42"/>
  <c r="F51" i="42"/>
  <c r="F52" i="42"/>
  <c r="F53" i="42"/>
  <c r="F54" i="42"/>
  <c r="F55" i="42"/>
  <c r="F56" i="42"/>
  <c r="F57" i="42"/>
  <c r="F58" i="42"/>
  <c r="F59" i="42"/>
  <c r="F60" i="42"/>
  <c r="F61" i="42"/>
  <c r="F62" i="42"/>
  <c r="F63" i="42"/>
  <c r="F64" i="42"/>
  <c r="F65" i="42"/>
  <c r="F66" i="42"/>
  <c r="F67" i="42"/>
  <c r="F68" i="42"/>
  <c r="F69" i="42"/>
  <c r="F70" i="42"/>
  <c r="F71" i="42"/>
  <c r="F72" i="42"/>
  <c r="F73" i="42"/>
  <c r="F74" i="42"/>
  <c r="F75" i="42"/>
  <c r="F76" i="42"/>
  <c r="F77" i="42"/>
  <c r="F78" i="42"/>
  <c r="F79" i="42"/>
  <c r="F80" i="42"/>
  <c r="F81" i="42"/>
  <c r="F82" i="42"/>
  <c r="F83" i="42"/>
  <c r="F84" i="42"/>
  <c r="F85" i="42"/>
  <c r="F86" i="42"/>
  <c r="F87" i="42"/>
  <c r="F88" i="42"/>
  <c r="F89" i="42"/>
  <c r="F90" i="42"/>
  <c r="F91" i="42"/>
  <c r="F92" i="42"/>
  <c r="F93" i="42"/>
  <c r="F94" i="42"/>
  <c r="F95" i="42"/>
  <c r="F96" i="42"/>
  <c r="F97" i="42"/>
  <c r="F98" i="42"/>
  <c r="F99" i="42"/>
  <c r="F100" i="42"/>
  <c r="F101" i="42"/>
  <c r="F102" i="42"/>
  <c r="F103" i="42"/>
  <c r="F3" i="42"/>
  <c r="E4" i="42"/>
  <c r="E5" i="42"/>
  <c r="E6" i="42"/>
  <c r="E7" i="42"/>
  <c r="E8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3" i="42"/>
  <c r="B14" i="42"/>
  <c r="B13" i="42"/>
  <c r="B5" i="42"/>
  <c r="B4" i="42"/>
  <c r="B3" i="42"/>
  <c r="H8" i="41" l="1"/>
  <c r="H16" i="41"/>
  <c r="H24" i="41"/>
  <c r="H32" i="41"/>
  <c r="H40" i="41"/>
  <c r="H48" i="41"/>
  <c r="H56" i="41"/>
  <c r="H64" i="41"/>
  <c r="H72" i="41"/>
  <c r="H80" i="41"/>
  <c r="G4" i="41"/>
  <c r="G5" i="41"/>
  <c r="G6" i="41"/>
  <c r="G12" i="41"/>
  <c r="G13" i="41"/>
  <c r="G14" i="41"/>
  <c r="G20" i="41"/>
  <c r="G21" i="41"/>
  <c r="G22" i="41"/>
  <c r="G28" i="41"/>
  <c r="G29" i="41"/>
  <c r="G30" i="41"/>
  <c r="G36" i="41"/>
  <c r="G37" i="41"/>
  <c r="G38" i="41"/>
  <c r="G44" i="41"/>
  <c r="G45" i="41"/>
  <c r="G46" i="41"/>
  <c r="G52" i="41"/>
  <c r="G53" i="41"/>
  <c r="G54" i="41"/>
  <c r="G60" i="41"/>
  <c r="G61" i="41"/>
  <c r="G62" i="41"/>
  <c r="G68" i="41"/>
  <c r="G69" i="41"/>
  <c r="G70" i="41"/>
  <c r="G76" i="41"/>
  <c r="G77" i="41"/>
  <c r="G78" i="41"/>
  <c r="G84" i="41"/>
  <c r="G85" i="41"/>
  <c r="G3" i="41"/>
  <c r="F4" i="41"/>
  <c r="H4" i="41" s="1"/>
  <c r="F5" i="41"/>
  <c r="H5" i="41" s="1"/>
  <c r="F6" i="41"/>
  <c r="H6" i="41" s="1"/>
  <c r="F7" i="41"/>
  <c r="G7" i="41" s="1"/>
  <c r="F8" i="41"/>
  <c r="G8" i="41" s="1"/>
  <c r="F9" i="41"/>
  <c r="G9" i="41" s="1"/>
  <c r="F10" i="41"/>
  <c r="H10" i="41" s="1"/>
  <c r="F11" i="41"/>
  <c r="H11" i="41" s="1"/>
  <c r="F12" i="41"/>
  <c r="H12" i="41" s="1"/>
  <c r="F13" i="41"/>
  <c r="H13" i="41" s="1"/>
  <c r="F14" i="41"/>
  <c r="H14" i="41" s="1"/>
  <c r="F15" i="41"/>
  <c r="G15" i="41" s="1"/>
  <c r="F16" i="41"/>
  <c r="G16" i="41" s="1"/>
  <c r="F17" i="41"/>
  <c r="G17" i="41" s="1"/>
  <c r="F18" i="41"/>
  <c r="H18" i="41" s="1"/>
  <c r="F19" i="41"/>
  <c r="H19" i="41" s="1"/>
  <c r="F20" i="41"/>
  <c r="H20" i="41" s="1"/>
  <c r="F21" i="41"/>
  <c r="H21" i="41" s="1"/>
  <c r="F22" i="41"/>
  <c r="H22" i="41" s="1"/>
  <c r="F23" i="41"/>
  <c r="G23" i="41" s="1"/>
  <c r="F24" i="41"/>
  <c r="G24" i="41" s="1"/>
  <c r="F25" i="41"/>
  <c r="G25" i="41" s="1"/>
  <c r="F26" i="41"/>
  <c r="H26" i="41" s="1"/>
  <c r="F27" i="41"/>
  <c r="H27" i="41" s="1"/>
  <c r="F28" i="41"/>
  <c r="H28" i="41" s="1"/>
  <c r="F29" i="41"/>
  <c r="H29" i="41" s="1"/>
  <c r="F30" i="41"/>
  <c r="H30" i="41" s="1"/>
  <c r="F31" i="41"/>
  <c r="G31" i="41" s="1"/>
  <c r="F32" i="41"/>
  <c r="G32" i="41" s="1"/>
  <c r="F33" i="41"/>
  <c r="G33" i="41" s="1"/>
  <c r="F34" i="41"/>
  <c r="H34" i="41" s="1"/>
  <c r="F35" i="41"/>
  <c r="H35" i="41" s="1"/>
  <c r="F36" i="41"/>
  <c r="H36" i="41" s="1"/>
  <c r="F37" i="41"/>
  <c r="H37" i="41" s="1"/>
  <c r="F38" i="41"/>
  <c r="H38" i="41" s="1"/>
  <c r="F39" i="41"/>
  <c r="G39" i="41" s="1"/>
  <c r="F40" i="41"/>
  <c r="G40" i="41" s="1"/>
  <c r="F41" i="41"/>
  <c r="G41" i="41" s="1"/>
  <c r="F42" i="41"/>
  <c r="H42" i="41" s="1"/>
  <c r="F43" i="41"/>
  <c r="H43" i="41" s="1"/>
  <c r="F44" i="41"/>
  <c r="H44" i="41" s="1"/>
  <c r="F45" i="41"/>
  <c r="H45" i="41" s="1"/>
  <c r="F46" i="41"/>
  <c r="H46" i="41" s="1"/>
  <c r="F47" i="41"/>
  <c r="G47" i="41" s="1"/>
  <c r="F48" i="41"/>
  <c r="G48" i="41" s="1"/>
  <c r="F49" i="41"/>
  <c r="G49" i="41" s="1"/>
  <c r="F50" i="41"/>
  <c r="H50" i="41" s="1"/>
  <c r="F51" i="41"/>
  <c r="H51" i="41" s="1"/>
  <c r="F52" i="41"/>
  <c r="H52" i="41" s="1"/>
  <c r="F53" i="41"/>
  <c r="H53" i="41" s="1"/>
  <c r="F54" i="41"/>
  <c r="H54" i="41" s="1"/>
  <c r="F55" i="41"/>
  <c r="G55" i="41" s="1"/>
  <c r="F56" i="41"/>
  <c r="G56" i="41" s="1"/>
  <c r="F57" i="41"/>
  <c r="G57" i="41" s="1"/>
  <c r="F58" i="41"/>
  <c r="H58" i="41" s="1"/>
  <c r="F59" i="41"/>
  <c r="H59" i="41" s="1"/>
  <c r="J17" i="41" s="1"/>
  <c r="F60" i="41"/>
  <c r="H60" i="41" s="1"/>
  <c r="F61" i="41"/>
  <c r="H61" i="41" s="1"/>
  <c r="F62" i="41"/>
  <c r="H62" i="41" s="1"/>
  <c r="F63" i="41"/>
  <c r="G63" i="41" s="1"/>
  <c r="F64" i="41"/>
  <c r="G64" i="41" s="1"/>
  <c r="F65" i="41"/>
  <c r="G65" i="41" s="1"/>
  <c r="F66" i="41"/>
  <c r="H66" i="41" s="1"/>
  <c r="F67" i="41"/>
  <c r="H67" i="41" s="1"/>
  <c r="F68" i="41"/>
  <c r="H68" i="41" s="1"/>
  <c r="F69" i="41"/>
  <c r="H69" i="41" s="1"/>
  <c r="F70" i="41"/>
  <c r="H70" i="41" s="1"/>
  <c r="F71" i="41"/>
  <c r="G71" i="41" s="1"/>
  <c r="F72" i="41"/>
  <c r="G72" i="41" s="1"/>
  <c r="F73" i="41"/>
  <c r="G73" i="41" s="1"/>
  <c r="F74" i="41"/>
  <c r="H74" i="41" s="1"/>
  <c r="F75" i="41"/>
  <c r="H75" i="41" s="1"/>
  <c r="F76" i="41"/>
  <c r="H76" i="41" s="1"/>
  <c r="F77" i="41"/>
  <c r="H77" i="41" s="1"/>
  <c r="F78" i="41"/>
  <c r="H78" i="41" s="1"/>
  <c r="F79" i="41"/>
  <c r="G79" i="41" s="1"/>
  <c r="F80" i="41"/>
  <c r="G80" i="41" s="1"/>
  <c r="F81" i="41"/>
  <c r="G81" i="41" s="1"/>
  <c r="F82" i="41"/>
  <c r="H82" i="41" s="1"/>
  <c r="F83" i="41"/>
  <c r="H83" i="41" s="1"/>
  <c r="F84" i="41"/>
  <c r="H84" i="41" s="1"/>
  <c r="F85" i="41"/>
  <c r="H85" i="41" s="1"/>
  <c r="F3" i="41"/>
  <c r="H3" i="41" s="1"/>
  <c r="E4" i="41"/>
  <c r="E5" i="41"/>
  <c r="E6" i="41"/>
  <c r="E7" i="41"/>
  <c r="E8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E41" i="41"/>
  <c r="E42" i="41"/>
  <c r="E43" i="41"/>
  <c r="E44" i="41"/>
  <c r="E45" i="41"/>
  <c r="E46" i="41"/>
  <c r="E47" i="41"/>
  <c r="E48" i="41"/>
  <c r="E49" i="41"/>
  <c r="E50" i="41"/>
  <c r="E51" i="41"/>
  <c r="E52" i="41"/>
  <c r="E53" i="41"/>
  <c r="E54" i="41"/>
  <c r="E55" i="41"/>
  <c r="E56" i="41"/>
  <c r="E57" i="41"/>
  <c r="E58" i="41"/>
  <c r="E59" i="41"/>
  <c r="J6" i="41" s="1"/>
  <c r="E60" i="41"/>
  <c r="E61" i="41"/>
  <c r="E62" i="41"/>
  <c r="E63" i="41"/>
  <c r="E64" i="41"/>
  <c r="E65" i="41"/>
  <c r="E66" i="41"/>
  <c r="E67" i="41"/>
  <c r="E68" i="41"/>
  <c r="E69" i="41"/>
  <c r="E70" i="41"/>
  <c r="E71" i="41"/>
  <c r="E72" i="41"/>
  <c r="E73" i="41"/>
  <c r="E74" i="41"/>
  <c r="E75" i="41"/>
  <c r="E76" i="41"/>
  <c r="E77" i="41"/>
  <c r="E78" i="41"/>
  <c r="E79" i="41"/>
  <c r="E80" i="41"/>
  <c r="E81" i="41"/>
  <c r="E82" i="41"/>
  <c r="E83" i="41"/>
  <c r="E84" i="41"/>
  <c r="E85" i="41"/>
  <c r="E3" i="41"/>
  <c r="D4" i="41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J4" i="41" s="1"/>
  <c r="D40" i="41"/>
  <c r="D41" i="41"/>
  <c r="D42" i="41"/>
  <c r="D43" i="41"/>
  <c r="D44" i="41"/>
  <c r="J8" i="41" s="1"/>
  <c r="D45" i="41"/>
  <c r="D46" i="41"/>
  <c r="D47" i="41"/>
  <c r="J13" i="41" s="1"/>
  <c r="D48" i="41"/>
  <c r="D49" i="41"/>
  <c r="J12" i="41" s="1"/>
  <c r="D50" i="41"/>
  <c r="D51" i="41"/>
  <c r="D52" i="41"/>
  <c r="D53" i="41"/>
  <c r="D54" i="41"/>
  <c r="D55" i="41"/>
  <c r="D56" i="41"/>
  <c r="D57" i="41"/>
  <c r="D58" i="41"/>
  <c r="D59" i="41"/>
  <c r="D60" i="41"/>
  <c r="D61" i="41"/>
  <c r="D62" i="41"/>
  <c r="D63" i="41"/>
  <c r="D64" i="41"/>
  <c r="D65" i="41"/>
  <c r="D66" i="41"/>
  <c r="D67" i="41"/>
  <c r="D68" i="41"/>
  <c r="D69" i="41"/>
  <c r="J7" i="41" s="1"/>
  <c r="D70" i="41"/>
  <c r="D71" i="41"/>
  <c r="D72" i="41"/>
  <c r="D73" i="41"/>
  <c r="D74" i="41"/>
  <c r="D75" i="41"/>
  <c r="D76" i="41"/>
  <c r="D77" i="41"/>
  <c r="D78" i="41"/>
  <c r="D79" i="41"/>
  <c r="D80" i="41"/>
  <c r="D81" i="41"/>
  <c r="D82" i="41"/>
  <c r="D83" i="41"/>
  <c r="D84" i="41"/>
  <c r="D85" i="41"/>
  <c r="D3" i="41"/>
  <c r="C4" i="41"/>
  <c r="C5" i="41"/>
  <c r="C6" i="41"/>
  <c r="C7" i="41"/>
  <c r="C8" i="41"/>
  <c r="C9" i="41"/>
  <c r="C10" i="41"/>
  <c r="C11" i="41"/>
  <c r="C12" i="41"/>
  <c r="C13" i="41"/>
  <c r="C14" i="41"/>
  <c r="C15" i="41"/>
  <c r="C16" i="41"/>
  <c r="C17" i="41"/>
  <c r="C18" i="41"/>
  <c r="C19" i="41"/>
  <c r="C20" i="41"/>
  <c r="C21" i="41"/>
  <c r="C22" i="41"/>
  <c r="C23" i="41"/>
  <c r="C24" i="41"/>
  <c r="C25" i="41"/>
  <c r="C26" i="41"/>
  <c r="C27" i="41"/>
  <c r="C28" i="41"/>
  <c r="C29" i="41"/>
  <c r="C30" i="41"/>
  <c r="C31" i="41"/>
  <c r="C32" i="41"/>
  <c r="C33" i="41"/>
  <c r="C34" i="41"/>
  <c r="C35" i="41"/>
  <c r="C36" i="41"/>
  <c r="C37" i="41"/>
  <c r="C38" i="41"/>
  <c r="C39" i="41"/>
  <c r="C40" i="41"/>
  <c r="C41" i="41"/>
  <c r="C42" i="41"/>
  <c r="C43" i="41"/>
  <c r="C44" i="41"/>
  <c r="C45" i="41"/>
  <c r="C46" i="41"/>
  <c r="C47" i="41"/>
  <c r="C48" i="41"/>
  <c r="C49" i="41"/>
  <c r="C50" i="41"/>
  <c r="C51" i="41"/>
  <c r="C52" i="41"/>
  <c r="C53" i="41"/>
  <c r="C54" i="41"/>
  <c r="C55" i="41"/>
  <c r="C56" i="41"/>
  <c r="C57" i="41"/>
  <c r="C58" i="41"/>
  <c r="C59" i="41"/>
  <c r="C60" i="41"/>
  <c r="C61" i="41"/>
  <c r="C62" i="41"/>
  <c r="C63" i="41"/>
  <c r="C64" i="41"/>
  <c r="C65" i="41"/>
  <c r="C66" i="41"/>
  <c r="C67" i="41"/>
  <c r="C68" i="41"/>
  <c r="C69" i="41"/>
  <c r="C70" i="41"/>
  <c r="C71" i="41"/>
  <c r="C72" i="41"/>
  <c r="C73" i="41"/>
  <c r="C74" i="41"/>
  <c r="C75" i="41"/>
  <c r="C76" i="41"/>
  <c r="C77" i="41"/>
  <c r="C78" i="41"/>
  <c r="C79" i="41"/>
  <c r="C80" i="41"/>
  <c r="C81" i="41"/>
  <c r="C82" i="41"/>
  <c r="C83" i="41"/>
  <c r="C84" i="41"/>
  <c r="C85" i="41"/>
  <c r="C3" i="41"/>
  <c r="B4" i="41"/>
  <c r="B5" i="4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3" i="41"/>
  <c r="I66" i="40"/>
  <c r="I67" i="40"/>
  <c r="I68" i="40"/>
  <c r="I69" i="40"/>
  <c r="I70" i="40"/>
  <c r="I71" i="40"/>
  <c r="I72" i="40"/>
  <c r="I73" i="40"/>
  <c r="I74" i="40"/>
  <c r="I75" i="40"/>
  <c r="I76" i="40"/>
  <c r="H66" i="40"/>
  <c r="H67" i="40"/>
  <c r="J67" i="40" s="1"/>
  <c r="K67" i="40" s="1"/>
  <c r="H68" i="40"/>
  <c r="H69" i="40"/>
  <c r="J69" i="40" s="1"/>
  <c r="K69" i="40" s="1"/>
  <c r="H70" i="40"/>
  <c r="J70" i="40" s="1"/>
  <c r="K70" i="40" s="1"/>
  <c r="H71" i="40"/>
  <c r="J71" i="40" s="1"/>
  <c r="K71" i="40" s="1"/>
  <c r="H72" i="40"/>
  <c r="J72" i="40" s="1"/>
  <c r="K72" i="40" s="1"/>
  <c r="H73" i="40"/>
  <c r="J73" i="40" s="1"/>
  <c r="K73" i="40" s="1"/>
  <c r="H74" i="40"/>
  <c r="H75" i="40"/>
  <c r="H76" i="40"/>
  <c r="J66" i="40"/>
  <c r="J76" i="40"/>
  <c r="K76" i="40" s="1"/>
  <c r="J75" i="40"/>
  <c r="K75" i="40" s="1"/>
  <c r="J74" i="40"/>
  <c r="K74" i="40" s="1"/>
  <c r="J68" i="40"/>
  <c r="K68" i="40" s="1"/>
  <c r="E74" i="40"/>
  <c r="E75" i="40"/>
  <c r="D67" i="40"/>
  <c r="E67" i="40" s="1"/>
  <c r="D69" i="40"/>
  <c r="E69" i="40" s="1"/>
  <c r="D70" i="40"/>
  <c r="E70" i="40" s="1"/>
  <c r="D71" i="40"/>
  <c r="E71" i="40" s="1"/>
  <c r="D74" i="40"/>
  <c r="D75" i="40"/>
  <c r="D66" i="40"/>
  <c r="E66" i="40" s="1"/>
  <c r="C67" i="40"/>
  <c r="C68" i="40"/>
  <c r="C69" i="40"/>
  <c r="C70" i="40"/>
  <c r="C71" i="40"/>
  <c r="C72" i="40"/>
  <c r="C73" i="40"/>
  <c r="C74" i="40"/>
  <c r="C75" i="40"/>
  <c r="C76" i="40"/>
  <c r="C66" i="40"/>
  <c r="B67" i="40"/>
  <c r="B68" i="40"/>
  <c r="D68" i="40" s="1"/>
  <c r="E68" i="40" s="1"/>
  <c r="B69" i="40"/>
  <c r="B70" i="40"/>
  <c r="B71" i="40"/>
  <c r="B72" i="40"/>
  <c r="D72" i="40" s="1"/>
  <c r="E72" i="40" s="1"/>
  <c r="B73" i="40"/>
  <c r="D73" i="40" s="1"/>
  <c r="E73" i="40" s="1"/>
  <c r="B74" i="40"/>
  <c r="B75" i="40"/>
  <c r="B76" i="40"/>
  <c r="D76" i="40" s="1"/>
  <c r="E76" i="40" s="1"/>
  <c r="B66" i="40"/>
  <c r="B77" i="40" s="1"/>
  <c r="E46" i="40"/>
  <c r="E47" i="40"/>
  <c r="E48" i="40"/>
  <c r="E49" i="40"/>
  <c r="D46" i="40"/>
  <c r="D47" i="40"/>
  <c r="B58" i="40" s="1"/>
  <c r="B59" i="40" s="1"/>
  <c r="D48" i="40"/>
  <c r="D49" i="40"/>
  <c r="C46" i="40"/>
  <c r="C47" i="40"/>
  <c r="C48" i="40"/>
  <c r="C49" i="40"/>
  <c r="B46" i="40"/>
  <c r="B57" i="40" s="1"/>
  <c r="B47" i="40"/>
  <c r="B48" i="40"/>
  <c r="B49" i="40"/>
  <c r="B55" i="40"/>
  <c r="G49" i="40"/>
  <c r="H49" i="40" s="1"/>
  <c r="B61" i="40"/>
  <c r="G47" i="40"/>
  <c r="H47" i="40" s="1"/>
  <c r="G6" i="40"/>
  <c r="H6" i="40" s="1"/>
  <c r="E7" i="40"/>
  <c r="E8" i="40"/>
  <c r="E9" i="40"/>
  <c r="E6" i="40"/>
  <c r="D7" i="40"/>
  <c r="B18" i="40" s="1"/>
  <c r="B19" i="40" s="1"/>
  <c r="D8" i="40"/>
  <c r="B21" i="40" s="1"/>
  <c r="D9" i="40"/>
  <c r="D6" i="40"/>
  <c r="C7" i="40"/>
  <c r="C8" i="40"/>
  <c r="C9" i="40"/>
  <c r="C6" i="40"/>
  <c r="B7" i="40"/>
  <c r="B15" i="40" s="1"/>
  <c r="B8" i="40"/>
  <c r="G8" i="40" s="1"/>
  <c r="H8" i="40" s="1"/>
  <c r="B9" i="40"/>
  <c r="B16" i="40" s="1"/>
  <c r="B6" i="40"/>
  <c r="F6" i="40" s="1"/>
  <c r="C6" i="39"/>
  <c r="D6" i="39"/>
  <c r="E6" i="39"/>
  <c r="C7" i="39"/>
  <c r="D7" i="39"/>
  <c r="E7" i="39"/>
  <c r="C8" i="39"/>
  <c r="D8" i="39"/>
  <c r="E8" i="39"/>
  <c r="C9" i="39"/>
  <c r="D9" i="39"/>
  <c r="E9" i="39"/>
  <c r="C10" i="39"/>
  <c r="D10" i="39"/>
  <c r="E10" i="39"/>
  <c r="C11" i="39"/>
  <c r="D11" i="39"/>
  <c r="E11" i="39"/>
  <c r="C12" i="39"/>
  <c r="D12" i="39"/>
  <c r="E12" i="39"/>
  <c r="B7" i="39"/>
  <c r="B8" i="39"/>
  <c r="B9" i="39"/>
  <c r="B10" i="39"/>
  <c r="B11" i="39"/>
  <c r="B12" i="39"/>
  <c r="B6" i="39"/>
  <c r="C2" i="39"/>
  <c r="B2" i="39"/>
  <c r="E77" i="40" l="1"/>
  <c r="C50" i="40"/>
  <c r="H81" i="41"/>
  <c r="H73" i="41"/>
  <c r="H65" i="41"/>
  <c r="H57" i="41"/>
  <c r="H49" i="41"/>
  <c r="J16" i="41" s="1"/>
  <c r="H41" i="41"/>
  <c r="H33" i="41"/>
  <c r="H25" i="41"/>
  <c r="H17" i="41"/>
  <c r="H9" i="41"/>
  <c r="J18" i="41" s="1"/>
  <c r="J5" i="41"/>
  <c r="D77" i="40"/>
  <c r="B79" i="40" s="1"/>
  <c r="H79" i="41"/>
  <c r="H71" i="41"/>
  <c r="H63" i="41"/>
  <c r="H55" i="41"/>
  <c r="H47" i="41"/>
  <c r="H39" i="41"/>
  <c r="H31" i="41"/>
  <c r="H23" i="41"/>
  <c r="H15" i="41"/>
  <c r="H7" i="41"/>
  <c r="C10" i="40"/>
  <c r="G83" i="41"/>
  <c r="G75" i="41"/>
  <c r="G67" i="41"/>
  <c r="G59" i="41"/>
  <c r="G51" i="41"/>
  <c r="G43" i="41"/>
  <c r="G35" i="41"/>
  <c r="G27" i="41"/>
  <c r="G19" i="41"/>
  <c r="G11" i="41"/>
  <c r="G82" i="41"/>
  <c r="G74" i="41"/>
  <c r="G66" i="41"/>
  <c r="G58" i="41"/>
  <c r="G50" i="41"/>
  <c r="G42" i="41"/>
  <c r="G34" i="41"/>
  <c r="G26" i="41"/>
  <c r="G18" i="41"/>
  <c r="G10" i="41"/>
  <c r="J11" i="41"/>
  <c r="J3" i="41"/>
  <c r="G7" i="40"/>
  <c r="H7" i="40" s="1"/>
  <c r="J77" i="40"/>
  <c r="H79" i="40" s="1"/>
  <c r="K66" i="40"/>
  <c r="K77" i="40" s="1"/>
  <c r="H77" i="40"/>
  <c r="G48" i="40"/>
  <c r="H48" i="40" s="1"/>
  <c r="F46" i="40"/>
  <c r="F47" i="40" s="1"/>
  <c r="F48" i="40" s="1"/>
  <c r="F49" i="40" s="1"/>
  <c r="B50" i="40"/>
  <c r="G46" i="40"/>
  <c r="B56" i="40"/>
  <c r="B10" i="40"/>
  <c r="G9" i="40"/>
  <c r="H9" i="40" s="1"/>
  <c r="H10" i="40" s="1"/>
  <c r="B17" i="40"/>
  <c r="F7" i="40"/>
  <c r="F8" i="40" s="1"/>
  <c r="C33" i="38"/>
  <c r="C34" i="38" s="1"/>
  <c r="C32" i="38"/>
  <c r="C31" i="38"/>
  <c r="C27" i="38"/>
  <c r="C28" i="38" s="1"/>
  <c r="C25" i="38"/>
  <c r="C26" i="38" s="1"/>
  <c r="C24" i="38"/>
  <c r="E33" i="38" l="1"/>
  <c r="E34" i="38" s="1"/>
  <c r="G34" i="38" s="1"/>
  <c r="U20" i="38" s="1"/>
  <c r="E79" i="40"/>
  <c r="B80" i="40" s="1"/>
  <c r="B81" i="40" s="1"/>
  <c r="E31" i="38"/>
  <c r="K79" i="40"/>
  <c r="H80" i="40" s="1"/>
  <c r="H81" i="40" s="1"/>
  <c r="G10" i="40"/>
  <c r="B11" i="40" s="1"/>
  <c r="G50" i="40"/>
  <c r="B51" i="40" s="1"/>
  <c r="H46" i="40"/>
  <c r="H50" i="40" s="1"/>
  <c r="F9" i="40"/>
  <c r="G33" i="38"/>
  <c r="T20" i="38" s="1"/>
  <c r="H12" i="40" l="1"/>
  <c r="E32" i="38"/>
  <c r="G32" i="38" s="1"/>
  <c r="G31" i="38"/>
  <c r="V20" i="38"/>
  <c r="H13" i="40"/>
  <c r="B13" i="40" s="1"/>
  <c r="B12" i="40"/>
  <c r="H52" i="40"/>
  <c r="T19" i="38" l="1"/>
  <c r="G39" i="38"/>
  <c r="C36" i="38"/>
  <c r="C37" i="38"/>
  <c r="U19" i="38"/>
  <c r="U21" i="38" s="1"/>
  <c r="H53" i="40"/>
  <c r="B53" i="40" s="1"/>
  <c r="B52" i="40"/>
  <c r="F6" i="18"/>
  <c r="I6" i="18"/>
  <c r="K6" i="18"/>
  <c r="F7" i="18"/>
  <c r="I7" i="18"/>
  <c r="K7" i="18"/>
  <c r="F8" i="18"/>
  <c r="I8" i="18"/>
  <c r="K8" i="18"/>
  <c r="F9" i="18"/>
  <c r="I9" i="18"/>
  <c r="K9" i="18"/>
  <c r="F10" i="18"/>
  <c r="I10" i="18"/>
  <c r="K10" i="18"/>
  <c r="F11" i="18"/>
  <c r="I11" i="18"/>
  <c r="K11" i="18"/>
  <c r="F12" i="18"/>
  <c r="I12" i="18"/>
  <c r="K12" i="18"/>
  <c r="F13" i="18"/>
  <c r="I13" i="18"/>
  <c r="K13" i="18"/>
  <c r="F14" i="18"/>
  <c r="I14" i="18"/>
  <c r="K14" i="18"/>
  <c r="F15" i="18"/>
  <c r="I15" i="18"/>
  <c r="K15" i="18"/>
  <c r="F16" i="18"/>
  <c r="I16" i="18"/>
  <c r="K16" i="18"/>
  <c r="F17" i="18"/>
  <c r="I17" i="18"/>
  <c r="K17" i="18"/>
  <c r="I11" i="37"/>
  <c r="I17" i="37" s="1"/>
  <c r="J39" i="35"/>
  <c r="I29" i="35"/>
  <c r="F23" i="37"/>
  <c r="E23" i="37"/>
  <c r="E22" i="37"/>
  <c r="I10" i="37"/>
  <c r="J9" i="37"/>
  <c r="F22" i="37"/>
  <c r="I9" i="37"/>
  <c r="F26" i="37"/>
  <c r="D37" i="38" l="1"/>
  <c r="G40" i="38"/>
  <c r="C39" i="38" s="1"/>
  <c r="T21" i="38"/>
  <c r="V19" i="38"/>
  <c r="V21" i="38" s="1"/>
  <c r="I18" i="37"/>
  <c r="I15" i="37" s="1"/>
  <c r="F27" i="37"/>
  <c r="B25" i="26"/>
  <c r="B24" i="26"/>
  <c r="B23" i="26"/>
  <c r="B22" i="26"/>
  <c r="B21" i="26"/>
  <c r="B20" i="26"/>
  <c r="I2" i="18" l="1"/>
  <c r="I3" i="18"/>
  <c r="I4" i="18"/>
  <c r="I5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" i="26"/>
  <c r="I9" i="26" s="1"/>
  <c r="I6" i="26"/>
  <c r="I7" i="26"/>
  <c r="I8" i="26"/>
  <c r="I4" i="26"/>
  <c r="L5" i="26"/>
  <c r="H5" i="26"/>
  <c r="H6" i="26"/>
  <c r="H7" i="26"/>
  <c r="H8" i="26"/>
  <c r="H4" i="26"/>
  <c r="H9" i="26" s="1"/>
  <c r="L4" i="26"/>
  <c r="F12" i="34"/>
  <c r="F5" i="26"/>
  <c r="F9" i="26" s="1"/>
  <c r="F6" i="26"/>
  <c r="F7" i="26"/>
  <c r="F8" i="26"/>
  <c r="F4" i="26"/>
  <c r="B25" i="34"/>
  <c r="B24" i="34"/>
  <c r="B23" i="34"/>
  <c r="B22" i="34"/>
  <c r="B21" i="34"/>
  <c r="B20" i="34"/>
  <c r="B9" i="34"/>
  <c r="C7" i="34" s="1"/>
  <c r="F8" i="34"/>
  <c r="H8" i="34" s="1"/>
  <c r="F7" i="34"/>
  <c r="H7" i="34" s="1"/>
  <c r="F6" i="34"/>
  <c r="H6" i="34" s="1"/>
  <c r="C6" i="34"/>
  <c r="F5" i="34"/>
  <c r="H5" i="34" s="1"/>
  <c r="C5" i="34"/>
  <c r="F4" i="34"/>
  <c r="D4" i="34"/>
  <c r="D5" i="34" s="1"/>
  <c r="D6" i="34" s="1"/>
  <c r="D7" i="34" s="1"/>
  <c r="D8" i="34" s="1"/>
  <c r="C26" i="33"/>
  <c r="C25" i="33"/>
  <c r="C24" i="33"/>
  <c r="C23" i="33"/>
  <c r="C22" i="33"/>
  <c r="C21" i="33"/>
  <c r="C10" i="33"/>
  <c r="D5" i="33" s="1"/>
  <c r="G9" i="33"/>
  <c r="I9" i="33" s="1"/>
  <c r="D9" i="33"/>
  <c r="I8" i="33"/>
  <c r="G8" i="33"/>
  <c r="G7" i="33"/>
  <c r="I7" i="33" s="1"/>
  <c r="G6" i="33"/>
  <c r="I6" i="33" s="1"/>
  <c r="D6" i="33"/>
  <c r="G5" i="33"/>
  <c r="I5" i="33" s="1"/>
  <c r="I4" i="33"/>
  <c r="G4" i="33"/>
  <c r="E4" i="33"/>
  <c r="E5" i="33" s="1"/>
  <c r="E6" i="33" s="1"/>
  <c r="E7" i="33" s="1"/>
  <c r="E8" i="33" s="1"/>
  <c r="E9" i="33" s="1"/>
  <c r="D4" i="33"/>
  <c r="F4" i="33" s="1"/>
  <c r="I17" i="35"/>
  <c r="J20" i="35"/>
  <c r="J18" i="35"/>
  <c r="I20" i="35"/>
  <c r="I18" i="35"/>
  <c r="J19" i="35"/>
  <c r="I19" i="35"/>
  <c r="F5" i="33" l="1"/>
  <c r="F6" i="33" s="1"/>
  <c r="D7" i="33"/>
  <c r="G10" i="33"/>
  <c r="G11" i="33" s="1"/>
  <c r="H6" i="33" s="1"/>
  <c r="F9" i="34"/>
  <c r="F10" i="34" s="1"/>
  <c r="G5" i="34" s="1"/>
  <c r="D8" i="33"/>
  <c r="D10" i="33" s="1"/>
  <c r="H4" i="34"/>
  <c r="H9" i="34" s="1"/>
  <c r="H10" i="34" s="1"/>
  <c r="H11" i="34" s="1"/>
  <c r="C4" i="34"/>
  <c r="C8" i="34"/>
  <c r="I10" i="33"/>
  <c r="I11" i="33" s="1"/>
  <c r="I12" i="33" s="1"/>
  <c r="C4" i="31"/>
  <c r="G4" i="31"/>
  <c r="H9" i="33" l="1"/>
  <c r="G4" i="34"/>
  <c r="H5" i="33"/>
  <c r="G8" i="34"/>
  <c r="H8" i="33"/>
  <c r="G6" i="34"/>
  <c r="G9" i="34" s="1"/>
  <c r="H7" i="33"/>
  <c r="G7" i="34"/>
  <c r="F7" i="33"/>
  <c r="F8" i="33" s="1"/>
  <c r="F9" i="33" s="1"/>
  <c r="H4" i="33"/>
  <c r="E4" i="34"/>
  <c r="E5" i="34" s="1"/>
  <c r="E6" i="34" s="1"/>
  <c r="E7" i="34" s="1"/>
  <c r="E8" i="34" s="1"/>
  <c r="C9" i="34"/>
  <c r="H13" i="34"/>
  <c r="H12" i="34"/>
  <c r="H14" i="34" s="1"/>
  <c r="H10" i="33"/>
  <c r="I14" i="33"/>
  <c r="I13" i="33"/>
  <c r="I15" i="33" s="1"/>
  <c r="C5" i="31"/>
  <c r="G5" i="31"/>
  <c r="G12" i="34" l="1"/>
  <c r="G14" i="34" s="1"/>
  <c r="G11" i="34"/>
  <c r="G13" i="34" s="1"/>
  <c r="H13" i="33"/>
  <c r="H15" i="33" s="1"/>
  <c r="H12" i="33"/>
  <c r="H14" i="33" s="1"/>
  <c r="C6" i="31"/>
  <c r="G6" i="31"/>
  <c r="D4" i="26" l="1"/>
  <c r="D5" i="26" s="1"/>
  <c r="D3" i="16" l="1"/>
  <c r="D4" i="16"/>
  <c r="D5" i="16"/>
  <c r="D2" i="16"/>
  <c r="F2" i="16" l="1"/>
  <c r="F3" i="16" s="1"/>
  <c r="F4" i="16" s="1"/>
  <c r="F5" i="16" s="1"/>
  <c r="D6" i="16"/>
  <c r="E2" i="16" s="1"/>
  <c r="G2" i="16" s="1"/>
  <c r="E5" i="16"/>
  <c r="E4" i="16"/>
  <c r="E3" i="16"/>
  <c r="E6" i="16"/>
  <c r="G3" i="16" l="1"/>
  <c r="G4" i="16" s="1"/>
  <c r="G5" i="16" s="1"/>
  <c r="B6" i="16"/>
  <c r="B123" i="18" l="1"/>
  <c r="C26" i="27"/>
  <c r="C25" i="27"/>
  <c r="C24" i="27"/>
  <c r="C23" i="27"/>
  <c r="C22" i="27"/>
  <c r="C21" i="27"/>
  <c r="C10" i="27"/>
  <c r="D8" i="27" s="1"/>
  <c r="G9" i="27"/>
  <c r="I9" i="27" s="1"/>
  <c r="G8" i="27"/>
  <c r="I8" i="27" s="1"/>
  <c r="G7" i="27"/>
  <c r="I7" i="27" s="1"/>
  <c r="G6" i="27"/>
  <c r="I6" i="27" s="1"/>
  <c r="D6" i="27"/>
  <c r="G5" i="27"/>
  <c r="I5" i="27" s="1"/>
  <c r="G4" i="27"/>
  <c r="E4" i="27"/>
  <c r="E5" i="27" s="1"/>
  <c r="E6" i="27" s="1"/>
  <c r="E7" i="27" s="1"/>
  <c r="E8" i="27" s="1"/>
  <c r="E9" i="27" s="1"/>
  <c r="B9" i="26"/>
  <c r="D6" i="26"/>
  <c r="D7" i="26" s="1"/>
  <c r="D8" i="26" s="1"/>
  <c r="C6" i="26"/>
  <c r="C5" i="26"/>
  <c r="C116" i="18"/>
  <c r="D116" i="18"/>
  <c r="E116" i="18"/>
  <c r="G116" i="18"/>
  <c r="H116" i="18"/>
  <c r="H125" i="18"/>
  <c r="G125" i="18"/>
  <c r="E125" i="18"/>
  <c r="D125" i="18"/>
  <c r="C125" i="18"/>
  <c r="B125" i="18"/>
  <c r="C123" i="18"/>
  <c r="D123" i="18"/>
  <c r="E123" i="18"/>
  <c r="G123" i="18"/>
  <c r="H123" i="18"/>
  <c r="C122" i="18"/>
  <c r="D122" i="18"/>
  <c r="E122" i="18"/>
  <c r="G122" i="18"/>
  <c r="H122" i="18"/>
  <c r="B122" i="18"/>
  <c r="C121" i="18"/>
  <c r="D121" i="18"/>
  <c r="E121" i="18"/>
  <c r="G121" i="18"/>
  <c r="H121" i="18"/>
  <c r="B121" i="18"/>
  <c r="H118" i="18"/>
  <c r="G118" i="18"/>
  <c r="E118" i="18"/>
  <c r="D118" i="18"/>
  <c r="C118" i="18"/>
  <c r="B118" i="18"/>
  <c r="B116" i="18"/>
  <c r="C115" i="18"/>
  <c r="D115" i="18"/>
  <c r="E115" i="18"/>
  <c r="G115" i="18"/>
  <c r="H115" i="18"/>
  <c r="B115" i="18"/>
  <c r="C114" i="18"/>
  <c r="D114" i="18"/>
  <c r="E114" i="18"/>
  <c r="G114" i="18"/>
  <c r="H114" i="18"/>
  <c r="B114" i="18"/>
  <c r="C112" i="18"/>
  <c r="D112" i="18"/>
  <c r="E112" i="18"/>
  <c r="G112" i="18"/>
  <c r="H112" i="18"/>
  <c r="B112" i="18"/>
  <c r="C111" i="18"/>
  <c r="D111" i="18"/>
  <c r="E111" i="18"/>
  <c r="G111" i="18"/>
  <c r="H111" i="18"/>
  <c r="B111" i="18"/>
  <c r="C110" i="18"/>
  <c r="D110" i="18"/>
  <c r="E110" i="18"/>
  <c r="G110" i="18"/>
  <c r="H110" i="18"/>
  <c r="B110" i="18"/>
  <c r="H107" i="18"/>
  <c r="G107" i="18"/>
  <c r="E107" i="18"/>
  <c r="D107" i="18"/>
  <c r="C107" i="18"/>
  <c r="B107" i="18"/>
  <c r="C105" i="18"/>
  <c r="D105" i="18"/>
  <c r="E105" i="18"/>
  <c r="G105" i="18"/>
  <c r="H105" i="18"/>
  <c r="B105" i="18"/>
  <c r="C104" i="18"/>
  <c r="D104" i="18"/>
  <c r="E104" i="18"/>
  <c r="G104" i="18"/>
  <c r="H104" i="18"/>
  <c r="B104" i="18"/>
  <c r="C103" i="18"/>
  <c r="D103" i="18"/>
  <c r="E103" i="18"/>
  <c r="G103" i="18"/>
  <c r="H103" i="18"/>
  <c r="B99" i="18"/>
  <c r="B103" i="18"/>
  <c r="S19" i="24"/>
  <c r="K19" i="24"/>
  <c r="G19" i="24"/>
  <c r="R19" i="24"/>
  <c r="C100" i="18"/>
  <c r="D100" i="18"/>
  <c r="E100" i="18"/>
  <c r="G100" i="18"/>
  <c r="H100" i="18"/>
  <c r="B100" i="18"/>
  <c r="C101" i="18"/>
  <c r="D101" i="18"/>
  <c r="E101" i="18"/>
  <c r="G101" i="18"/>
  <c r="H101" i="18"/>
  <c r="B101" i="18"/>
  <c r="C99" i="18"/>
  <c r="D99" i="18"/>
  <c r="E99" i="18"/>
  <c r="G99" i="18"/>
  <c r="H99" i="18"/>
  <c r="W22" i="24"/>
  <c r="V22" i="24"/>
  <c r="S22" i="24"/>
  <c r="O22" i="24"/>
  <c r="K22" i="24"/>
  <c r="G22" i="24"/>
  <c r="C22" i="24"/>
  <c r="R22" i="24"/>
  <c r="N22" i="24"/>
  <c r="J22" i="24"/>
  <c r="F22" i="24"/>
  <c r="B22" i="24"/>
  <c r="O18" i="24"/>
  <c r="O19" i="24" s="1"/>
  <c r="N18" i="24"/>
  <c r="N19" i="24" s="1"/>
  <c r="P16" i="24"/>
  <c r="O16" i="24"/>
  <c r="N16" i="24"/>
  <c r="W4" i="24"/>
  <c r="W5" i="24"/>
  <c r="W6" i="24"/>
  <c r="W7" i="24"/>
  <c r="W8" i="24"/>
  <c r="W9" i="24"/>
  <c r="W10" i="24"/>
  <c r="W11" i="24"/>
  <c r="W12" i="24"/>
  <c r="W3" i="24"/>
  <c r="S18" i="24"/>
  <c r="R18" i="24"/>
  <c r="K18" i="24"/>
  <c r="J18" i="24"/>
  <c r="J19" i="24" s="1"/>
  <c r="G18" i="24"/>
  <c r="F18" i="24"/>
  <c r="F19" i="24" s="1"/>
  <c r="C18" i="24"/>
  <c r="C19" i="24" s="1"/>
  <c r="B18" i="24"/>
  <c r="B19" i="24" s="1"/>
  <c r="T16" i="24"/>
  <c r="S16" i="24"/>
  <c r="R16" i="24"/>
  <c r="L16" i="24"/>
  <c r="K16" i="24"/>
  <c r="J16" i="24"/>
  <c r="H16" i="24"/>
  <c r="G16" i="24"/>
  <c r="F16" i="24"/>
  <c r="D16" i="24"/>
  <c r="C16" i="24"/>
  <c r="B16" i="24"/>
  <c r="K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5" i="18"/>
  <c r="K4" i="18"/>
  <c r="K3" i="18"/>
  <c r="D96" i="18"/>
  <c r="D95" i="18"/>
  <c r="D93" i="18"/>
  <c r="D92" i="18"/>
  <c r="D90" i="18"/>
  <c r="D89" i="18"/>
  <c r="C85" i="18"/>
  <c r="D85" i="18"/>
  <c r="E85" i="18"/>
  <c r="G85" i="18"/>
  <c r="H85" i="18"/>
  <c r="B85" i="18"/>
  <c r="C83" i="18"/>
  <c r="D83" i="18"/>
  <c r="E83" i="18"/>
  <c r="G83" i="18"/>
  <c r="H83" i="18"/>
  <c r="B83" i="18"/>
  <c r="C82" i="18"/>
  <c r="D82" i="18"/>
  <c r="E82" i="18"/>
  <c r="G82" i="18"/>
  <c r="H82" i="18"/>
  <c r="B82" i="18"/>
  <c r="C7" i="26" l="1"/>
  <c r="F10" i="26"/>
  <c r="H10" i="26"/>
  <c r="H11" i="26" s="1"/>
  <c r="D7" i="27"/>
  <c r="G10" i="27"/>
  <c r="G11" i="27" s="1"/>
  <c r="H7" i="27" s="1"/>
  <c r="I4" i="27"/>
  <c r="I10" i="27" s="1"/>
  <c r="I11" i="27" s="1"/>
  <c r="I12" i="27" s="1"/>
  <c r="H6" i="27"/>
  <c r="H9" i="27"/>
  <c r="D5" i="27"/>
  <c r="D9" i="27"/>
  <c r="D4" i="27"/>
  <c r="C4" i="26"/>
  <c r="C8" i="26"/>
  <c r="W18" i="24"/>
  <c r="W19" i="24" s="1"/>
  <c r="X16" i="24"/>
  <c r="V16" i="24"/>
  <c r="W16" i="24"/>
  <c r="V18" i="24"/>
  <c r="V19" i="24" s="1"/>
  <c r="H5" i="27" l="1"/>
  <c r="H4" i="27"/>
  <c r="H13" i="26"/>
  <c r="H12" i="26"/>
  <c r="H14" i="26" s="1"/>
  <c r="H8" i="27"/>
  <c r="G5" i="26"/>
  <c r="G6" i="26"/>
  <c r="G7" i="26"/>
  <c r="G8" i="26"/>
  <c r="G4" i="26"/>
  <c r="I14" i="27"/>
  <c r="I13" i="27"/>
  <c r="I15" i="27" s="1"/>
  <c r="H10" i="27"/>
  <c r="D10" i="27"/>
  <c r="F4" i="27"/>
  <c r="F5" i="27" s="1"/>
  <c r="F6" i="27" s="1"/>
  <c r="F7" i="27" s="1"/>
  <c r="F8" i="27" s="1"/>
  <c r="F9" i="27" s="1"/>
  <c r="E4" i="26"/>
  <c r="C9" i="26"/>
  <c r="E5" i="26" l="1"/>
  <c r="E6" i="26" s="1"/>
  <c r="E7" i="26" s="1"/>
  <c r="E8" i="26" s="1"/>
  <c r="G9" i="26"/>
  <c r="H13" i="27"/>
  <c r="H15" i="27" s="1"/>
  <c r="H12" i="27"/>
  <c r="H14" i="27" s="1"/>
  <c r="G11" i="26" l="1"/>
  <c r="G13" i="26" s="1"/>
  <c r="G12" i="26"/>
  <c r="G14" i="26" s="1"/>
  <c r="C79" i="18"/>
  <c r="D79" i="18"/>
  <c r="E79" i="18"/>
  <c r="G79" i="18"/>
  <c r="H79" i="18"/>
  <c r="B79" i="18"/>
  <c r="C77" i="18"/>
  <c r="D77" i="18"/>
  <c r="E77" i="18"/>
  <c r="G77" i="18"/>
  <c r="H77" i="18"/>
  <c r="B77" i="18"/>
  <c r="C76" i="18"/>
  <c r="D76" i="18"/>
  <c r="E76" i="18"/>
  <c r="G76" i="18"/>
  <c r="H76" i="18"/>
  <c r="B76" i="18"/>
  <c r="C75" i="18"/>
  <c r="D75" i="18"/>
  <c r="E75" i="18"/>
  <c r="G75" i="18"/>
  <c r="H75" i="18"/>
  <c r="B75" i="18"/>
  <c r="C74" i="18"/>
  <c r="D74" i="18"/>
  <c r="E74" i="18"/>
  <c r="G74" i="18"/>
  <c r="H74" i="18"/>
  <c r="B74" i="18"/>
  <c r="C73" i="18"/>
  <c r="D73" i="18"/>
  <c r="E73" i="18"/>
  <c r="G73" i="18"/>
  <c r="H73" i="18"/>
  <c r="B73" i="18"/>
  <c r="C72" i="18"/>
  <c r="D72" i="18"/>
  <c r="E72" i="18"/>
  <c r="G72" i="18"/>
  <c r="H72" i="18"/>
  <c r="B72" i="18"/>
  <c r="C71" i="18"/>
  <c r="D71" i="18"/>
  <c r="E71" i="18"/>
  <c r="G71" i="18"/>
  <c r="H71" i="18"/>
  <c r="B71" i="18"/>
  <c r="C70" i="18"/>
  <c r="D70" i="18"/>
  <c r="E70" i="18"/>
  <c r="G70" i="18"/>
  <c r="H70" i="18"/>
  <c r="B70" i="18"/>
  <c r="C69" i="18"/>
  <c r="D69" i="18"/>
  <c r="E69" i="18"/>
  <c r="G69" i="18"/>
  <c r="H69" i="18"/>
  <c r="B69" i="18"/>
  <c r="B17" i="20" l="1"/>
  <c r="C66" i="18"/>
  <c r="D66" i="18"/>
  <c r="E66" i="18"/>
  <c r="G66" i="18"/>
  <c r="H66" i="18"/>
  <c r="B66" i="18"/>
  <c r="C65" i="18"/>
  <c r="D65" i="18"/>
  <c r="E65" i="18"/>
  <c r="G65" i="18"/>
  <c r="H65" i="18"/>
  <c r="B65" i="18"/>
  <c r="C64" i="18"/>
  <c r="D64" i="18"/>
  <c r="E64" i="18"/>
  <c r="G64" i="18"/>
  <c r="H64" i="18"/>
  <c r="B64" i="18"/>
  <c r="C63" i="18"/>
  <c r="D63" i="18"/>
  <c r="E63" i="18"/>
  <c r="G63" i="18"/>
  <c r="H63" i="18"/>
  <c r="B63" i="18"/>
  <c r="C62" i="18"/>
  <c r="D62" i="18"/>
  <c r="E62" i="18"/>
  <c r="G62" i="18"/>
  <c r="H62" i="18"/>
  <c r="B62" i="18"/>
  <c r="C61" i="18"/>
  <c r="D61" i="18"/>
  <c r="E61" i="18"/>
  <c r="G61" i="18"/>
  <c r="H61" i="18"/>
  <c r="B61" i="18"/>
  <c r="C60" i="18"/>
  <c r="D60" i="18"/>
  <c r="E60" i="18"/>
  <c r="G60" i="18"/>
  <c r="H60" i="18"/>
  <c r="B60" i="18"/>
  <c r="C59" i="18"/>
  <c r="D59" i="18"/>
  <c r="E59" i="18"/>
  <c r="G59" i="18"/>
  <c r="H59" i="18"/>
  <c r="B59" i="18"/>
  <c r="C58" i="18"/>
  <c r="D58" i="18"/>
  <c r="E58" i="18"/>
  <c r="G58" i="18"/>
  <c r="H58" i="18"/>
  <c r="B58" i="18"/>
  <c r="C57" i="18"/>
  <c r="D57" i="18"/>
  <c r="E57" i="18"/>
  <c r="G57" i="18"/>
  <c r="H57" i="18"/>
  <c r="B57" i="18"/>
  <c r="C56" i="18"/>
  <c r="D56" i="18"/>
  <c r="E56" i="18"/>
  <c r="G56" i="18"/>
  <c r="H56" i="18"/>
  <c r="B56" i="18"/>
  <c r="C55" i="18"/>
  <c r="D55" i="18"/>
  <c r="E55" i="18"/>
  <c r="G55" i="18"/>
  <c r="H55" i="18"/>
  <c r="B55" i="18"/>
  <c r="C54" i="18"/>
  <c r="C84" i="18" s="1"/>
  <c r="D54" i="18"/>
  <c r="D84" i="18" s="1"/>
  <c r="E54" i="18"/>
  <c r="E84" i="18" s="1"/>
  <c r="G54" i="18"/>
  <c r="G84" i="18" s="1"/>
  <c r="H54" i="18"/>
  <c r="H84" i="18" s="1"/>
  <c r="B54" i="18"/>
  <c r="B84" i="18" s="1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5" i="18"/>
  <c r="F4" i="18"/>
  <c r="F3" i="18"/>
  <c r="F2" i="18"/>
  <c r="F110" i="18" l="1"/>
  <c r="F101" i="18"/>
  <c r="F107" i="18"/>
  <c r="F111" i="18"/>
  <c r="F100" i="18"/>
  <c r="F116" i="18"/>
  <c r="F112" i="18"/>
  <c r="F121" i="18"/>
  <c r="F122" i="18"/>
  <c r="F118" i="18"/>
  <c r="F114" i="18"/>
  <c r="F115" i="18"/>
  <c r="F103" i="18"/>
  <c r="F99" i="18"/>
  <c r="F104" i="18"/>
  <c r="F105" i="18"/>
  <c r="F123" i="18"/>
  <c r="F125" i="18"/>
  <c r="C78" i="18"/>
  <c r="F61" i="18"/>
  <c r="E78" i="18"/>
  <c r="F63" i="18"/>
  <c r="D78" i="18"/>
  <c r="B80" i="18"/>
  <c r="H80" i="18"/>
  <c r="G80" i="18"/>
  <c r="E80" i="18"/>
  <c r="B78" i="18"/>
  <c r="D80" i="18"/>
  <c r="H78" i="18"/>
  <c r="C80" i="18"/>
  <c r="G78" i="18"/>
  <c r="F66" i="18"/>
  <c r="F65" i="18"/>
  <c r="F54" i="18"/>
  <c r="F64" i="18"/>
  <c r="F58" i="18"/>
  <c r="F82" i="18"/>
  <c r="F83" i="18"/>
  <c r="F85" i="18"/>
  <c r="F75" i="18"/>
  <c r="F76" i="18"/>
  <c r="F77" i="18"/>
  <c r="F70" i="18"/>
  <c r="F79" i="18"/>
  <c r="F71" i="18"/>
  <c r="F72" i="18"/>
  <c r="F73" i="18"/>
  <c r="F69" i="18"/>
  <c r="F74" i="18"/>
  <c r="F57" i="18"/>
  <c r="F62" i="18"/>
  <c r="F55" i="18"/>
  <c r="F56" i="18"/>
  <c r="F60" i="18"/>
  <c r="F59" i="18"/>
  <c r="F78" i="18" l="1"/>
  <c r="F80" i="18"/>
  <c r="F84" i="18"/>
  <c r="E3" i="15"/>
  <c r="E5" i="15" l="1"/>
  <c r="E4" i="15"/>
  <c r="E2" i="15"/>
  <c r="B6" i="15"/>
  <c r="D2" i="15" s="1"/>
  <c r="D3" i="15" l="1"/>
  <c r="D5" i="15"/>
  <c r="D4" i="15"/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3" authorId="0" shapeId="0" xr:uid="{1DB97715-AB8A-4097-A32C-63645C0F280A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Priemer/Average</t>
        </r>
      </text>
    </comment>
    <comment ref="A7" authorId="0" shapeId="0" xr:uid="{641CAC79-7D5B-4E88-98E1-9F3D5C8B2F37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Štandardná/smerodajná odchýlka</t>
        </r>
      </text>
    </comment>
    <comment ref="A8" authorId="0" shapeId="0" xr:uid="{FB765C5B-DEA5-4FD1-A89D-74EA54451CFA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Rozpyt/variancia</t>
        </r>
      </text>
    </comment>
    <comment ref="A9" authorId="0" shapeId="0" xr:uid="{1D3DB054-C1F3-458A-8D51-7CE46721A485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Špičatosť</t>
        </r>
      </text>
    </comment>
    <comment ref="A10" authorId="0" shapeId="0" xr:uid="{F191AF0F-16E2-4565-95A8-724D4146ABB8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Šikmosť</t>
        </r>
      </text>
    </comment>
    <comment ref="A11" authorId="0" shapeId="0" xr:uid="{812CA6E6-FE4F-47D7-AB00-CA96AC0CED1F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Variačné rozpätie
Xmax - Xmin</t>
        </r>
      </text>
    </comment>
    <comment ref="A17" authorId="0" shapeId="0" xr:uid="{9A1ED5C8-CB74-403B-9D51-0A13250D41A2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Štandardná/smerodajná odchýlka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1" authorId="0" shapeId="0" xr:uid="{FD3197DB-0F73-48A8-85EF-8307F9A0B8DA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kvalitatívna premenná</t>
        </r>
      </text>
    </comment>
    <comment ref="B1" authorId="0" shapeId="0" xr:uid="{4A652808-64C0-4C3C-8893-DC4BCC374205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kvalitatívna premenná</t>
        </r>
      </text>
    </comment>
    <comment ref="C1" authorId="0" shapeId="0" xr:uid="{FFE9E8C5-34B6-4C36-997E-8161A75ECC6F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D1" authorId="0" shapeId="0" xr:uid="{38BCF9E4-5E43-445A-BFA6-2D106C43F5F9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E1" authorId="0" shapeId="0" xr:uid="{1B352613-E61F-4632-8B7B-489049E479D0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F1" authorId="0" shapeId="0" xr:uid="{76E2A031-25CE-49A6-9101-92D6D93A8495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G1" authorId="0" shapeId="0" xr:uid="{0B1561FA-C872-446D-BFCC-D141B43B832B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X1" authorId="0" shapeId="0" xr:uid="{2196F58A-194B-4E2C-9392-6FE90589D3E5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nezávislé súbory, rovnaké rozptyly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X1" authorId="0" shapeId="0" xr:uid="{6423372C-2189-4001-8831-5FEB957A5337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nezávislé súbory, rovnaké rozptyly</t>
        </r>
      </text>
    </comment>
    <comment ref="O6" authorId="0" shapeId="0" xr:uid="{A18179E7-18C4-4ED8-AE17-CA7B8E81CCC1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Rozptyly</t>
        </r>
      </text>
    </comment>
    <comment ref="O9" authorId="0" shapeId="0" xr:uid="{DF31C120-4E0D-4819-BA0E-24991E9C39A9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Vypočítaná F-štatistika</t>
        </r>
      </text>
    </comment>
    <comment ref="O10" authorId="0" shapeId="0" xr:uid="{2E535DCA-C005-4D7C-8A0B-7D2336062866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P-hodnota</t>
        </r>
      </text>
    </comment>
    <comment ref="O11" authorId="0" shapeId="0" xr:uid="{CA302D7D-0CA2-4F23-9C95-221CEE3CB2D8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Kritická hodnota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H3" authorId="0" shapeId="0" xr:uid="{3E6E73CA-8B82-40A5-88F5-1D1C0297E707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hladina významnosti testu, resp. riziko zamietnutia správnej hypotézy (volíme si zvyčajne 0,05 5 %; 0,02 2 %; 0,01 1 %)</t>
        </r>
      </text>
    </comment>
    <comment ref="H4" authorId="0" shapeId="0" xr:uid="{D00F2C5B-5360-4165-A2A4-CF8B3CC0744B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mi0 = 350</t>
        </r>
      </text>
    </comment>
    <comment ref="G7" authorId="0" shapeId="0" xr:uid="{28E91122-BD88-4AF5-95AF-CAE52A71C6D6}">
      <text>
        <r>
          <rPr>
            <b/>
            <sz val="9"/>
            <color indexed="81"/>
            <rFont val="Segoe UI"/>
            <family val="2"/>
            <charset val="238"/>
          </rPr>
          <t>Administrator:
Testovacia charakteristika t</t>
        </r>
        <r>
          <rPr>
            <sz val="9"/>
            <color indexed="81"/>
            <rFont val="Segoe UI"/>
            <family val="2"/>
            <charset val="238"/>
          </rPr>
          <t xml:space="preserve">
výberový priemer (343) - stredná hodnota Mi0 (350)/standard error se
se = sigma/sqrt(n)
štandardná ochýlka/ odmocnina z počtu vzoriek</t>
        </r>
      </text>
    </comment>
    <comment ref="G8" authorId="0" shapeId="0" xr:uid="{C7001873-92F6-4F0A-A4A0-3A371531BC32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=T.INV(1-I3/2;$B$15-1)</t>
        </r>
      </text>
    </comment>
    <comment ref="I9" authorId="0" shapeId="0" xr:uid="{2A8A66EF-01DC-4806-9BBB-B75533D5ABEF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lebo symetria</t>
        </r>
      </text>
    </comment>
    <comment ref="H14" authorId="0" shapeId="0" xr:uid="{C95C66DB-422F-4043-9E95-D844DD20919B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mi0 = 350</t>
        </r>
      </text>
    </comment>
    <comment ref="G17" authorId="0" shapeId="0" xr:uid="{A5DF766A-0799-404D-B0AF-CD119EECD869}">
      <text>
        <r>
          <rPr>
            <b/>
            <sz val="9"/>
            <color indexed="81"/>
            <rFont val="Segoe UI"/>
            <family val="2"/>
            <charset val="238"/>
          </rPr>
          <t>Administrator:
Testovacia charakteristika t</t>
        </r>
        <r>
          <rPr>
            <sz val="9"/>
            <color indexed="81"/>
            <rFont val="Segoe UI"/>
            <family val="2"/>
            <charset val="238"/>
          </rPr>
          <t xml:space="preserve">
výberový priemer (343) - stredná hodnota Mi0 (350)/standard error se
se = sigma/sqrt(n)
štandardná ochýlka/ odmocnina z počtu vzoriek</t>
        </r>
      </text>
    </comment>
    <comment ref="G18" authorId="0" shapeId="0" xr:uid="{9C343E08-0DF5-4D28-8056-20EF8CC2C400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=T.INV(1-I3/2;$B$15-1)</t>
        </r>
      </text>
    </comment>
    <comment ref="I19" authorId="0" shapeId="0" xr:uid="{E8A5038D-7346-48C6-99C7-3FE8BAE86D53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môžeme použiť ako prvý parameter kvantil 5 %. Čiže 0,05
lebo symetria</t>
        </r>
      </text>
    </comment>
    <comment ref="H24" authorId="0" shapeId="0" xr:uid="{096D491F-1D2A-4171-AAED-FED33FC4E184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mi0 = 350</t>
        </r>
      </text>
    </comment>
    <comment ref="G27" authorId="0" shapeId="0" xr:uid="{639752DC-EA61-4D43-823D-417B0EF8A1E3}">
      <text>
        <r>
          <rPr>
            <b/>
            <sz val="9"/>
            <color indexed="81"/>
            <rFont val="Segoe UI"/>
            <family val="2"/>
            <charset val="238"/>
          </rPr>
          <t>Administrator:
Testovacia charakteristika t</t>
        </r>
        <r>
          <rPr>
            <sz val="9"/>
            <color indexed="81"/>
            <rFont val="Segoe UI"/>
            <family val="2"/>
            <charset val="238"/>
          </rPr>
          <t xml:space="preserve">
výberový priemer (343) - stredná hodnota Mi0 (350)/standard error se
se = sigma/sqrt(n)
štandardná ochýlka/ odmocnina z počtu vzoriek</t>
        </r>
      </text>
    </comment>
    <comment ref="G28" authorId="0" shapeId="0" xr:uid="{E46BD8B8-B9AE-48F8-9E63-2AC44CA80E53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=T.INV(1-I3/2;$B$15-1)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tc={04ECCF87-4C8E-4393-A126-41D161555B19}</author>
    <author>Administrator</author>
  </authors>
  <commentList>
    <comment ref="J23" authorId="0" shapeId="0" xr:uid="{04ECCF87-4C8E-4393-A126-41D161555B19}">
      <text>
        <t>[Zreťazený komentár]
Vaša verzia programu Excel vám umožňuje čítať tento zreťazený komentár, avšak akékoľvek jeho zmeny sa odstránia, ak sa súbor otvorí v novšej verzii programu Excel. Ďalšie informácie: https://go.microsoft.com/fwlink/?linkid=870924
Komentár:
    11% žien má výšku v intervale medzi 165-170)</t>
      </text>
    </comment>
    <comment ref="G30" authorId="1" shapeId="0" xr:uid="{92E8CD7B-8E28-44B5-A85B-69BBEFF84E21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Podiel/proportion</t>
        </r>
      </text>
    </comment>
    <comment ref="G31" authorId="1" shapeId="0" xr:uid="{7DD04C58-1497-4B2F-85EE-072EED2EB5C0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Doplnok
Pomocný výpočet</t>
        </r>
      </text>
    </comment>
    <comment ref="G32" authorId="1" shapeId="0" xr:uid="{489A16C4-E85F-420C-914B-817F8CC4E1AD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prípustná chyba odhadu pre podiel</t>
        </r>
      </text>
    </comment>
    <comment ref="G36" authorId="1" shapeId="0" xr:uid="{67177D73-EAA0-483C-81E3-84996157731C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medzi 0 a 144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D78" authorId="0" shapeId="0" xr:uid="{01DD786A-90BF-4E98-B499-B42F1235E24C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štandardný odchýlka výberový aritmetický priemer</t>
        </r>
      </text>
    </comment>
    <comment ref="D92" authorId="0" shapeId="0" xr:uid="{516D40DC-5F2C-4014-8746-C020055C4D97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</t>
        </r>
        <r>
          <rPr>
            <sz val="11"/>
            <color indexed="81"/>
            <rFont val="Segoe UI"/>
            <family val="2"/>
            <charset val="238"/>
          </rPr>
          <t xml:space="preserve">prípustná miera odhadu
</t>
        </r>
        <r>
          <rPr>
            <sz val="11"/>
            <color indexed="81"/>
            <rFont val="Symbol"/>
            <family val="1"/>
            <charset val="2"/>
          </rPr>
          <t>D</t>
        </r>
      </text>
    </comment>
    <comment ref="I92" authorId="0" shapeId="0" xr:uid="{40933D05-8A62-48F7-ACBF-6819BF742D04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margin of error</t>
        </r>
      </text>
    </comment>
    <comment ref="D121" authorId="0" shapeId="0" xr:uid="{87292E71-27BE-485E-9701-E529C164150C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stupeň volnosti
DF</t>
        </r>
      </text>
    </comment>
    <comment ref="I121" authorId="0" shapeId="0" xr:uid="{DEFC6BC9-BF26-427C-BCA1-434BE5A89139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stupeň volnosti
DF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D78" authorId="0" shapeId="0" xr:uid="{254284FA-B07D-49AB-83B3-B1F77412F360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štandardný odchýlka výberový aritmetický priemer</t>
        </r>
      </text>
    </comment>
    <comment ref="D92" authorId="0" shapeId="0" xr:uid="{8AE5B660-4A14-4028-9C1A-C7DB5015F191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</t>
        </r>
        <r>
          <rPr>
            <sz val="11"/>
            <color indexed="81"/>
            <rFont val="Segoe UI"/>
            <family val="2"/>
            <charset val="238"/>
          </rPr>
          <t xml:space="preserve">prípustná miera odhadu
</t>
        </r>
        <r>
          <rPr>
            <sz val="11"/>
            <color indexed="81"/>
            <rFont val="Symbol"/>
            <family val="1"/>
            <charset val="2"/>
          </rPr>
          <t>D</t>
        </r>
      </text>
    </comment>
    <comment ref="I92" authorId="0" shapeId="0" xr:uid="{7D0BA9FD-5B79-468C-97BD-6273D098C6CC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margin of error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102" authorId="0" shapeId="0" xr:uid="{FF9AFC2F-AE2E-4EDC-B1E7-03CE8DF5CEF3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Výberové vzorky
Sample</t>
        </r>
      </text>
    </comment>
    <comment ref="C111" authorId="0" shapeId="0" xr:uid="{34D27A78-7186-4BA2-90BC-58863936ADFC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toto je zle</t>
        </r>
      </text>
    </comment>
    <comment ref="C112" authorId="0" shapeId="0" xr:uid="{25D07D4A-26D8-458B-BD15-76B0F42AED6F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toto je zle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13" authorId="0" shapeId="0" xr:uid="{40E6D741-8216-42BF-A6DB-7467F805912B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Dolný limit</t>
        </r>
      </text>
    </comment>
    <comment ref="A14" authorId="0" shapeId="0" xr:uid="{6633DC73-956A-4140-A05D-4C07D4DED042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Horný limit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11" authorId="0" shapeId="0" xr:uid="{C1F8D91B-A45B-4FE9-9561-DF49B7D4994A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Stredná hodnota
Expected value
očakávaná hodnota</t>
        </r>
      </text>
    </comment>
    <comment ref="A51" authorId="0" shapeId="0" xr:uid="{B4C47658-4491-44CC-BD75-8391600A1354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Stredná hodnota
Expected value
očakávaná hodnota</t>
        </r>
      </text>
    </comment>
    <comment ref="A79" authorId="0" shapeId="0" xr:uid="{6FBC795D-4C94-4A00-ACCB-ADB042BE1452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Stredná hodnota
Expected value
očakávaná hodnota</t>
        </r>
      </text>
    </comment>
    <comment ref="G79" authorId="0" shapeId="0" xr:uid="{F52D1B54-4E9B-46BA-AEE3-BC28C2044224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Stredná hodnota
Expected value
očakávaná hodnota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Iveta Stankovicova</author>
    <author>Administrator</author>
  </authors>
  <commentList>
    <comment ref="B3" authorId="0" shapeId="0" xr:uid="{4F863A70-C0C4-4F23-A18C-3A9B1D04CC57}">
      <text>
        <r>
          <rPr>
            <b/>
            <sz val="9"/>
            <color indexed="81"/>
            <rFont val="Segoe UI"/>
            <family val="2"/>
            <charset val="238"/>
          </rPr>
          <t>Iveta Stankovicova:</t>
        </r>
        <r>
          <rPr>
            <sz val="9"/>
            <color indexed="81"/>
            <rFont val="Segoe UI"/>
            <family val="2"/>
            <charset val="238"/>
          </rPr>
          <t xml:space="preserve">
absolutne triedne početnosti ni</t>
        </r>
      </text>
    </comment>
    <comment ref="C3" authorId="0" shapeId="0" xr:uid="{191FC513-7D06-4DBC-9260-A9B408C9E0EA}">
      <text>
        <r>
          <rPr>
            <b/>
            <sz val="9"/>
            <color indexed="81"/>
            <rFont val="Segoe UI"/>
            <family val="2"/>
            <charset val="238"/>
          </rPr>
          <t>Iveta Stankovicova:</t>
        </r>
        <r>
          <rPr>
            <sz val="9"/>
            <color indexed="81"/>
            <rFont val="Segoe UI"/>
            <family val="2"/>
            <charset val="238"/>
          </rPr>
          <t xml:space="preserve">
relatívne triedne početnosti fi</t>
        </r>
      </text>
    </comment>
    <comment ref="D3" authorId="0" shapeId="0" xr:uid="{D1472728-B228-4DFF-837C-4EF3C53F7E91}">
      <text>
        <r>
          <rPr>
            <b/>
            <sz val="9"/>
            <color indexed="81"/>
            <rFont val="Segoe UI"/>
            <family val="2"/>
            <charset val="238"/>
          </rPr>
          <t>Iveta Stankovicova:</t>
        </r>
        <r>
          <rPr>
            <sz val="9"/>
            <color indexed="81"/>
            <rFont val="Segoe UI"/>
            <family val="2"/>
            <charset val="238"/>
          </rPr>
          <t xml:space="preserve">
kumulatívne absolutne triedne početnosti Ni</t>
        </r>
      </text>
    </comment>
    <comment ref="E3" authorId="0" shapeId="0" xr:uid="{6E25D325-E2E5-486E-8DAA-1C6D44BCD581}">
      <text>
        <r>
          <rPr>
            <b/>
            <sz val="9"/>
            <color indexed="81"/>
            <rFont val="Segoe UI"/>
            <family val="2"/>
            <charset val="238"/>
          </rPr>
          <t>Iveta Stankovicova:</t>
        </r>
        <r>
          <rPr>
            <sz val="9"/>
            <color indexed="81"/>
            <rFont val="Segoe UI"/>
            <family val="2"/>
            <charset val="238"/>
          </rPr>
          <t xml:space="preserve">
kumulatívne relatívne triedne početnosti Fi</t>
        </r>
      </text>
    </comment>
    <comment ref="I3" authorId="1" shapeId="0" xr:uid="{08BF8739-BB4F-4D7B-8AED-2E80F035608E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Mocnina</t>
        </r>
      </text>
    </comment>
    <comment ref="K4" authorId="1" shapeId="0" xr:uid="{F7A4AB33-F187-4525-AA73-92103A4C5E6F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Súčet súčinov</t>
        </r>
      </text>
    </comment>
    <comment ref="K5" authorId="1" shapeId="0" xr:uid="{EA814FA4-DF8F-42F9-9143-C4B7DE8DABD7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Mocnina</t>
        </r>
      </text>
    </comment>
    <comment ref="K6" authorId="1" shapeId="0" xr:uid="{C6BA98D1-B297-4B3E-9141-6899CB7CB137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Druhá odmocnina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7" authorId="0" shapeId="0" xr:uid="{4C569376-B91F-4588-AF6D-CE09CC6F5E77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Nemá význam</t>
        </r>
      </text>
    </comment>
    <comment ref="G7" authorId="0" shapeId="0" xr:uid="{9886F2C9-2A57-428A-835F-ED523FB9AB1C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Nemá význam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1" authorId="0" shapeId="0" xr:uid="{7D66E482-9BC9-4EFD-8759-DDEE9F76112F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kvalitatívna premenná</t>
        </r>
      </text>
    </comment>
    <comment ref="C1" authorId="0" shapeId="0" xr:uid="{677CC5C3-E9D7-4848-A5FB-2B75CFA7F3D8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kvalitatívna premenná</t>
        </r>
      </text>
    </comment>
    <comment ref="D1" authorId="0" shapeId="0" xr:uid="{2D5BB57D-99B4-4F6E-9A2D-4F0E3A17C060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E1" authorId="0" shapeId="0" xr:uid="{1465E68E-C98F-49C5-9037-61E941C54DE1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F1" authorId="0" shapeId="0" xr:uid="{A01B032A-BE57-40C7-94D5-4E2743878E76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G1" authorId="0" shapeId="0" xr:uid="{259E27F6-5888-4B9A-B8FE-AD866060B0D0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H1" authorId="0" shapeId="0" xr:uid="{0B14B523-0C9E-493C-808C-95ECD327BBF3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A78" authorId="0" shapeId="0" xr:uid="{C468DEFE-79F2-4A2D-ABCE-05F39C021E7C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Nie je na to funkcia
Xmax - Xmin</t>
        </r>
      </text>
    </comment>
    <comment ref="A79" authorId="0" shapeId="0" xr:uid="{0B67FD00-DC66-4A33-B807-CB0F0E7C9A01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Nie je na to funkcia
Xmax - Xmin</t>
        </r>
      </text>
    </comment>
    <comment ref="A80" authorId="0" shapeId="0" xr:uid="{00F8C6C8-D83B-4375-B8C1-B34AD030B5DE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Vlastný vzorec
rôznorodé premenné, značky/jednotky
ktorá z tých </t>
        </r>
        <r>
          <rPr>
            <b/>
            <sz val="9"/>
            <color indexed="81"/>
            <rFont val="Segoe UI"/>
            <family val="2"/>
            <charset val="238"/>
          </rPr>
          <t>premenných</t>
        </r>
        <r>
          <rPr>
            <sz val="9"/>
            <color indexed="81"/>
            <rFont val="Segoe UI"/>
            <family val="2"/>
            <charset val="238"/>
          </rPr>
          <t xml:space="preserve"> má </t>
        </r>
        <r>
          <rPr>
            <b/>
            <sz val="9"/>
            <color indexed="81"/>
            <rFont val="Segoe UI"/>
            <family val="2"/>
            <charset val="238"/>
          </rPr>
          <t>najnižšiu variabilitu</t>
        </r>
        <r>
          <rPr>
            <sz val="9"/>
            <color indexed="81"/>
            <rFont val="Segoe UI"/>
            <family val="2"/>
            <charset val="238"/>
          </rPr>
          <t xml:space="preserve">? 
</t>
        </r>
        <r>
          <rPr>
            <b/>
            <sz val="9"/>
            <color indexed="81"/>
            <rFont val="Segoe UI"/>
            <family val="2"/>
            <charset val="238"/>
          </rPr>
          <t>Štandardná odchylka</t>
        </r>
        <r>
          <rPr>
            <sz val="9"/>
            <color indexed="81"/>
            <rFont val="Segoe UI"/>
            <family val="2"/>
            <charset val="238"/>
          </rPr>
          <t xml:space="preserve"> mi </t>
        </r>
        <r>
          <rPr>
            <b/>
            <sz val="9"/>
            <color indexed="81"/>
            <rFont val="Segoe UI"/>
            <family val="2"/>
            <charset val="238"/>
          </rPr>
          <t>nepomôže.</t>
        </r>
        <r>
          <rPr>
            <sz val="9"/>
            <color indexed="81"/>
            <rFont val="Segoe UI"/>
            <family val="2"/>
            <charset val="238"/>
          </rPr>
          <t xml:space="preserve"> </t>
        </r>
        <r>
          <rPr>
            <b/>
            <sz val="9"/>
            <color indexed="81"/>
            <rFont val="Segoe UI"/>
            <family val="2"/>
            <charset val="238"/>
          </rPr>
          <t>jedno</t>
        </r>
        <r>
          <rPr>
            <sz val="9"/>
            <color indexed="81"/>
            <rFont val="Segoe UI"/>
            <family val="2"/>
            <charset val="238"/>
          </rPr>
          <t xml:space="preserve"> je v </t>
        </r>
        <r>
          <rPr>
            <b/>
            <sz val="9"/>
            <color indexed="81"/>
            <rFont val="Segoe UI"/>
            <family val="2"/>
            <charset val="238"/>
          </rPr>
          <t>izbách,</t>
        </r>
        <r>
          <rPr>
            <sz val="9"/>
            <color indexed="81"/>
            <rFont val="Segoe UI"/>
            <family val="2"/>
            <charset val="238"/>
          </rPr>
          <t xml:space="preserve"> druhé je </t>
        </r>
        <r>
          <rPr>
            <b/>
            <sz val="9"/>
            <color indexed="81"/>
            <rFont val="Segoe UI"/>
            <family val="2"/>
            <charset val="238"/>
          </rPr>
          <t>cenach/peniazoch v eurách</t>
        </r>
        <r>
          <rPr>
            <sz val="9"/>
            <color indexed="81"/>
            <rFont val="Segoe UI"/>
            <family val="2"/>
            <charset val="238"/>
          </rPr>
          <t xml:space="preserve">
Relatívna miera variability čo je pomerné číslo
Hovorí mi o tom aký </t>
        </r>
        <r>
          <rPr>
            <b/>
            <sz val="9"/>
            <color indexed="81"/>
            <rFont val="Segoe UI"/>
            <family val="2"/>
            <charset val="238"/>
          </rPr>
          <t>podiel</t>
        </r>
        <r>
          <rPr>
            <sz val="9"/>
            <color indexed="81"/>
            <rFont val="Segoe UI"/>
            <family val="2"/>
            <charset val="238"/>
          </rPr>
          <t xml:space="preserve"> tvorí </t>
        </r>
        <r>
          <rPr>
            <b/>
            <sz val="9"/>
            <color indexed="81"/>
            <rFont val="Segoe UI"/>
            <family val="2"/>
            <charset val="238"/>
          </rPr>
          <t>štandardná ochýlka na aritmetickom priemere</t>
        </r>
        <r>
          <rPr>
            <sz val="9"/>
            <color indexed="81"/>
            <rFont val="Segoe UI"/>
            <family val="2"/>
            <charset val="238"/>
          </rPr>
          <t xml:space="preserve">
garage capacity má najviac
bderooms má najmenej
Neviem rovno interpretovať či to je veľa alebo málo... a či je to dobré alebo nie. môže to byť dokonca väčšie ako 100 %.</t>
        </r>
      </text>
    </comment>
    <comment ref="A84" authorId="0" shapeId="0" xr:uid="{10FABFDD-E7DA-422C-9CE0-DF8657EA0FD5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Vlastný vzorec</t>
        </r>
      </text>
    </comment>
    <comment ref="A85" authorId="0" shapeId="0" xr:uid="{5D8F434D-5C5F-49D5-B9C9-DF350C726734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Vlastný vzorec</t>
        </r>
      </text>
    </comment>
    <comment ref="A89" authorId="0" shapeId="0" xr:uid="{D3689C3A-8665-4C33-A8EF-DBF457C3885D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Použi sprievodcu
Over s riadkom súčtu</t>
        </r>
      </text>
    </comment>
    <comment ref="A90" authorId="0" shapeId="0" xr:uid="{D44085D6-D244-48B1-BF3C-CAF18D555AA2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Použi sprievodcu
Over s riadkom súčtu</t>
        </r>
      </text>
    </comment>
    <comment ref="A92" authorId="0" shapeId="0" xr:uid="{32B8DEC1-3C4E-4712-81A1-7C37737A3888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Použi sprievodcu
Over s riadkom súčtu</t>
        </r>
      </text>
    </comment>
    <comment ref="A93" authorId="0" shapeId="0" xr:uid="{1A586064-729B-4F47-8398-D59A6A4E101D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Použi sprievodcu
Over s riadkom súčtu</t>
        </r>
      </text>
    </comment>
    <comment ref="A95" authorId="0" shapeId="0" xr:uid="{BCE0043C-C4AC-4A53-AFC2-64880CAB80BD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Použi sprievodcu
Over s riadkom súčtu</t>
        </r>
      </text>
    </comment>
    <comment ref="A96" authorId="0" shapeId="0" xr:uid="{F3835AE4-54BC-457D-8C97-FC87B6610105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Použi sprievodcu
Over s riadkom súčtu</t>
        </r>
      </text>
    </comment>
    <comment ref="A99" authorId="0" shapeId="0" xr:uid="{B1D1457F-E890-465D-8463-104E14A3914E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Je to inkluzívny
1 kvartil, 25. percentil</t>
        </r>
      </text>
    </comment>
    <comment ref="A103" authorId="0" shapeId="0" xr:uid="{2C4D2101-B4DE-4CA9-BEBC-F43A660B05F4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Je to inkluzívny
Hodnota mediánu, 50. percentil</t>
        </r>
      </text>
    </comment>
    <comment ref="A110" authorId="0" shapeId="0" xr:uid="{F40AB44F-0E61-4019-B745-28B8B940E339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Je to inkluzívny
Hodnota mediánu, 50. percentil</t>
        </r>
      </text>
    </comment>
    <comment ref="A114" authorId="0" shapeId="0" xr:uid="{3DD0DE07-61FE-4B35-81B4-A858527A9AE9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Je to inkluzívny
Hodnota mediánu, 50. percentil</t>
        </r>
      </text>
    </comment>
    <comment ref="A116" authorId="0" shapeId="0" xr:uid="{A47D2062-C889-4043-A9B4-782CCA85427A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použiť 4 je blbosť keďže je mimo max
</t>
        </r>
      </text>
    </comment>
    <comment ref="A121" authorId="0" shapeId="0" xr:uid="{FBD2DBF6-6D24-4457-9AB1-4AC58E76C5F3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Je to inkluzívny
Hodnota mediánu, 50. percentil</t>
        </r>
      </text>
    </comment>
    <comment ref="A123" authorId="0" shapeId="0" xr:uid="{5DEEDCEA-FAD5-4B9F-9646-B082CF95DD22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použiť 4 je blbosť keďže je mimo min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1" authorId="0" shapeId="0" xr:uid="{D982A3C2-0594-4F51-9DB2-F0BA1637FABD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Kvantily - Qalfa(horný index) k(dolný index) alebo xp
len pre kvantitativne... X Y Z
alfa 2, 4, 10, 100
obrázok dole - prednáška str 55
Rozdeľujú usporiadané dáta na 4 rovnako početné časti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15" authorId="0" shapeId="0" xr:uid="{BFF36F3D-E92D-41ED-AEF4-2C167078BBA2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priemer nie je dobrá charakteristka</t>
        </r>
      </text>
    </comment>
    <comment ref="C15" authorId="0" shapeId="0" xr:uid="{7E59673C-F7C9-4BA5-B008-710555C42D46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median je vždy v strede! stredná hodnota</t>
        </r>
      </text>
    </comment>
    <comment ref="B17" authorId="0" shapeId="0" xr:uid="{ADE5CC31-7199-43E2-9E9A-81DA9772BFFE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menlivosť, ako daleko su od seba
zošikmenie doľava kladný
zošikmenie doprava záporný
symetria 0
</t>
        </r>
      </text>
    </comment>
    <comment ref="C17" authorId="0" shapeId="0" xr:uid="{AE2104ED-1AC8-428D-9785-AFFB95C93017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tvar
špicatejšie alebo plochšie?</t>
        </r>
      </text>
    </comment>
    <comment ref="B21" authorId="0" shapeId="0" xr:uid="{FD0B0ADE-E9FF-402B-8753-12C2B57A9AAC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Najdôležitejšia miera variability
ak je rozptyl 0, dalej s tým nič neriešime 
Pre interpretáciu, ale používame štandardnú odchýlky, čo je len druhá odmocnina, sám vidíš, že rozptyl je celkom veľké číslo
</t>
        </r>
      </text>
    </comment>
    <comment ref="C21" authorId="0" shapeId="0" xr:uid="{7C1B22D9-2279-460B-B5BD-7D23A997A50C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priemer a +- smerodajná odchylka
Priemerná mzda u nás je +-
Vyskúš si aj zmenu mzdy 23000 na 3300 eur</t>
        </r>
      </text>
    </comment>
    <comment ref="K21" authorId="0" shapeId="0" xr:uid="{C39D0B34-1C92-4505-A5E9-1118FB322944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Priemerná mzda je 1400+-  302 eur</t>
        </r>
      </text>
    </comment>
    <comment ref="B25" authorId="0" shapeId="0" xr:uid="{2C0D1180-2FBF-44EF-B810-F1391C7B1DDE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Prednáška str 53 a 54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D1" authorId="0" shapeId="0" xr:uid="{A1CCB94B-7327-41ED-B3C7-07CAAC9C68B5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absolútna triedna početnosť</t>
        </r>
      </text>
    </comment>
    <comment ref="E1" authorId="0" shapeId="0" xr:uid="{3D6719AD-B654-4EE9-85C2-01D0A04CCBE8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relatívna triedna početnosť</t>
        </r>
      </text>
    </comment>
    <comment ref="F1" authorId="0" shapeId="0" xr:uid="{BEE0F667-FDCE-49A0-A209-D821F4DB0F19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kumulatívna absolútna triedna početnosť</t>
        </r>
      </text>
    </comment>
    <comment ref="G1" authorId="0" shapeId="0" xr:uid="{163D7B1F-2C7C-4F75-BDBF-BAFE4C46B089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kumulatívna relatívna triedna početnosť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Iveta Stankovicova</author>
  </authors>
  <commentList>
    <comment ref="B3" authorId="0" shapeId="0" xr:uid="{85817AF5-B761-4EA2-8925-F97E7151F3F7}">
      <text>
        <r>
          <rPr>
            <b/>
            <sz val="9"/>
            <color indexed="81"/>
            <rFont val="Segoe UI"/>
            <family val="2"/>
            <charset val="238"/>
          </rPr>
          <t>Iveta Stankovicova:</t>
        </r>
        <r>
          <rPr>
            <sz val="9"/>
            <color indexed="81"/>
            <rFont val="Segoe UI"/>
            <family val="2"/>
            <charset val="238"/>
          </rPr>
          <t xml:space="preserve">
absolutne triedne početnosti ni</t>
        </r>
      </text>
    </comment>
    <comment ref="C3" authorId="0" shapeId="0" xr:uid="{FE98EC43-2E9E-40A6-9003-D8B0CFD3E482}">
      <text>
        <r>
          <rPr>
            <b/>
            <sz val="9"/>
            <color indexed="81"/>
            <rFont val="Segoe UI"/>
            <family val="2"/>
            <charset val="238"/>
          </rPr>
          <t>Iveta Stankovicova:</t>
        </r>
        <r>
          <rPr>
            <sz val="9"/>
            <color indexed="81"/>
            <rFont val="Segoe UI"/>
            <family val="2"/>
            <charset val="238"/>
          </rPr>
          <t xml:space="preserve">
relatívne triedne početnosti fi</t>
        </r>
      </text>
    </comment>
    <comment ref="D3" authorId="0" shapeId="0" xr:uid="{349A7B38-61F5-431A-A811-AA7D723E60BA}">
      <text>
        <r>
          <rPr>
            <b/>
            <sz val="9"/>
            <color indexed="81"/>
            <rFont val="Segoe UI"/>
            <family val="2"/>
            <charset val="238"/>
          </rPr>
          <t>Iveta Stankovicova:</t>
        </r>
        <r>
          <rPr>
            <sz val="9"/>
            <color indexed="81"/>
            <rFont val="Segoe UI"/>
            <family val="2"/>
            <charset val="238"/>
          </rPr>
          <t xml:space="preserve">
kumulatívne absolutne triedne početnosti Ni</t>
        </r>
      </text>
    </comment>
    <comment ref="E3" authorId="0" shapeId="0" xr:uid="{56F1EE1B-A900-4C9F-A96B-13E66FEAC7C1}">
      <text>
        <r>
          <rPr>
            <b/>
            <sz val="9"/>
            <color indexed="81"/>
            <rFont val="Segoe UI"/>
            <family val="2"/>
            <charset val="238"/>
          </rPr>
          <t>Iveta Stankovicova:</t>
        </r>
        <r>
          <rPr>
            <sz val="9"/>
            <color indexed="81"/>
            <rFont val="Segoe UI"/>
            <family val="2"/>
            <charset val="238"/>
          </rPr>
          <t xml:space="preserve">
kumulatívne relatívne triedne početnosti Fi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Iveta Stankovicova</author>
  </authors>
  <commentList>
    <comment ref="A4" authorId="0" shapeId="0" xr:uid="{FF28CAE4-2C5D-4692-99DB-EFE33624EFF5}">
      <text>
        <r>
          <rPr>
            <b/>
            <sz val="9"/>
            <color indexed="81"/>
            <rFont val="Segoe UI"/>
            <family val="2"/>
            <charset val="238"/>
          </rPr>
          <t>Iveta Stankovicova:</t>
        </r>
        <r>
          <rPr>
            <sz val="9"/>
            <color indexed="81"/>
            <rFont val="Segoe UI"/>
            <family val="2"/>
            <charset val="238"/>
          </rPr>
          <t xml:space="preserve">
otvorený inteval
šírka intervalu je:
h=150 tis. dolarov</t>
        </r>
      </text>
    </comment>
    <comment ref="A9" authorId="0" shapeId="0" xr:uid="{8AC4EF05-41DD-43CA-A918-D58EB528E59C}">
      <text>
        <r>
          <rPr>
            <b/>
            <sz val="9"/>
            <color indexed="81"/>
            <rFont val="Segoe UI"/>
            <family val="2"/>
            <charset val="238"/>
          </rPr>
          <t>Iveta Stankovicova:</t>
        </r>
        <r>
          <rPr>
            <sz val="9"/>
            <color indexed="81"/>
            <rFont val="Segoe UI"/>
            <family val="2"/>
            <charset val="238"/>
          </rPr>
          <t xml:space="preserve">
otvorený interval
h = nekonecno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Iveta Stankovicova</author>
  </authors>
  <commentList>
    <comment ref="A4" authorId="0" shapeId="0" xr:uid="{E0E10756-A01C-496A-8AC7-879EB77667E8}">
      <text>
        <r>
          <rPr>
            <b/>
            <sz val="9"/>
            <color indexed="81"/>
            <rFont val="Segoe UI"/>
            <family val="2"/>
            <charset val="238"/>
          </rPr>
          <t>Iveta Stankovicova:</t>
        </r>
        <r>
          <rPr>
            <sz val="9"/>
            <color indexed="81"/>
            <rFont val="Segoe UI"/>
            <family val="2"/>
            <charset val="238"/>
          </rPr>
          <t xml:space="preserve">
otvorený inteval
šírka intervalu je:
h=150 tis. dolarov</t>
        </r>
      </text>
    </comment>
    <comment ref="A9" authorId="0" shapeId="0" xr:uid="{73DF85B0-E1DE-47E6-A90E-47F986EB9F9A}">
      <text>
        <r>
          <rPr>
            <b/>
            <sz val="9"/>
            <color indexed="81"/>
            <rFont val="Segoe UI"/>
            <family val="2"/>
            <charset val="238"/>
          </rPr>
          <t>Iveta Stankovicova:</t>
        </r>
        <r>
          <rPr>
            <sz val="9"/>
            <color indexed="81"/>
            <rFont val="Segoe UI"/>
            <family val="2"/>
            <charset val="238"/>
          </rPr>
          <t xml:space="preserve">
otvorený interval
h = nekonecno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1" authorId="0" shapeId="0" xr:uid="{148CA8E0-EADD-43A8-BBD7-FD75DC0D522A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kvalitatívna premenná</t>
        </r>
      </text>
    </comment>
    <comment ref="B1" authorId="0" shapeId="0" xr:uid="{FDB5EE90-1352-49DD-96F0-D1A41EF71DAE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kvalitatívna premenná</t>
        </r>
      </text>
    </comment>
    <comment ref="C1" authorId="0" shapeId="0" xr:uid="{52A0AD3E-288B-410C-A6F9-717BC73C3D41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D1" authorId="0" shapeId="0" xr:uid="{92CF6825-5329-4619-A23D-6F0CE04DBA9E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E1" authorId="0" shapeId="0" xr:uid="{8334211A-D263-49B6-91D9-5D68ED62BCCB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F1" authorId="0" shapeId="0" xr:uid="{E9B0224E-6DFA-4184-B590-FA6B536D290F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  <comment ref="G1" authorId="0" shapeId="0" xr:uid="{957D666B-C34E-4CEC-99B8-083F75E5DD79}">
      <text>
        <r>
          <rPr>
            <b/>
            <sz val="9"/>
            <color indexed="81"/>
            <rFont val="Segoe UI"/>
            <charset val="1"/>
          </rPr>
          <t>Administrator:</t>
        </r>
        <r>
          <rPr>
            <sz val="9"/>
            <color indexed="81"/>
            <rFont val="Segoe UI"/>
            <charset val="1"/>
          </rPr>
          <t xml:space="preserve">
kvantitatívne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3" authorId="0" shapeId="0" xr:uid="{9B44FE55-FA61-4AC8-8B46-AFA36B40FE64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Priemer/Average</t>
        </r>
      </text>
    </comment>
    <comment ref="A7" authorId="0" shapeId="0" xr:uid="{3CB5F02A-76A2-4373-B485-72756D59322C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Štandardná/smerodajná odchýlka</t>
        </r>
      </text>
    </comment>
    <comment ref="A8" authorId="0" shapeId="0" xr:uid="{67570993-D153-448F-AB96-B4DE32FAF812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Rozpyt/variancia</t>
        </r>
      </text>
    </comment>
    <comment ref="A9" authorId="0" shapeId="0" xr:uid="{84F347A7-AB6C-49FC-9F34-089A28C14C00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Špičatosť</t>
        </r>
      </text>
    </comment>
    <comment ref="A10" authorId="0" shapeId="0" xr:uid="{4BD92412-2357-4C5C-87FD-C4AFE26C92A1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Šikmosť</t>
        </r>
      </text>
    </comment>
    <comment ref="A11" authorId="0" shapeId="0" xr:uid="{C195C467-C187-4712-8DAA-06BB9BFFDC39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Variačné rozpätie
Xmax - Xmin</t>
        </r>
      </text>
    </comment>
    <comment ref="A17" authorId="0" shapeId="0" xr:uid="{422937DE-91B5-4C36-B30A-E8B6A9F868E4}">
      <text>
        <r>
          <rPr>
            <b/>
            <sz val="9"/>
            <color indexed="81"/>
            <rFont val="Segoe UI"/>
            <family val="2"/>
            <charset val="238"/>
          </rPr>
          <t>Administrator:</t>
        </r>
        <r>
          <rPr>
            <sz val="9"/>
            <color indexed="81"/>
            <rFont val="Segoe UI"/>
            <family val="2"/>
            <charset val="238"/>
          </rPr>
          <t xml:space="preserve">
Štandardná/smerodajná odchýlka</t>
        </r>
      </text>
    </comment>
  </commentList>
</comments>
</file>

<file path=xl/sharedStrings.xml><?xml version="1.0" encoding="utf-8"?>
<sst xmlns="http://schemas.openxmlformats.org/spreadsheetml/2006/main" count="2698" uniqueCount="648">
  <si>
    <t>Price</t>
  </si>
  <si>
    <t>Price2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</si>
  <si>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</si>
  <si>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</si>
  <si>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</si>
  <si>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</si>
  <si>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</si>
  <si>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</si>
  <si>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</si>
  <si>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</si>
  <si>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</si>
  <si>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</si>
  <si>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</si>
  <si>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</si>
  <si>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</si>
  <si>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Level(95,0%)</t>
  </si>
  <si>
    <t>Mean LL</t>
  </si>
  <si>
    <t>Mean UL</t>
  </si>
  <si>
    <t>Vk</t>
  </si>
  <si>
    <t>P(299,8 &lt; Mi &lt; 386,52)</t>
  </si>
  <si>
    <t>CI</t>
  </si>
  <si>
    <t>Konšta. Mi0 = 350</t>
  </si>
  <si>
    <t>patrí</t>
  </si>
  <si>
    <t>Konšta. Mi0 = 390</t>
  </si>
  <si>
    <t>nepatrí</t>
  </si>
  <si>
    <t>Konšta. Mi0 = 400</t>
  </si>
  <si>
    <t>Pc</t>
  </si>
  <si>
    <t>XP priemer</t>
  </si>
  <si>
    <t>Bin</t>
  </si>
  <si>
    <t>Bin2</t>
  </si>
  <si>
    <t>Frequency</t>
  </si>
  <si>
    <t>Cumulative %</t>
  </si>
  <si>
    <t>More</t>
  </si>
  <si>
    <t>xi (144 vzoriek)</t>
  </si>
  <si>
    <t>Interval výšky (xi kategórie)</t>
  </si>
  <si>
    <t>(0, 145&gt;</t>
  </si>
  <si>
    <t>(145, 150&gt;</t>
  </si>
  <si>
    <t>(150, 155&gt;</t>
  </si>
  <si>
    <t>(155, 160&gt;</t>
  </si>
  <si>
    <t>(160, 165&gt;</t>
  </si>
  <si>
    <t>(165, 170&gt;</t>
  </si>
  <si>
    <t>(170, 175&gt;</t>
  </si>
  <si>
    <t>(175, 180&gt;</t>
  </si>
  <si>
    <t>(180, 185&gt;</t>
  </si>
  <si>
    <t>(185, 190&gt;</t>
  </si>
  <si>
    <t>(190, viac)</t>
  </si>
  <si>
    <t>Spolu</t>
  </si>
  <si>
    <t>Interval výška</t>
  </si>
  <si>
    <t>ni</t>
  </si>
  <si>
    <t>fi</t>
  </si>
  <si>
    <t>fi v %</t>
  </si>
  <si>
    <t>Zvolené alfa</t>
  </si>
  <si>
    <t>alfa/2</t>
  </si>
  <si>
    <t>1-alfa/2</t>
  </si>
  <si>
    <t>n</t>
  </si>
  <si>
    <t>z(0,975)</t>
  </si>
  <si>
    <t>p = x/n</t>
  </si>
  <si>
    <r>
      <t xml:space="preserve">est </t>
    </r>
    <r>
      <rPr>
        <sz val="10"/>
        <rFont val="Symbol"/>
        <family val="1"/>
        <charset val="2"/>
      </rPr>
      <t>P</t>
    </r>
    <r>
      <rPr>
        <sz val="10"/>
        <rFont val="Arial"/>
        <family val="2"/>
        <charset val="238"/>
      </rPr>
      <t xml:space="preserve"> pi = p</t>
    </r>
  </si>
  <si>
    <t>q = 1-p</t>
  </si>
  <si>
    <r>
      <t xml:space="preserve">delta = </t>
    </r>
    <r>
      <rPr>
        <sz val="10"/>
        <color theme="0"/>
        <rFont val="Symbol"/>
        <family val="1"/>
        <charset val="2"/>
      </rPr>
      <t>D</t>
    </r>
  </si>
  <si>
    <t>Podiel LL</t>
  </si>
  <si>
    <t>Podiel UL</t>
  </si>
  <si>
    <t>Overenie podmienky:</t>
  </si>
  <si>
    <t>3 * sqrt(n * p * q)</t>
  </si>
  <si>
    <t xml:space="preserve">n * p </t>
  </si>
  <si>
    <t>LL</t>
  </si>
  <si>
    <t>UL</t>
  </si>
  <si>
    <t>Podmienka platí</t>
  </si>
  <si>
    <t>xi (200 vzoriek)</t>
  </si>
  <si>
    <t>Bodové odhady parametrov ZS Q:</t>
  </si>
  <si>
    <r>
      <t xml:space="preserve">est </t>
    </r>
    <r>
      <rPr>
        <sz val="10"/>
        <rFont val="Symbol"/>
        <family val="1"/>
        <charset val="2"/>
      </rPr>
      <t>m</t>
    </r>
    <r>
      <rPr>
        <sz val="10"/>
        <rFont val="Arial"/>
      </rPr>
      <t>:</t>
    </r>
  </si>
  <si>
    <t>cm</t>
  </si>
  <si>
    <t>est SE:</t>
  </si>
  <si>
    <t>est ME:</t>
  </si>
  <si>
    <t>est MO:</t>
  </si>
  <si>
    <r>
      <t xml:space="preserve">est 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>:</t>
    </r>
  </si>
  <si>
    <r>
      <t xml:space="preserve">est </t>
    </r>
    <r>
      <rPr>
        <sz val="10"/>
        <rFont val="Symbol"/>
        <family val="1"/>
        <charset val="2"/>
      </rPr>
      <t>s</t>
    </r>
    <r>
      <rPr>
        <vertAlign val="superscript"/>
        <sz val="11.5"/>
        <rFont val="Arial"/>
        <family val="2"/>
        <charset val="238"/>
      </rPr>
      <t>2</t>
    </r>
    <r>
      <rPr>
        <sz val="10"/>
        <rFont val="Arial"/>
        <family val="2"/>
        <charset val="238"/>
      </rPr>
      <t>:</t>
    </r>
  </si>
  <si>
    <r>
      <t>cm</t>
    </r>
    <r>
      <rPr>
        <vertAlign val="superscript"/>
        <sz val="10"/>
        <rFont val="Arial"/>
        <family val="2"/>
        <charset val="238"/>
      </rPr>
      <t>2</t>
    </r>
  </si>
  <si>
    <t>Largest(5)</t>
  </si>
  <si>
    <t>Smallest(5)</t>
  </si>
  <si>
    <t>Intervalové odhady parametrov ZS Q:</t>
  </si>
  <si>
    <r>
      <t xml:space="preserve">vzorce pre vypocet </t>
    </r>
    <r>
      <rPr>
        <sz val="10"/>
        <rFont val="Symbol"/>
        <family val="1"/>
        <charset val="2"/>
      </rPr>
      <t>D</t>
    </r>
    <r>
      <rPr>
        <sz val="10"/>
        <rFont val="Arial"/>
      </rPr>
      <t>:</t>
    </r>
  </si>
  <si>
    <t>Pre strednú hodnotu z Excelu</t>
  </si>
  <si>
    <r>
      <t>P(X</t>
    </r>
    <r>
      <rPr>
        <b/>
        <vertAlign val="superscript"/>
        <sz val="12"/>
        <rFont val="Arial"/>
        <family val="2"/>
        <charset val="238"/>
      </rPr>
      <t xml:space="preserve">- </t>
    </r>
    <r>
      <rPr>
        <b/>
        <sz val="12"/>
        <rFont val="Arial"/>
        <family val="2"/>
        <charset val="238"/>
      </rPr>
      <t xml:space="preserve">- </t>
    </r>
    <r>
      <rPr>
        <b/>
        <sz val="12"/>
        <rFont val="Symbol"/>
        <family val="1"/>
        <charset val="2"/>
      </rPr>
      <t xml:space="preserve">D £ m £ </t>
    </r>
    <r>
      <rPr>
        <b/>
        <sz val="12"/>
        <rFont val="Arial"/>
        <family val="2"/>
        <charset val="238"/>
      </rPr>
      <t>X</t>
    </r>
    <r>
      <rPr>
        <b/>
        <vertAlign val="superscript"/>
        <sz val="12"/>
        <rFont val="Arial"/>
        <family val="2"/>
        <charset val="238"/>
      </rPr>
      <t>-</t>
    </r>
    <r>
      <rPr>
        <b/>
        <sz val="12"/>
        <rFont val="Arial"/>
        <family val="2"/>
        <charset val="238"/>
      </rPr>
      <t xml:space="preserve"> </t>
    </r>
    <r>
      <rPr>
        <b/>
        <sz val="12"/>
        <rFont val="Symbol"/>
        <family val="1"/>
        <charset val="2"/>
      </rPr>
      <t>+ D</t>
    </r>
    <r>
      <rPr>
        <b/>
        <sz val="12"/>
        <rFont val="Arial"/>
        <family val="2"/>
        <charset val="238"/>
      </rPr>
      <t xml:space="preserve">) = 1 - </t>
    </r>
    <r>
      <rPr>
        <b/>
        <sz val="12"/>
        <rFont val="Symbol"/>
        <family val="1"/>
        <charset val="2"/>
      </rPr>
      <t>a</t>
    </r>
  </si>
  <si>
    <r>
      <t xml:space="preserve">Prípustná chyba odhadu </t>
    </r>
    <r>
      <rPr>
        <b/>
        <sz val="10"/>
        <color theme="0"/>
        <rFont val="Symbol"/>
        <family val="1"/>
        <charset val="2"/>
      </rPr>
      <t>D</t>
    </r>
  </si>
  <si>
    <r>
      <t xml:space="preserve">nepoznáme v ZS </t>
    </r>
    <r>
      <rPr>
        <sz val="10"/>
        <rFont val="Symbol"/>
        <family val="1"/>
        <charset val="2"/>
      </rPr>
      <t>s</t>
    </r>
  </si>
  <si>
    <r>
      <t xml:space="preserve">zvolené </t>
    </r>
    <r>
      <rPr>
        <sz val="10"/>
        <rFont val="Symbol"/>
        <family val="1"/>
        <charset val="2"/>
      </rPr>
      <t>a</t>
    </r>
  </si>
  <si>
    <t>=1-E103/2</t>
  </si>
  <si>
    <t>t(0,975; 199)</t>
  </si>
  <si>
    <t>=T.INV(E104;E105-1)</t>
  </si>
  <si>
    <t>t(0,975; 143)</t>
  </si>
  <si>
    <t>SE - s/sqrt(n)</t>
  </si>
  <si>
    <t>Aproximácie t pomocou z</t>
  </si>
  <si>
    <t>Pre rozptyl/st. odchýlka z Excelu</t>
  </si>
  <si>
    <t>n-1</t>
  </si>
  <si>
    <r>
      <t>s</t>
    </r>
    <r>
      <rPr>
        <vertAlign val="superscript"/>
        <sz val="10"/>
        <rFont val="Arial"/>
        <family val="2"/>
        <charset val="238"/>
      </rPr>
      <t>2</t>
    </r>
  </si>
  <si>
    <t>chi2 (0,975; 199)</t>
  </si>
  <si>
    <t>chi2 (0,975; 143)</t>
  </si>
  <si>
    <t>chi2 (0,025; 199)</t>
  </si>
  <si>
    <t>chi2 (0,025; 143)</t>
  </si>
  <si>
    <t>VAR LL</t>
  </si>
  <si>
    <t>VAR UL</t>
  </si>
  <si>
    <t>STDEV LL</t>
  </si>
  <si>
    <t>STDEV UL</t>
  </si>
  <si>
    <t>Confidence Level(90,0%)</t>
  </si>
  <si>
    <t>t(0,95; 199)</t>
  </si>
  <si>
    <t>xi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</si>
  <si>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</si>
  <si>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</si>
  <si>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</si>
  <si>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</si>
  <si>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</si>
  <si>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</si>
  <si>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</si>
  <si>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</si>
  <si>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</si>
  <si>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</si>
  <si>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</si>
  <si>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</si>
  <si>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</si>
  <si>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</si>
  <si>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</si>
  <si>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</si>
  <si>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</si>
  <si>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</si>
  <si>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</si>
  <si>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</si>
  <si>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</si>
  <si>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</si>
  <si>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</si>
  <si>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</si>
  <si>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</si>
  <si>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</si>
  <si>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</si>
  <si>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</si>
  <si>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</si>
  <si>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</si>
  <si>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</si>
  <si>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</si>
  <si>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</si>
  <si>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</si>
  <si>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</si>
  <si>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</si>
  <si>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</si>
  <si>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</si>
  <si>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</si>
  <si>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</si>
  <si>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</si>
  <si>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</si>
  <si>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</si>
  <si>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</si>
  <si>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</si>
  <si>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</si>
  <si>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</si>
  <si>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</si>
  <si>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</si>
  <si>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</si>
  <si>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VS</t>
  </si>
  <si>
    <t>Var s rozptyl</t>
  </si>
  <si>
    <t>Std s</t>
  </si>
  <si>
    <t>Všetko</t>
  </si>
  <si>
    <t xml:space="preserve">Statické transponovanie - Vložiť Špeciálne </t>
  </si>
  <si>
    <t>Dynamická transponovanie - Funkcia Transpose</t>
  </si>
  <si>
    <t>X ma Bi(100, 0,8)</t>
  </si>
  <si>
    <t>pi</t>
  </si>
  <si>
    <t>F(x) BI</t>
  </si>
  <si>
    <t>f(x)</t>
  </si>
  <si>
    <t>F(x) NR</t>
  </si>
  <si>
    <t>E(X) = n * p</t>
  </si>
  <si>
    <t>D(X) = n * p * q</t>
  </si>
  <si>
    <t>n * q</t>
  </si>
  <si>
    <t>Bi(100; 0,8) aproximácia</t>
  </si>
  <si>
    <t>N(80,16)</t>
  </si>
  <si>
    <t>Podmienky aproximácie</t>
  </si>
  <si>
    <t>n * p &gt; 5</t>
  </si>
  <si>
    <t>80 &gt; 5</t>
  </si>
  <si>
    <t>n * q &gt; 5</t>
  </si>
  <si>
    <t>20 &gt; 5</t>
  </si>
  <si>
    <r>
      <rPr>
        <sz val="10"/>
        <rFont val="Symbol"/>
        <family val="1"/>
        <charset val="2"/>
      </rPr>
      <t xml:space="preserve">m </t>
    </r>
    <r>
      <rPr>
        <sz val="10"/>
        <rFont val="Calibri"/>
        <family val="2"/>
        <charset val="238"/>
      </rPr>
      <t>± 3</t>
    </r>
    <r>
      <rPr>
        <sz val="10"/>
        <rFont val="Symbol"/>
        <family val="1"/>
        <charset val="2"/>
      </rPr>
      <t xml:space="preserve">s = </t>
    </r>
    <r>
      <rPr>
        <sz val="10"/>
        <rFont val="Arial"/>
        <family val="2"/>
        <charset val="238"/>
      </rPr>
      <t xml:space="preserve">n * p </t>
    </r>
    <r>
      <rPr>
        <sz val="10"/>
        <rFont val="Calibri"/>
        <family val="2"/>
        <charset val="238"/>
      </rPr>
      <t>±</t>
    </r>
    <r>
      <rPr>
        <sz val="10"/>
        <rFont val="Arial"/>
        <family val="2"/>
        <charset val="238"/>
      </rPr>
      <t xml:space="preserve"> 3 * </t>
    </r>
    <r>
      <rPr>
        <sz val="10"/>
        <rFont val="Arial"/>
        <family val="1"/>
        <charset val="238"/>
      </rPr>
      <t>sqrt(n * p * (1-p))</t>
    </r>
  </si>
  <si>
    <t>Padne 0 a n</t>
  </si>
  <si>
    <t>0 až 100</t>
  </si>
  <si>
    <t>Je to OK, platí</t>
  </si>
  <si>
    <t>Výšky žien od 134 cm do 216 cm, po 1 cm</t>
  </si>
  <si>
    <t>f(x)= N(170, 102)</t>
  </si>
  <si>
    <t>F(x)</t>
  </si>
  <si>
    <t>F(x)2</t>
  </si>
  <si>
    <t>zi</t>
  </si>
  <si>
    <t>f(z)= N(0, 1)</t>
  </si>
  <si>
    <r>
      <t xml:space="preserve">Fi(z)= fi </t>
    </r>
    <r>
      <rPr>
        <b/>
        <sz val="11"/>
        <color theme="0"/>
        <rFont val="Symbol"/>
        <family val="1"/>
        <charset val="2"/>
      </rPr>
      <t>f</t>
    </r>
    <r>
      <rPr>
        <b/>
        <sz val="11"/>
        <color theme="0"/>
        <rFont val="Calibri"/>
        <family val="2"/>
        <charset val="238"/>
        <scheme val="minor"/>
      </rPr>
      <t>(z)</t>
    </r>
  </si>
  <si>
    <t>Výpočty pre X:</t>
  </si>
  <si>
    <r>
      <t>P(X&lt;170) = F(170) - F(-</t>
    </r>
    <r>
      <rPr>
        <sz val="10"/>
        <rFont val="Calibri"/>
        <family val="2"/>
        <charset val="238"/>
      </rPr>
      <t>∞</t>
    </r>
    <r>
      <rPr>
        <sz val="10"/>
        <rFont val="Arial"/>
        <family val="2"/>
        <charset val="238"/>
      </rPr>
      <t>) = 0,5 - 0  =</t>
    </r>
  </si>
  <si>
    <t>P(160&lt;X&lt;170) = F(170) - F(160) = 0,5 - 0,1587  =</t>
  </si>
  <si>
    <t>P(160&lt;X&lt;180) = F(180) - F(160) = 0,8413 - 0,1587  =</t>
  </si>
  <si>
    <r>
      <rPr>
        <b/>
        <sz val="10"/>
        <rFont val="Symbol"/>
        <family val="1"/>
        <charset val="2"/>
      </rPr>
      <t xml:space="preserve">m </t>
    </r>
    <r>
      <rPr>
        <b/>
        <sz val="10"/>
        <rFont val="Calibri"/>
        <family val="2"/>
        <charset val="238"/>
      </rPr>
      <t xml:space="preserve">± </t>
    </r>
    <r>
      <rPr>
        <b/>
        <sz val="10"/>
        <rFont val="Symbol"/>
        <family val="1"/>
        <charset val="2"/>
      </rPr>
      <t>s</t>
    </r>
  </si>
  <si>
    <t>P(150&lt;X&lt;190) = F(190) - F(150) = 0,9772 - 0,028  =</t>
  </si>
  <si>
    <r>
      <rPr>
        <b/>
        <sz val="10"/>
        <color theme="0"/>
        <rFont val="Symbol"/>
        <family val="1"/>
        <charset val="2"/>
      </rPr>
      <t xml:space="preserve">m </t>
    </r>
    <r>
      <rPr>
        <b/>
        <sz val="10"/>
        <color theme="0"/>
        <rFont val="Calibri"/>
        <family val="2"/>
        <charset val="238"/>
      </rPr>
      <t>± 2</t>
    </r>
    <r>
      <rPr>
        <b/>
        <sz val="10"/>
        <color theme="0"/>
        <rFont val="Symbol"/>
        <family val="1"/>
        <charset val="2"/>
      </rPr>
      <t>s</t>
    </r>
  </si>
  <si>
    <t>P(140&lt;X&lt;200) = F(200) - F(140) = 0,9987 - 0,0013  =</t>
  </si>
  <si>
    <r>
      <rPr>
        <b/>
        <sz val="10"/>
        <color theme="0"/>
        <rFont val="Symbol"/>
        <family val="1"/>
        <charset val="2"/>
      </rPr>
      <t xml:space="preserve">m </t>
    </r>
    <r>
      <rPr>
        <b/>
        <sz val="10"/>
        <color theme="0"/>
        <rFont val="Calibri"/>
        <family val="2"/>
        <charset val="238"/>
      </rPr>
      <t>± 3</t>
    </r>
    <r>
      <rPr>
        <b/>
        <sz val="10"/>
        <color theme="0"/>
        <rFont val="Symbol"/>
        <family val="1"/>
        <charset val="2"/>
      </rPr>
      <t>s</t>
    </r>
  </si>
  <si>
    <t>P(165&lt;X&lt;175) = F(175) - F(165) = 0,6915 - 0,3085  =</t>
  </si>
  <si>
    <t>P(X=140) = F(140) - F(140) =</t>
  </si>
  <si>
    <r>
      <t>P(X&gt;170) = F(</t>
    </r>
    <r>
      <rPr>
        <sz val="10"/>
        <rFont val="Calibri"/>
        <family val="2"/>
        <charset val="238"/>
      </rPr>
      <t>∞</t>
    </r>
    <r>
      <rPr>
        <sz val="10"/>
        <rFont val="Arial"/>
        <family val="2"/>
        <charset val="238"/>
      </rPr>
      <t>) - F(170) = 1 - F(170) = 1 - 0,5</t>
    </r>
  </si>
  <si>
    <r>
      <t>P(X&gt;180) = F(</t>
    </r>
    <r>
      <rPr>
        <sz val="10"/>
        <rFont val="Calibri"/>
        <family val="2"/>
        <charset val="238"/>
      </rPr>
      <t>∞</t>
    </r>
    <r>
      <rPr>
        <sz val="10"/>
        <rFont val="Arial"/>
        <family val="2"/>
        <charset val="238"/>
      </rPr>
      <t>) - F(180) = 1 - F(180) = 1 - 0,8413</t>
    </r>
  </si>
  <si>
    <r>
      <t>P(X&gt;178) = F(</t>
    </r>
    <r>
      <rPr>
        <sz val="10"/>
        <rFont val="Calibri"/>
        <family val="2"/>
        <charset val="238"/>
      </rPr>
      <t>∞</t>
    </r>
    <r>
      <rPr>
        <sz val="10"/>
        <rFont val="Arial"/>
        <family val="2"/>
        <charset val="238"/>
      </rPr>
      <t>) - F(178) = 1 - F(178) = 1 - 0,7781</t>
    </r>
  </si>
  <si>
    <t>Výpočty pre Z:</t>
  </si>
  <si>
    <r>
      <t xml:space="preserve">P(-1&lt;Z&lt;1) = </t>
    </r>
    <r>
      <rPr>
        <b/>
        <sz val="10"/>
        <rFont val="Symbol"/>
        <family val="1"/>
        <charset val="2"/>
      </rPr>
      <t>f</t>
    </r>
    <r>
      <rPr>
        <b/>
        <sz val="10"/>
        <rFont val="Arial"/>
        <family val="2"/>
        <charset val="238"/>
      </rPr>
      <t xml:space="preserve">(1) - </t>
    </r>
    <r>
      <rPr>
        <b/>
        <sz val="10"/>
        <rFont val="Symbol"/>
        <family val="1"/>
        <charset val="2"/>
      </rPr>
      <t>f</t>
    </r>
    <r>
      <rPr>
        <b/>
        <sz val="10"/>
        <rFont val="Arial"/>
        <family val="2"/>
        <charset val="238"/>
      </rPr>
      <t>(-1) = 0,8413 - 0,1587</t>
    </r>
  </si>
  <si>
    <r>
      <t xml:space="preserve">P(-2&lt;Z&lt;2) = </t>
    </r>
    <r>
      <rPr>
        <b/>
        <sz val="10"/>
        <rFont val="Symbol"/>
        <family val="1"/>
        <charset val="2"/>
      </rPr>
      <t>f</t>
    </r>
    <r>
      <rPr>
        <b/>
        <sz val="10"/>
        <rFont val="Arial"/>
        <family val="2"/>
        <charset val="238"/>
      </rPr>
      <t xml:space="preserve">(2) - </t>
    </r>
    <r>
      <rPr>
        <b/>
        <sz val="10"/>
        <rFont val="Symbol"/>
        <family val="1"/>
        <charset val="2"/>
      </rPr>
      <t>f</t>
    </r>
    <r>
      <rPr>
        <b/>
        <sz val="10"/>
        <rFont val="Arial"/>
        <family val="2"/>
        <charset val="238"/>
      </rPr>
      <t>(-2) = 0,9772 - 0,0228</t>
    </r>
  </si>
  <si>
    <r>
      <t xml:space="preserve">P(-3&lt;Z&lt;3) = </t>
    </r>
    <r>
      <rPr>
        <b/>
        <sz val="10"/>
        <rFont val="Symbol"/>
        <family val="1"/>
        <charset val="2"/>
      </rPr>
      <t>f</t>
    </r>
    <r>
      <rPr>
        <b/>
        <sz val="10"/>
        <rFont val="Arial"/>
        <family val="2"/>
        <charset val="238"/>
      </rPr>
      <t xml:space="preserve">(3) - </t>
    </r>
    <r>
      <rPr>
        <b/>
        <sz val="10"/>
        <rFont val="Symbol"/>
        <family val="1"/>
        <charset val="2"/>
      </rPr>
      <t>f</t>
    </r>
    <r>
      <rPr>
        <b/>
        <sz val="10"/>
        <rFont val="Arial"/>
        <family val="2"/>
        <charset val="238"/>
      </rPr>
      <t>(-3) = 0,9987 - 0,013</t>
    </r>
  </si>
  <si>
    <t>X = Počet chlapcov v rodine s 3 detmi, (p=0,5)</t>
  </si>
  <si>
    <t>p</t>
  </si>
  <si>
    <t>pi = BI(0,5; 3)</t>
  </si>
  <si>
    <t>pi = BI(0,5; 3)2</t>
  </si>
  <si>
    <t>F(x)3</t>
  </si>
  <si>
    <t>Skúška správnosti</t>
  </si>
  <si>
    <t>xi*pi</t>
  </si>
  <si>
    <t>xi^2*pi</t>
  </si>
  <si>
    <t>X</t>
  </si>
  <si>
    <r>
      <rPr>
        <b/>
        <sz val="10"/>
        <color theme="0"/>
        <rFont val="Symbol"/>
        <family val="1"/>
        <charset val="2"/>
      </rPr>
      <t>m</t>
    </r>
    <r>
      <rPr>
        <b/>
        <sz val="10"/>
        <color theme="0"/>
        <rFont val="Arial"/>
        <family val="2"/>
        <charset val="238"/>
      </rPr>
      <t xml:space="preserve"> E(X)</t>
    </r>
  </si>
  <si>
    <r>
      <t>s</t>
    </r>
    <r>
      <rPr>
        <b/>
        <vertAlign val="superscript"/>
        <sz val="10"/>
        <color theme="0"/>
        <rFont val="Arial"/>
        <family val="2"/>
        <charset val="238"/>
      </rPr>
      <t>2</t>
    </r>
    <r>
      <rPr>
        <b/>
        <sz val="10"/>
        <color theme="0"/>
        <rFont val="Arial"/>
        <family val="2"/>
        <charset val="238"/>
      </rPr>
      <t xml:space="preserve"> D(X)</t>
    </r>
  </si>
  <si>
    <r>
      <t>s</t>
    </r>
    <r>
      <rPr>
        <b/>
        <vertAlign val="superscript"/>
        <sz val="10"/>
        <rFont val="Arial"/>
        <family val="2"/>
        <charset val="238"/>
      </rPr>
      <t xml:space="preserve"> </t>
    </r>
    <r>
      <rPr>
        <b/>
        <sz val="10"/>
        <rFont val="Arial"/>
        <family val="2"/>
        <charset val="238"/>
      </rPr>
      <t>(X) std.dev</t>
    </r>
  </si>
  <si>
    <t>P(X = 1) =</t>
  </si>
  <si>
    <t>P(1)</t>
  </si>
  <si>
    <t>Práve 1 chlapec</t>
  </si>
  <si>
    <t>P(X = 3) =</t>
  </si>
  <si>
    <t>P(3)</t>
  </si>
  <si>
    <t>Práve 3 chlapec</t>
  </si>
  <si>
    <t>P(X &lt; 1) =</t>
  </si>
  <si>
    <t>P(0)</t>
  </si>
  <si>
    <t>Menej ako 1 chlapec</t>
  </si>
  <si>
    <t>F(0)</t>
  </si>
  <si>
    <r>
      <t xml:space="preserve">P(X </t>
    </r>
    <r>
      <rPr>
        <sz val="10"/>
        <rFont val="Symbol"/>
        <family val="1"/>
        <charset val="2"/>
      </rPr>
      <t xml:space="preserve"> £</t>
    </r>
    <r>
      <rPr>
        <sz val="10"/>
        <rFont val="Arial"/>
        <family val="2"/>
        <charset val="238"/>
      </rPr>
      <t xml:space="preserve"> 1) =</t>
    </r>
  </si>
  <si>
    <t>P(0) + P(1)</t>
  </si>
  <si>
    <t>1 chlapec alebo menej</t>
  </si>
  <si>
    <t>F(1)</t>
  </si>
  <si>
    <t>P(X &gt; 1) =</t>
  </si>
  <si>
    <t>P(2) + P(3)</t>
  </si>
  <si>
    <t>Viac ako 1 chlapec</t>
  </si>
  <si>
    <t>1-F(1)</t>
  </si>
  <si>
    <r>
      <t xml:space="preserve">P(X </t>
    </r>
    <r>
      <rPr>
        <sz val="10"/>
        <rFont val="Symbol"/>
        <family val="1"/>
        <charset val="2"/>
      </rPr>
      <t xml:space="preserve"> £</t>
    </r>
    <r>
      <rPr>
        <sz val="10"/>
        <rFont val="Arial"/>
        <family val="2"/>
        <charset val="238"/>
      </rPr>
      <t xml:space="preserve"> 2) =</t>
    </r>
  </si>
  <si>
    <t>P(0) + P(1) + P(2)</t>
  </si>
  <si>
    <t>2 chlapci alebo menej</t>
  </si>
  <si>
    <t>F(2)</t>
  </si>
  <si>
    <t>X = Počet chlapcov v rodine s 3 detmi, (p=0,51)</t>
  </si>
  <si>
    <t>pi = BI(0,51; 3)</t>
  </si>
  <si>
    <t>pi = BI(0,51; 3)2</t>
  </si>
  <si>
    <t>Zlý basketbalista (p=0,2), n = 10 pokusov</t>
  </si>
  <si>
    <t>Dobrý basketbalista (p=0,8), n = 10 pokusov</t>
  </si>
  <si>
    <t>pi = BI(0,2; 10)</t>
  </si>
  <si>
    <t>pi = BI(0,8; 10)</t>
  </si>
  <si>
    <t>Celková hodnota</t>
  </si>
  <si>
    <t>Funkcia Rand</t>
  </si>
  <si>
    <t>Funkcia Randbetween</t>
  </si>
  <si>
    <t>Javy</t>
  </si>
  <si>
    <t>Kontingenčná tabuľka zostavená z pravdepodobností</t>
  </si>
  <si>
    <t>A</t>
  </si>
  <si>
    <t>choroba</t>
  </si>
  <si>
    <t>B</t>
  </si>
  <si>
    <t>vysledok testu</t>
  </si>
  <si>
    <t>A+</t>
  </si>
  <si>
    <t>chory</t>
  </si>
  <si>
    <t>B+</t>
  </si>
  <si>
    <t>test pozitivny</t>
  </si>
  <si>
    <t>A-</t>
  </si>
  <si>
    <t>zdravy</t>
  </si>
  <si>
    <t>B-</t>
  </si>
  <si>
    <t>test negativny</t>
  </si>
  <si>
    <t>Test krvi B</t>
  </si>
  <si>
    <t>Zadane v texte:</t>
  </si>
  <si>
    <t>Treba vypočítať</t>
  </si>
  <si>
    <t>Choroba A</t>
  </si>
  <si>
    <t>P(B+/A+) =</t>
  </si>
  <si>
    <t>P(A+/B+) =  ?</t>
  </si>
  <si>
    <t>P(B+/A-) =</t>
  </si>
  <si>
    <t>P(A+) =</t>
  </si>
  <si>
    <t>Vypocty:</t>
  </si>
  <si>
    <t>P(A-) = 1 - P(A+) =</t>
  </si>
  <si>
    <t>P(B-/A+) =</t>
  </si>
  <si>
    <t>Ak náhodne vybraný pacient má pozitívny výsledok z testu krvy, tak je chorý na danú chorobu s pravdepodobnosťou 0,9090, čiže takmer 91 %</t>
  </si>
  <si>
    <t>P(B-/A-) =</t>
  </si>
  <si>
    <t>jav</t>
  </si>
  <si>
    <t>P</t>
  </si>
  <si>
    <t>P podm.</t>
  </si>
  <si>
    <t>P prieniku</t>
  </si>
  <si>
    <t>Výsledok</t>
  </si>
  <si>
    <t>P(A+ ∩ B+)</t>
  </si>
  <si>
    <t>P(A+ ∩ B-)</t>
  </si>
  <si>
    <t>P(A- ∩ B+)</t>
  </si>
  <si>
    <t>P(A- ∩ B-)</t>
  </si>
  <si>
    <t>P(B+)</t>
  </si>
  <si>
    <t>B1</t>
  </si>
  <si>
    <t>B2</t>
  </si>
  <si>
    <t>Počet domov</t>
  </si>
  <si>
    <t>S1</t>
  </si>
  <si>
    <t>S2</t>
  </si>
  <si>
    <t>Absolútne triedne početnosti nij</t>
  </si>
  <si>
    <t>Javy zložené</t>
  </si>
  <si>
    <t>Počet z Garage capacity</t>
  </si>
  <si>
    <t>Označenia stĺpcov</t>
  </si>
  <si>
    <t>Označ. Zložených javu</t>
  </si>
  <si>
    <t>Názov</t>
  </si>
  <si>
    <t>Hodnoty javy = jednoducé elementárne javy</t>
  </si>
  <si>
    <t>Označenia riadkov</t>
  </si>
  <si>
    <t>Town</t>
  </si>
  <si>
    <t>Village</t>
  </si>
  <si>
    <t>Celkový súčet</t>
  </si>
  <si>
    <t>Garage capacity</t>
  </si>
  <si>
    <t>A1=0 A2=1 A3=2</t>
  </si>
  <si>
    <t>A1</t>
  </si>
  <si>
    <t>R1</t>
  </si>
  <si>
    <t>Location</t>
  </si>
  <si>
    <t>B1 = town B2 = dedine</t>
  </si>
  <si>
    <t>A2</t>
  </si>
  <si>
    <t>R2</t>
  </si>
  <si>
    <t>A3</t>
  </si>
  <si>
    <t>R3</t>
  </si>
  <si>
    <t>Označenie pravdepodobností</t>
  </si>
  <si>
    <t>hodnota P</t>
  </si>
  <si>
    <t>P(A2)</t>
  </si>
  <si>
    <t>P(B1)</t>
  </si>
  <si>
    <r>
      <t xml:space="preserve">P(A2 </t>
    </r>
    <r>
      <rPr>
        <sz val="10"/>
        <rFont val="Symbol"/>
        <family val="1"/>
        <charset val="2"/>
      </rPr>
      <t>Ç</t>
    </r>
    <r>
      <rPr>
        <sz val="10"/>
        <rFont val="Arial"/>
        <family val="2"/>
        <charset val="238"/>
      </rPr>
      <t xml:space="preserve"> B1)</t>
    </r>
  </si>
  <si>
    <t>Sú javy A2 a B1 nezávislé?</t>
  </si>
  <si>
    <t>Sú rovnaké</t>
  </si>
  <si>
    <r>
      <t xml:space="preserve">P(A2 </t>
    </r>
    <r>
      <rPr>
        <sz val="10"/>
        <rFont val="Symbol"/>
        <family val="1"/>
        <charset val="2"/>
      </rPr>
      <t>Ç</t>
    </r>
    <r>
      <rPr>
        <sz val="10"/>
        <rFont val="Arial"/>
        <family val="2"/>
        <charset val="238"/>
      </rPr>
      <t xml:space="preserve"> B1) = P(A2) * P(B1)</t>
    </r>
  </si>
  <si>
    <t>LS</t>
  </si>
  <si>
    <t>PS</t>
  </si>
  <si>
    <t>P(A2) * P(B1)</t>
  </si>
  <si>
    <t>Sú javy A1 a B2 nezávislé?</t>
  </si>
  <si>
    <r>
      <t xml:space="preserve">LS </t>
    </r>
    <r>
      <rPr>
        <sz val="10"/>
        <rFont val="Calibri"/>
        <family val="2"/>
        <charset val="238"/>
      </rPr>
      <t>≠</t>
    </r>
    <r>
      <rPr>
        <sz val="13"/>
        <rFont val="Arial"/>
        <family val="2"/>
        <charset val="238"/>
      </rPr>
      <t xml:space="preserve"> PS</t>
    </r>
  </si>
  <si>
    <r>
      <t xml:space="preserve">P(A1 </t>
    </r>
    <r>
      <rPr>
        <sz val="10"/>
        <rFont val="Symbol"/>
        <family val="1"/>
        <charset val="2"/>
      </rPr>
      <t>Ç</t>
    </r>
    <r>
      <rPr>
        <sz val="10"/>
        <rFont val="Arial"/>
        <family val="2"/>
        <charset val="238"/>
      </rPr>
      <t xml:space="preserve"> B2) = P(A1) * P(B2)</t>
    </r>
  </si>
  <si>
    <t>Rovnosť neplatí, tak javy A2 a B1 sú závislé</t>
  </si>
  <si>
    <t>P(A1)</t>
  </si>
  <si>
    <t>P(B2)</t>
  </si>
  <si>
    <r>
      <t xml:space="preserve">P(A1 </t>
    </r>
    <r>
      <rPr>
        <sz val="10"/>
        <rFont val="Symbol"/>
        <family val="1"/>
        <charset val="2"/>
      </rPr>
      <t>Ç</t>
    </r>
    <r>
      <rPr>
        <sz val="10"/>
        <rFont val="Arial"/>
        <family val="2"/>
        <charset val="238"/>
      </rPr>
      <t xml:space="preserve"> B2)</t>
    </r>
  </si>
  <si>
    <t>P(A1) * P(B2)</t>
  </si>
  <si>
    <t>Rovnosť neplatí, tak javy A1 a B2 sú závislé</t>
  </si>
  <si>
    <t>House type</t>
  </si>
  <si>
    <t>Bedrooms</t>
  </si>
  <si>
    <t>Reception rooms</t>
  </si>
  <si>
    <t>Bedrooms_Receptions</t>
  </si>
  <si>
    <t>Máme na to?</t>
  </si>
  <si>
    <t>Semi-detached</t>
  </si>
  <si>
    <t>OK</t>
  </si>
  <si>
    <t>Detached</t>
  </si>
  <si>
    <t>NG</t>
  </si>
  <si>
    <t>Terraced</t>
  </si>
  <si>
    <t>Javy - kategoriálne premenné</t>
  </si>
  <si>
    <t>Označ. Javov</t>
  </si>
  <si>
    <t>Typ</t>
  </si>
  <si>
    <t>Hodnoty</t>
  </si>
  <si>
    <t>množná, poradová</t>
  </si>
  <si>
    <t>A1 A2 A3</t>
  </si>
  <si>
    <t>binárna. Nominálna</t>
  </si>
  <si>
    <t>B1 B2</t>
  </si>
  <si>
    <r>
      <t>n</t>
    </r>
    <r>
      <rPr>
        <b/>
        <vertAlign val="subscript"/>
        <sz val="12"/>
        <rFont val="Arial"/>
        <family val="2"/>
        <charset val="238"/>
      </rPr>
      <t>21</t>
    </r>
    <r>
      <rPr>
        <b/>
        <sz val="12"/>
        <rFont val="Arial"/>
        <family val="2"/>
        <charset val="238"/>
      </rPr>
      <t xml:space="preserve"> =</t>
    </r>
  </si>
  <si>
    <r>
      <t xml:space="preserve">A2 </t>
    </r>
    <r>
      <rPr>
        <sz val="10"/>
        <rFont val="Symbol"/>
        <family val="1"/>
        <charset val="2"/>
      </rPr>
      <t xml:space="preserve">Ç </t>
    </r>
    <r>
      <rPr>
        <sz val="10"/>
        <rFont val="Arial"/>
        <family val="2"/>
        <charset val="238"/>
      </rPr>
      <t>B1</t>
    </r>
  </si>
  <si>
    <r>
      <t>n</t>
    </r>
    <r>
      <rPr>
        <b/>
        <vertAlign val="subscript"/>
        <sz val="12"/>
        <rFont val="Arial"/>
        <family val="2"/>
        <charset val="238"/>
      </rPr>
      <t>2.</t>
    </r>
    <r>
      <rPr>
        <b/>
        <sz val="12"/>
        <rFont val="Arial"/>
        <family val="2"/>
        <charset val="238"/>
      </rPr>
      <t xml:space="preserve"> =</t>
    </r>
  </si>
  <si>
    <r>
      <t>n</t>
    </r>
    <r>
      <rPr>
        <b/>
        <vertAlign val="subscript"/>
        <sz val="12"/>
        <rFont val="Arial"/>
        <family val="2"/>
        <charset val="238"/>
      </rPr>
      <t>.1</t>
    </r>
    <r>
      <rPr>
        <b/>
        <sz val="12"/>
        <rFont val="Arial"/>
        <family val="2"/>
        <charset val="238"/>
      </rPr>
      <t xml:space="preserve"> =</t>
    </r>
  </si>
  <si>
    <t>Podiel domov zo všetkých n = 50</t>
  </si>
  <si>
    <t>% z celkového súčtu</t>
  </si>
  <si>
    <t>Relatívne triedne početnosti nij - odhady pravdepodobnosti javov</t>
  </si>
  <si>
    <r>
      <t>f</t>
    </r>
    <r>
      <rPr>
        <b/>
        <vertAlign val="subscript"/>
        <sz val="12"/>
        <rFont val="Arial"/>
        <family val="2"/>
        <charset val="238"/>
      </rPr>
      <t xml:space="preserve">21 </t>
    </r>
    <r>
      <rPr>
        <b/>
        <sz val="12"/>
        <rFont val="Symbol"/>
        <family val="1"/>
        <charset val="2"/>
      </rPr>
      <t xml:space="preserve"> »</t>
    </r>
    <r>
      <rPr>
        <b/>
        <vertAlign val="subscript"/>
        <sz val="15.6"/>
        <rFont val="Arial"/>
        <family val="2"/>
        <charset val="238"/>
      </rPr>
      <t xml:space="preserve"> p21</t>
    </r>
    <r>
      <rPr>
        <b/>
        <sz val="12"/>
        <rFont val="Arial"/>
        <family val="2"/>
        <charset val="238"/>
      </rPr>
      <t xml:space="preserve"> =</t>
    </r>
  </si>
  <si>
    <t>=15/50</t>
  </si>
  <si>
    <r>
      <t xml:space="preserve">P(A2 </t>
    </r>
    <r>
      <rPr>
        <sz val="10"/>
        <rFont val="Symbol"/>
        <family val="1"/>
        <charset val="2"/>
      </rPr>
      <t xml:space="preserve">Ç </t>
    </r>
    <r>
      <rPr>
        <sz val="10"/>
        <rFont val="Arial"/>
        <family val="2"/>
        <charset val="238"/>
      </rPr>
      <t>B1)</t>
    </r>
  </si>
  <si>
    <r>
      <t>f</t>
    </r>
    <r>
      <rPr>
        <b/>
        <vertAlign val="subscript"/>
        <sz val="12"/>
        <rFont val="Arial"/>
        <family val="2"/>
        <charset val="238"/>
      </rPr>
      <t>2.</t>
    </r>
    <r>
      <rPr>
        <b/>
        <sz val="12"/>
        <rFont val="Arial"/>
        <family val="2"/>
        <charset val="238"/>
      </rPr>
      <t xml:space="preserve"> </t>
    </r>
    <r>
      <rPr>
        <b/>
        <sz val="12"/>
        <rFont val="Symbol"/>
        <family val="1"/>
        <charset val="2"/>
      </rPr>
      <t xml:space="preserve">» </t>
    </r>
    <r>
      <rPr>
        <b/>
        <sz val="12"/>
        <rFont val="Arial"/>
        <family val="2"/>
        <charset val="238"/>
      </rPr>
      <t>p</t>
    </r>
    <r>
      <rPr>
        <b/>
        <vertAlign val="subscript"/>
        <sz val="12"/>
        <rFont val="Arial"/>
        <family val="2"/>
        <charset val="238"/>
      </rPr>
      <t>2.</t>
    </r>
  </si>
  <si>
    <t>=21/50</t>
  </si>
  <si>
    <r>
      <t>f</t>
    </r>
    <r>
      <rPr>
        <b/>
        <vertAlign val="subscript"/>
        <sz val="12"/>
        <rFont val="Arial"/>
        <family val="2"/>
        <charset val="238"/>
      </rPr>
      <t>.1</t>
    </r>
    <r>
      <rPr>
        <b/>
        <sz val="12"/>
        <rFont val="Arial"/>
        <family val="2"/>
        <charset val="238"/>
      </rPr>
      <t xml:space="preserve"> </t>
    </r>
    <r>
      <rPr>
        <b/>
        <sz val="12"/>
        <rFont val="Symbol"/>
        <family val="1"/>
        <charset val="2"/>
      </rPr>
      <t xml:space="preserve">» </t>
    </r>
    <r>
      <rPr>
        <b/>
        <sz val="12"/>
        <rFont val="Arial"/>
        <family val="2"/>
        <charset val="238"/>
      </rPr>
      <t>p</t>
    </r>
    <r>
      <rPr>
        <b/>
        <vertAlign val="subscript"/>
        <sz val="12"/>
        <rFont val="Arial"/>
        <family val="2"/>
        <charset val="238"/>
      </rPr>
      <t>.1</t>
    </r>
  </si>
  <si>
    <t>=27/50</t>
  </si>
  <si>
    <t>Podiel domov z stlpca</t>
  </si>
  <si>
    <t>% z súčtu stlpca</t>
  </si>
  <si>
    <t>Podmiene pravdepodobnosti stlpcové</t>
  </si>
  <si>
    <t>P(A2/B1)=</t>
  </si>
  <si>
    <r>
      <t xml:space="preserve">P(A2 </t>
    </r>
    <r>
      <rPr>
        <sz val="10"/>
        <rFont val="Symbol"/>
        <family val="1"/>
        <charset val="2"/>
      </rPr>
      <t>Ç</t>
    </r>
    <r>
      <rPr>
        <sz val="10"/>
        <rFont val="Arial"/>
        <family val="2"/>
        <charset val="238"/>
      </rPr>
      <t xml:space="preserve"> B1)/P(B1)</t>
    </r>
  </si>
  <si>
    <t>=15/27</t>
  </si>
  <si>
    <t>=(GETPIVOTDATA("Garage capacity";$A$3;"Location";"Town";"Garage capacity";1)/GETPIVOTDATA("Garage capacity";$A$3))/(GETPIVOTDATA("Garage capacity";$A$3;"Location";"Town")/GETPIVOTDATA("Garage capacity";$A$3))</t>
  </si>
  <si>
    <t>Podiel domov z riadku</t>
  </si>
  <si>
    <t>% zo súčtu riadku</t>
  </si>
  <si>
    <t>Podmienené pravdepodobnosti riadkové</t>
  </si>
  <si>
    <t>P(B1/A2)=</t>
  </si>
  <si>
    <t>=(15/50)/(21/50)</t>
  </si>
  <si>
    <t>Pomocné výpočty</t>
  </si>
  <si>
    <t>Jednoduchá frekvenčná tabuľka</t>
  </si>
  <si>
    <t>pre rozptyl 1</t>
  </si>
  <si>
    <t>pre rozptyl 2</t>
  </si>
  <si>
    <t>Bedrooms xi</t>
  </si>
  <si>
    <t>Ni</t>
  </si>
  <si>
    <t>Fi</t>
  </si>
  <si>
    <t>xi*ni</t>
  </si>
  <si>
    <t>(xi-xp )^2*ni</t>
  </si>
  <si>
    <t>xi^2*ni</t>
  </si>
  <si>
    <t>Power</t>
  </si>
  <si>
    <t>Sumproduct</t>
  </si>
  <si>
    <t>Sqrt</t>
  </si>
  <si>
    <t>Ar. priemer xp</t>
  </si>
  <si>
    <t>rozptyl P (populácie)</t>
  </si>
  <si>
    <t>rozptyl S (výberový)</t>
  </si>
  <si>
    <t>st.od. P</t>
  </si>
  <si>
    <t>st.od. S</t>
  </si>
  <si>
    <t>Interpretácia</t>
  </si>
  <si>
    <t>xp +- st.od.</t>
  </si>
  <si>
    <t>3,72 +- 0,9485</t>
  </si>
  <si>
    <t xml:space="preserve">Predávané domy mali priemerne skoro 4 spálne +- v priemere 1 spalnu </t>
  </si>
  <si>
    <t>(0,95 je priemerná odchýlka od ar. priemeru 3,72)</t>
  </si>
  <si>
    <t>modus</t>
  </si>
  <si>
    <t>najčastejšie sa predávali 4-spalnove domy</t>
  </si>
  <si>
    <t>median</t>
  </si>
  <si>
    <t>50% domov malo 4 a menej spalni a 50% domov malo 4 a viac spalni</t>
  </si>
  <si>
    <t>dolny kvartil</t>
  </si>
  <si>
    <t>25% domov malo 3 a menej spalni a 75% domov malo 3 a viac spalni</t>
  </si>
  <si>
    <t>horny kvartil</t>
  </si>
  <si>
    <t>75% domov malo 4 a menej spalni a 25% domov malo 4 a viac spalni</t>
  </si>
  <si>
    <t>dolny decil</t>
  </si>
  <si>
    <t>10% domov malo 2 a menej spalni a 90% domov malo 2 a viac spalni</t>
  </si>
  <si>
    <t>horny decil</t>
  </si>
  <si>
    <t>90% domov malo 5 a menej spalni a 10% domov malo 5 a viac spalni</t>
  </si>
  <si>
    <t>Absolútna triedna početnosť</t>
  </si>
  <si>
    <t>Komulatívna absolútna 
triedna početnosť</t>
  </si>
  <si>
    <t>Relatívna triedna početnosť</t>
  </si>
  <si>
    <t>Komulatívna relatívna 
triedna početnosť</t>
  </si>
  <si>
    <t>NI</t>
  </si>
  <si>
    <t>Počet z Location</t>
  </si>
  <si>
    <t>Price3</t>
  </si>
  <si>
    <t>Bin/category Price</t>
  </si>
  <si>
    <t>Sum, suma</t>
  </si>
  <si>
    <t>Min, minimum</t>
  </si>
  <si>
    <t>Max, maximum</t>
  </si>
  <si>
    <t>Modus, Mode.SNGL</t>
  </si>
  <si>
    <t>Modus, Mode</t>
  </si>
  <si>
    <t>Median, Median</t>
  </si>
  <si>
    <t>AVG, priemer</t>
  </si>
  <si>
    <t>Var P, rozptyl</t>
  </si>
  <si>
    <t>Var S, rozpyl</t>
  </si>
  <si>
    <t>Var, rozpyl</t>
  </si>
  <si>
    <t>Stdev.P</t>
  </si>
  <si>
    <t>Stdev.S</t>
  </si>
  <si>
    <t>Skew, šikmosť</t>
  </si>
  <si>
    <t>Skew.P, šikmosť</t>
  </si>
  <si>
    <t>Kurt, špičatosť</t>
  </si>
  <si>
    <t>Large(5), najväčšia...</t>
  </si>
  <si>
    <t>Large(4), najväčšia...</t>
  </si>
  <si>
    <t>Large(1), najväčšia...</t>
  </si>
  <si>
    <t>Small(5), najväčšia...</t>
  </si>
  <si>
    <t>Small(4), najväčšia...</t>
  </si>
  <si>
    <t>Small(1), najväčšia...</t>
  </si>
  <si>
    <t>Range, Variačné rozpätie</t>
  </si>
  <si>
    <t>Vk, Variačný koeficient</t>
  </si>
  <si>
    <t>Count, počet</t>
  </si>
  <si>
    <t>CountA, počet</t>
  </si>
  <si>
    <t>Mean, Priemer</t>
  </si>
  <si>
    <t>If, Máme rozpočet 210 000, ktoré nehnutelnosti sú OK a ktoré NG</t>
  </si>
  <si>
    <t>CountIf, počet nehnutelnosti/domov v meste</t>
  </si>
  <si>
    <t>CountIf, počet nehnutelnosti/domov na dedine</t>
  </si>
  <si>
    <t>SumIf, súčet/suma cien všetkých nehnutelnosti/domov v meste</t>
  </si>
  <si>
    <t>SumIf, súčet/suma cien všetkých nehnutelnosti/domov na dedine</t>
  </si>
  <si>
    <t>AverageIf,  priemer cien všetkých nehnutelnosti/domov v meste</t>
  </si>
  <si>
    <t>AverageIf,  priemer cien všetkých nehnutelnosti/domov na dedine</t>
  </si>
  <si>
    <t>Kvartily prvý, 1, 25. percentil</t>
  </si>
  <si>
    <t>Kvartily, QUARTILE.INC</t>
  </si>
  <si>
    <t>Kvartily, QUARTILE.EXC</t>
  </si>
  <si>
    <t xml:space="preserve">Kvartily, 2, 50. percentil </t>
  </si>
  <si>
    <t xml:space="preserve">Kvartily tretí, 3, 75. percentil </t>
  </si>
  <si>
    <t xml:space="preserve">Kvartily, 4, max </t>
  </si>
  <si>
    <t>Kvartily, 0, min</t>
  </si>
  <si>
    <t>X, Y, Z</t>
  </si>
  <si>
    <r>
      <t>Q</t>
    </r>
    <r>
      <rPr>
        <vertAlign val="subscript"/>
        <sz val="22"/>
        <rFont val="Arial"/>
        <family val="2"/>
        <charset val="238"/>
      </rPr>
      <t>k</t>
    </r>
    <r>
      <rPr>
        <vertAlign val="superscript"/>
        <sz val="22"/>
        <rFont val="Calibri"/>
        <family val="2"/>
        <charset val="238"/>
      </rPr>
      <t>α</t>
    </r>
  </si>
  <si>
    <t>α = 2</t>
  </si>
  <si>
    <r>
      <t>Q</t>
    </r>
    <r>
      <rPr>
        <vertAlign val="subscript"/>
        <sz val="22"/>
        <rFont val="Arial"/>
        <family val="2"/>
        <charset val="238"/>
      </rPr>
      <t>1</t>
    </r>
    <r>
      <rPr>
        <vertAlign val="superscript"/>
        <sz val="22"/>
        <rFont val="Calibri"/>
        <family val="2"/>
        <charset val="238"/>
      </rPr>
      <t>2</t>
    </r>
  </si>
  <si>
    <t>α = 4</t>
  </si>
  <si>
    <r>
      <t>Q</t>
    </r>
    <r>
      <rPr>
        <vertAlign val="subscript"/>
        <sz val="22"/>
        <rFont val="Arial"/>
        <family val="2"/>
        <charset val="238"/>
      </rPr>
      <t>1</t>
    </r>
    <r>
      <rPr>
        <vertAlign val="superscript"/>
        <sz val="22"/>
        <rFont val="Calibri"/>
        <family val="2"/>
        <charset val="238"/>
      </rPr>
      <t>4</t>
    </r>
  </si>
  <si>
    <r>
      <t>Q</t>
    </r>
    <r>
      <rPr>
        <vertAlign val="subscript"/>
        <sz val="22"/>
        <rFont val="Arial"/>
        <family val="2"/>
        <charset val="238"/>
      </rPr>
      <t>2</t>
    </r>
    <r>
      <rPr>
        <vertAlign val="superscript"/>
        <sz val="22"/>
        <rFont val="Calibri"/>
        <family val="2"/>
        <charset val="238"/>
      </rPr>
      <t>4</t>
    </r>
  </si>
  <si>
    <r>
      <t>Q</t>
    </r>
    <r>
      <rPr>
        <vertAlign val="subscript"/>
        <sz val="22"/>
        <rFont val="Arial"/>
        <family val="2"/>
        <charset val="238"/>
      </rPr>
      <t>3</t>
    </r>
    <r>
      <rPr>
        <vertAlign val="superscript"/>
        <sz val="22"/>
        <rFont val="Calibri"/>
        <family val="2"/>
        <charset val="238"/>
      </rPr>
      <t>4</t>
    </r>
  </si>
  <si>
    <t>α = 10</t>
  </si>
  <si>
    <t>…</t>
  </si>
  <si>
    <t>α = 100</t>
  </si>
  <si>
    <r>
      <t>Q</t>
    </r>
    <r>
      <rPr>
        <vertAlign val="subscript"/>
        <sz val="22"/>
        <rFont val="Arial"/>
        <family val="2"/>
        <charset val="238"/>
      </rPr>
      <t>1</t>
    </r>
    <r>
      <rPr>
        <vertAlign val="superscript"/>
        <sz val="22"/>
        <rFont val="Calibri"/>
        <family val="2"/>
        <charset val="238"/>
      </rPr>
      <t>100</t>
    </r>
  </si>
  <si>
    <r>
      <t>Q</t>
    </r>
    <r>
      <rPr>
        <vertAlign val="subscript"/>
        <sz val="22"/>
        <rFont val="Arial"/>
        <family val="2"/>
        <charset val="238"/>
      </rPr>
      <t>50</t>
    </r>
    <r>
      <rPr>
        <vertAlign val="superscript"/>
        <sz val="22"/>
        <rFont val="Calibri"/>
        <family val="2"/>
        <charset val="238"/>
      </rPr>
      <t>100</t>
    </r>
  </si>
  <si>
    <r>
      <t>Q</t>
    </r>
    <r>
      <rPr>
        <vertAlign val="subscript"/>
        <sz val="22"/>
        <rFont val="Arial"/>
        <family val="2"/>
        <charset val="238"/>
      </rPr>
      <t>99</t>
    </r>
    <r>
      <rPr>
        <vertAlign val="superscript"/>
        <sz val="22"/>
        <rFont val="Calibri"/>
        <family val="2"/>
        <charset val="238"/>
      </rPr>
      <t>100</t>
    </r>
  </si>
  <si>
    <t>N</t>
  </si>
  <si>
    <t>Mzda</t>
  </si>
  <si>
    <t>Priemer</t>
  </si>
  <si>
    <t>Modus</t>
  </si>
  <si>
    <t>Rozptyl</t>
  </si>
  <si>
    <t>Štandardná odchýlka</t>
  </si>
  <si>
    <t>os x xi hodnoty analyzovanej premennej
os y p(xi) pravdepodobnosti výskytu p(xi)</t>
  </si>
  <si>
    <t xml:space="preserve">Ni </t>
  </si>
  <si>
    <t xml:space="preserve">Fi </t>
  </si>
  <si>
    <t>10,00%</t>
  </si>
  <si>
    <t>Pomocné vypočty</t>
  </si>
  <si>
    <t>Intervalová frekvenčná tabuľka</t>
  </si>
  <si>
    <t>Price2-intervaly</t>
  </si>
  <si>
    <t>Price2-stredy int.  xi</t>
  </si>
  <si>
    <t>&lt;150</t>
  </si>
  <si>
    <t>150-250</t>
  </si>
  <si>
    <t>250-350</t>
  </si>
  <si>
    <t>350-450</t>
  </si>
  <si>
    <t>450-550</t>
  </si>
  <si>
    <t>&gt;550</t>
  </si>
  <si>
    <t>Arit. priemer xp</t>
  </si>
  <si>
    <t>334 +- 133,4</t>
  </si>
  <si>
    <t>Domy v tejto oblasti sa predavali v priemerne za 334 tis. dolarov +- v priemere 133,4 tis. dolarov</t>
  </si>
  <si>
    <t>(133,4 je priemerná odchýlka od ar. priemeru 334)</t>
  </si>
  <si>
    <t>interval</t>
  </si>
  <si>
    <t>najčastejšie sa predávali domy za cenu z intervalu 150-250 tis. dolarov</t>
  </si>
  <si>
    <t>50% domov malo cenu z intervalu 250-350 a nižšiu a 50% domov malo cenu 250-350 a vyššiu</t>
  </si>
  <si>
    <t>25% domov malo cenu z intervalu 150-250 a nižšiu a 75% domov malo cenu 150-250 a vyššiu</t>
  </si>
  <si>
    <t>75% domov malo cenu z intervalu 350-450 a nižšiu ...</t>
  </si>
  <si>
    <t>10% domov malo cenu z intervalu 150-250 a nižšiu ...</t>
  </si>
  <si>
    <t>90% domov malo cenu z intervalu 450-550 a nižšiu ...</t>
  </si>
  <si>
    <t>Počet z Price</t>
  </si>
  <si>
    <t>&lt;200000</t>
  </si>
  <si>
    <t>200000-299999</t>
  </si>
  <si>
    <t>300000-399999</t>
  </si>
  <si>
    <t>400000-499999</t>
  </si>
  <si>
    <t>Počet z House type</t>
  </si>
  <si>
    <t>&gt;500000</t>
  </si>
  <si>
    <t>Počet z Bedrooms</t>
  </si>
  <si>
    <t>Počet z Reception rooms</t>
  </si>
  <si>
    <t>Štatistiky</t>
  </si>
  <si>
    <t>Variačné rozpätie</t>
  </si>
  <si>
    <t>Absolútna početnosť</t>
  </si>
  <si>
    <t>Relatívna početnosť</t>
  </si>
  <si>
    <t>Stĺpec1</t>
  </si>
  <si>
    <t>Stĺpec2</t>
  </si>
  <si>
    <t>Stĺpec3</t>
  </si>
  <si>
    <t>Stĺpec4</t>
  </si>
  <si>
    <t>Stĺpec5</t>
  </si>
  <si>
    <t>Stĺpec6</t>
  </si>
  <si>
    <t>Poprad</t>
  </si>
  <si>
    <t>Data</t>
  </si>
  <si>
    <t>Bratislava</t>
  </si>
  <si>
    <t>Trnava</t>
  </si>
  <si>
    <t xml:space="preserve">FI </t>
  </si>
  <si>
    <t>h0 nezamietam</t>
  </si>
  <si>
    <t>h0 zamietam</t>
  </si>
  <si>
    <t>Testovanie hypotéz H o Mi = konšt</t>
  </si>
  <si>
    <t>2-stranná H - obojstranný test</t>
  </si>
  <si>
    <t>H0</t>
  </si>
  <si>
    <t>H1</t>
  </si>
  <si>
    <t>Mi0 =</t>
  </si>
  <si>
    <r>
      <t xml:space="preserve">Mi0 </t>
    </r>
    <r>
      <rPr>
        <sz val="10"/>
        <rFont val="Calibri"/>
        <family val="2"/>
        <charset val="238"/>
      </rPr>
      <t>≠</t>
    </r>
  </si>
  <si>
    <t>Test. Stat. Vypočítaná</t>
  </si>
  <si>
    <t>Test. Stat. Kritická</t>
  </si>
  <si>
    <r>
      <t>t</t>
    </r>
    <r>
      <rPr>
        <vertAlign val="subscript"/>
        <sz val="10"/>
        <rFont val="Arial"/>
        <family val="2"/>
        <charset val="238"/>
      </rPr>
      <t>vyp</t>
    </r>
  </si>
  <si>
    <r>
      <t>t</t>
    </r>
    <r>
      <rPr>
        <vertAlign val="subscript"/>
        <sz val="10"/>
        <rFont val="Arial"/>
        <family val="2"/>
        <charset val="238"/>
      </rPr>
      <t>krit</t>
    </r>
  </si>
  <si>
    <t>H0 nezamietam</t>
  </si>
  <si>
    <t>Dôvod:</t>
  </si>
  <si>
    <t>Výsledok:</t>
  </si>
  <si>
    <t>tvyp patrí do &lt;-2, 2&gt;</t>
  </si>
  <si>
    <r>
      <t xml:space="preserve">alfa </t>
    </r>
    <r>
      <rPr>
        <b/>
        <sz val="10"/>
        <rFont val="Symbol"/>
        <family val="1"/>
        <charset val="2"/>
      </rPr>
      <t>a</t>
    </r>
  </si>
  <si>
    <t>tvyp patrí do &lt;-2.4, 2.4&gt;</t>
  </si>
  <si>
    <t>tvyp patrí do &lt;-2.68, 2.68&gt;</t>
  </si>
  <si>
    <t>1-stranná H - ľavostranný test</t>
  </si>
  <si>
    <t>Mi0 &lt;</t>
  </si>
  <si>
    <t>tvyp patrí do &lt;-1.68, nekonečno)</t>
  </si>
  <si>
    <t>1-stranná H - pravostranný test</t>
  </si>
  <si>
    <t>Mi0 &gt;</t>
  </si>
  <si>
    <t>tvyp patrí do (-nekonečno, 1,68&gt;</t>
  </si>
  <si>
    <t>tvyp patrí do (-nekonečno, 2.11&gt;</t>
  </si>
  <si>
    <t>tvyp patrí do (-nekonečno, 2.4&gt;</t>
  </si>
  <si>
    <t>tvyp patrí do &lt;-2.11, nekonečno)</t>
  </si>
  <si>
    <t>tvyp patrí do &lt;-2.4, nekonečno)</t>
  </si>
  <si>
    <t>Spolu_body</t>
  </si>
  <si>
    <t>Confidence Level(95.0%)</t>
  </si>
  <si>
    <t>mean LL</t>
  </si>
  <si>
    <t>mean UL</t>
  </si>
  <si>
    <t>alfa</t>
  </si>
  <si>
    <t>chi2(0,975; 65)</t>
  </si>
  <si>
    <t>Študenti Body spolu</t>
  </si>
  <si>
    <t>Domy price</t>
  </si>
  <si>
    <t>chi2(0,025; 65)</t>
  </si>
  <si>
    <t>chi2(0,975; 49)</t>
  </si>
  <si>
    <t>chi2(0,025; 49)</t>
  </si>
  <si>
    <t>Excel</t>
  </si>
  <si>
    <t>Tabuľky</t>
  </si>
  <si>
    <t>Hranice</t>
  </si>
  <si>
    <t>Var LL</t>
  </si>
  <si>
    <t>Var UL</t>
  </si>
  <si>
    <t>Std LL</t>
  </si>
  <si>
    <t>Std UL</t>
  </si>
  <si>
    <t>Testovanie hypotéz H rozptyl/štandard. Odchýlka</t>
  </si>
  <si>
    <t>Sigma^2 =</t>
  </si>
  <si>
    <r>
      <t xml:space="preserve">Sigma^2 </t>
    </r>
    <r>
      <rPr>
        <sz val="10"/>
        <rFont val="Calibri"/>
        <family val="2"/>
        <charset val="238"/>
      </rPr>
      <t>≠</t>
    </r>
  </si>
  <si>
    <t>chi2</t>
  </si>
  <si>
    <t>oblasť prijatia H0</t>
  </si>
  <si>
    <t>H0 nezamietam, čiže prijimam</t>
  </si>
  <si>
    <t>chi2 patrí do &lt;-1.68, nekonečno)</t>
  </si>
  <si>
    <t>chi2 patrí do &lt;-2.11, nekonečno)</t>
  </si>
  <si>
    <t>chi2 patrí do &lt;-2.4, nekonečno)</t>
  </si>
  <si>
    <t>chi2 patrí do (-nekonečno, 1,68&gt;</t>
  </si>
  <si>
    <t>chi2 patrí do (-nekonečno, 2.11&gt;</t>
  </si>
  <si>
    <t>chi2 patrí do (-nekonečno, 2.4&gt;</t>
  </si>
  <si>
    <t>chi2 patrí do &lt;44,6; 89,18&gt;</t>
  </si>
  <si>
    <t>chi2 patrí do &lt;41.44, 94.42&gt;</t>
  </si>
  <si>
    <t>chi2 patrí do &lt;39.38, 98.11&gt;</t>
  </si>
  <si>
    <t>sigma^2 =</t>
  </si>
  <si>
    <t>sigma^2 &lt;</t>
  </si>
  <si>
    <t>sigma^2 &gt;</t>
  </si>
  <si>
    <t>xi usp</t>
  </si>
  <si>
    <t>H0:</t>
  </si>
  <si>
    <t>Me = 1,5</t>
  </si>
  <si>
    <t>H1:</t>
  </si>
  <si>
    <t>Dif</t>
  </si>
  <si>
    <t>Y =</t>
  </si>
  <si>
    <t>Z</t>
  </si>
  <si>
    <t>z(1-alfa/2)</t>
  </si>
  <si>
    <t>z krit(0,975)</t>
  </si>
  <si>
    <t>p/2 hodnota</t>
  </si>
  <si>
    <t>p hodnota</t>
  </si>
  <si>
    <t>H0 nezamietame</t>
  </si>
  <si>
    <t>prijímame</t>
  </si>
  <si>
    <t>Pc Dyn</t>
  </si>
  <si>
    <r>
      <t xml:space="preserve">Me </t>
    </r>
    <r>
      <rPr>
        <b/>
        <sz val="10"/>
        <rFont val="Calibri"/>
        <family val="2"/>
        <charset val="238"/>
      </rPr>
      <t>≠</t>
    </r>
    <r>
      <rPr>
        <b/>
        <sz val="10"/>
        <rFont val="Arial"/>
        <family val="2"/>
        <charset val="238"/>
      </rPr>
      <t xml:space="preserve"> 1,5</t>
    </r>
  </si>
  <si>
    <t>Testovanie hypotéz H o Mi = konšt.</t>
  </si>
  <si>
    <t>2-stranná H - obostranný test</t>
  </si>
  <si>
    <t>Mi =</t>
  </si>
  <si>
    <r>
      <t xml:space="preserve">Mi </t>
    </r>
    <r>
      <rPr>
        <sz val="10"/>
        <rFont val="Calibri"/>
        <family val="2"/>
        <charset val="238"/>
      </rPr>
      <t>≠</t>
    </r>
  </si>
  <si>
    <t>H0 zamietame</t>
  </si>
  <si>
    <t>t vypočítané patrí do intervalu &lt;-2, 2&gt;</t>
  </si>
  <si>
    <t>Mi &lt;</t>
  </si>
  <si>
    <t>t vypočítané patrí do intervalu &lt;-1,68, nekonecno)</t>
  </si>
  <si>
    <t>Mi &gt;</t>
  </si>
  <si>
    <t>t vypočítané patrí do intervalu (-nekonečno, 1,68&gt;</t>
  </si>
  <si>
    <t>Skupina</t>
  </si>
  <si>
    <t>Pohlavie</t>
  </si>
  <si>
    <t>Cas_minuty</t>
  </si>
  <si>
    <t>muž</t>
  </si>
  <si>
    <t>žena</t>
  </si>
  <si>
    <t>S3</t>
  </si>
  <si>
    <t>Spolu body Ženy</t>
  </si>
  <si>
    <t>Spolu body Muži</t>
  </si>
  <si>
    <t>Diff</t>
  </si>
  <si>
    <t>F-Test Two-Sample for Variances</t>
  </si>
  <si>
    <t>Variance</t>
  </si>
  <si>
    <t>Observations</t>
  </si>
  <si>
    <t>df</t>
  </si>
  <si>
    <t>F</t>
  </si>
  <si>
    <t>P(F&lt;=f) one-tail</t>
  </si>
  <si>
    <t>F Critical one-tail</t>
  </si>
  <si>
    <r>
      <t xml:space="preserve">allfa </t>
    </r>
    <r>
      <rPr>
        <b/>
        <sz val="10"/>
        <rFont val="Symbol"/>
        <family val="1"/>
        <charset val="2"/>
      </rPr>
      <t>a</t>
    </r>
    <r>
      <rPr>
        <b/>
        <sz val="10"/>
        <rFont val="Arial"/>
        <family val="2"/>
        <charset val="238"/>
      </rPr>
      <t xml:space="preserve"> = 0,05</t>
    </r>
  </si>
  <si>
    <t>Kontrola</t>
  </si>
  <si>
    <t>t-Test: Two-Sample Assuming Equal Variances</t>
  </si>
  <si>
    <t>Pooled Variance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</si>
  <si>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</si>
  <si>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</si>
  <si>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</si>
  <si>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</si>
  <si>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</si>
  <si>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</si>
  <si>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Cas minuty Muži</t>
  </si>
  <si>
    <t>Cas minuty Ženy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</si>
</sst>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_-;\-* #,##0_-;_-* &quot;-&quot;??_-;_-@_-"/>
    <numFmt numFmtId="165" formatCode="0.0000"/>
    <numFmt numFmtId="166" formatCode="0.000%"/>
    <numFmt numFmtId="167" formatCode="0.000"/>
    <numFmt numFmtId="168" formatCode="0.000000"/>
    <numFmt numFmtId="169" formatCode="0.00000"/>
    <numFmt numFmtId="170" formatCode="m/d/yyyy\ h:mm:ss"/>
  </numFmts>
  <fonts count="67">
    <font>
      <sz val="10"/>
      <name val="Arial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name val="Arial"/>
      <family val="2"/>
    </font>
    <font>
      <sz val="10"/>
      <name val="Arial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i/>
      <sz val="10"/>
      <name val="Arial"/>
      <family val="2"/>
      <charset val="238"/>
    </font>
    <font>
      <b/>
      <sz val="10"/>
      <color theme="0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b/>
      <i/>
      <sz val="10"/>
      <name val="Arial"/>
      <family val="2"/>
      <charset val="238"/>
    </font>
    <font>
      <sz val="10"/>
      <color theme="0"/>
      <name val="Arial"/>
      <family val="2"/>
      <charset val="238"/>
    </font>
    <font>
      <sz val="9"/>
      <color indexed="81"/>
      <name val="Segoe UI"/>
      <family val="2"/>
      <charset val="238"/>
    </font>
    <font>
      <b/>
      <sz val="9"/>
      <color indexed="81"/>
      <name val="Segoe UI"/>
      <family val="2"/>
      <charset val="238"/>
    </font>
    <font>
      <sz val="10"/>
      <color rgb="FFFF0000"/>
      <name val="Arial"/>
      <family val="2"/>
      <charset val="238"/>
    </font>
    <font>
      <b/>
      <sz val="10"/>
      <color rgb="FFFF0000"/>
      <name val="Arial"/>
      <family val="2"/>
      <charset val="238"/>
    </font>
    <font>
      <sz val="18"/>
      <name val="Arial"/>
      <family val="2"/>
      <charset val="238"/>
    </font>
    <font>
      <sz val="22"/>
      <name val="Arial"/>
      <family val="2"/>
      <charset val="238"/>
    </font>
    <font>
      <vertAlign val="subscript"/>
      <sz val="22"/>
      <name val="Arial"/>
      <family val="2"/>
      <charset val="238"/>
    </font>
    <font>
      <vertAlign val="superscript"/>
      <sz val="22"/>
      <name val="Calibri"/>
      <family val="2"/>
      <charset val="238"/>
    </font>
    <font>
      <sz val="16"/>
      <name val="Arial"/>
      <family val="2"/>
      <charset val="238"/>
    </font>
    <font>
      <sz val="10"/>
      <name val="Symbol"/>
      <family val="1"/>
      <charset val="2"/>
    </font>
    <font>
      <sz val="8"/>
      <name val="Arial"/>
      <family val="2"/>
      <charset val="238"/>
    </font>
    <font>
      <b/>
      <sz val="12"/>
      <name val="Arial"/>
      <family val="2"/>
      <charset val="238"/>
    </font>
    <font>
      <b/>
      <vertAlign val="subscript"/>
      <sz val="12"/>
      <name val="Arial"/>
      <family val="2"/>
      <charset val="238"/>
    </font>
    <font>
      <b/>
      <vertAlign val="subscript"/>
      <sz val="15.6"/>
      <name val="Arial"/>
      <family val="2"/>
      <charset val="238"/>
    </font>
    <font>
      <b/>
      <sz val="12"/>
      <name val="Symbol"/>
      <family val="1"/>
      <charset val="2"/>
    </font>
    <font>
      <sz val="10"/>
      <color theme="1"/>
      <name val="Arial"/>
      <family val="2"/>
      <charset val="238"/>
    </font>
    <font>
      <b/>
      <sz val="11"/>
      <color theme="0"/>
      <name val="Arial"/>
      <family val="2"/>
      <charset val="238"/>
    </font>
    <font>
      <b/>
      <sz val="10"/>
      <color theme="1"/>
      <name val="Arial"/>
      <family val="2"/>
      <charset val="238"/>
    </font>
    <font>
      <b/>
      <sz val="11"/>
      <color theme="1"/>
      <name val="Arial"/>
      <family val="2"/>
      <charset val="238"/>
    </font>
    <font>
      <sz val="13"/>
      <name val="Arial"/>
      <family val="2"/>
      <charset val="238"/>
    </font>
    <font>
      <sz val="10"/>
      <name val="Calibri"/>
      <family val="2"/>
      <charset val="238"/>
    </font>
    <font>
      <b/>
      <sz val="16"/>
      <name val="Arial"/>
      <family val="2"/>
      <charset val="238"/>
    </font>
    <font>
      <b/>
      <sz val="16"/>
      <name val="Calibri Light"/>
      <family val="2"/>
      <charset val="238"/>
    </font>
    <font>
      <b/>
      <sz val="16"/>
      <color theme="0"/>
      <name val="Arial"/>
      <family val="2"/>
      <charset val="238"/>
    </font>
    <font>
      <b/>
      <sz val="16"/>
      <color rgb="FFFF0000"/>
      <name val="Arial"/>
      <family val="2"/>
      <charset val="238"/>
    </font>
    <font>
      <b/>
      <sz val="12"/>
      <color rgb="FFFF0000"/>
      <name val="Arial"/>
      <family val="2"/>
      <charset val="238"/>
    </font>
    <font>
      <b/>
      <sz val="10"/>
      <color theme="0"/>
      <name val="Arial"/>
      <family val="1"/>
      <charset val="238"/>
    </font>
    <font>
      <b/>
      <sz val="10"/>
      <color theme="0"/>
      <name val="Symbol"/>
      <family val="1"/>
      <charset val="2"/>
    </font>
    <font>
      <b/>
      <sz val="10"/>
      <color theme="0"/>
      <name val="Symbol"/>
      <family val="1"/>
      <charset val="238"/>
    </font>
    <font>
      <b/>
      <vertAlign val="superscript"/>
      <sz val="10"/>
      <color theme="0"/>
      <name val="Arial"/>
      <family val="2"/>
      <charset val="238"/>
    </font>
    <font>
      <b/>
      <sz val="10"/>
      <name val="Symbol"/>
      <family val="1"/>
      <charset val="238"/>
    </font>
    <font>
      <b/>
      <vertAlign val="superscript"/>
      <sz val="10"/>
      <name val="Arial"/>
      <family val="2"/>
      <charset val="238"/>
    </font>
    <font>
      <b/>
      <sz val="10"/>
      <name val="Symbol"/>
      <family val="1"/>
      <charset val="2"/>
    </font>
    <font>
      <b/>
      <sz val="10"/>
      <name val="Arial"/>
      <family val="1"/>
      <charset val="238"/>
    </font>
    <font>
      <b/>
      <sz val="10"/>
      <name val="Calibri"/>
      <family val="2"/>
      <charset val="238"/>
    </font>
    <font>
      <b/>
      <sz val="10"/>
      <color theme="0"/>
      <name val="Calibri"/>
      <family val="2"/>
      <charset val="238"/>
    </font>
    <font>
      <b/>
      <sz val="11"/>
      <color theme="0"/>
      <name val="Calibri"/>
      <family val="2"/>
      <charset val="238"/>
      <scheme val="minor"/>
    </font>
    <font>
      <b/>
      <sz val="10"/>
      <name val="Arial"/>
      <family val="1"/>
      <charset val="2"/>
    </font>
    <font>
      <b/>
      <sz val="10"/>
      <color theme="0"/>
      <name val="Arial"/>
      <family val="1"/>
      <charset val="2"/>
    </font>
    <font>
      <b/>
      <sz val="11"/>
      <color theme="0"/>
      <name val="Symbol"/>
      <family val="1"/>
      <charset val="2"/>
    </font>
    <font>
      <b/>
      <sz val="12"/>
      <color theme="0"/>
      <name val="Arial"/>
      <family val="2"/>
      <charset val="238"/>
    </font>
    <font>
      <sz val="10"/>
      <name val="Arial"/>
      <family val="1"/>
      <charset val="2"/>
    </font>
    <font>
      <sz val="10"/>
      <name val="Arial"/>
      <family val="1"/>
      <charset val="238"/>
    </font>
    <font>
      <sz val="11"/>
      <color indexed="81"/>
      <name val="Segoe UI"/>
      <family val="2"/>
      <charset val="238"/>
    </font>
    <font>
      <sz val="11"/>
      <color indexed="81"/>
      <name val="Symbol"/>
      <family val="1"/>
      <charset val="2"/>
    </font>
    <font>
      <vertAlign val="superscript"/>
      <sz val="11.5"/>
      <name val="Arial"/>
      <family val="2"/>
      <charset val="238"/>
    </font>
    <font>
      <b/>
      <vertAlign val="superscript"/>
      <sz val="12"/>
      <name val="Arial"/>
      <family val="2"/>
      <charset val="238"/>
    </font>
    <font>
      <vertAlign val="superscript"/>
      <sz val="10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  <font>
      <sz val="10"/>
      <color theme="0"/>
      <name val="Symbol"/>
      <family val="1"/>
      <charset val="2"/>
    </font>
    <font>
      <vertAlign val="subscript"/>
      <sz val="10"/>
      <name val="Arial"/>
      <family val="2"/>
      <charset val="238"/>
    </font>
    <font>
      <sz val="10"/>
      <color theme="1"/>
      <name val="Arial"/>
    </font>
    <font>
      <sz val="10"/>
      <color rgb="FF000000"/>
      <name val="Arial"/>
    </font>
    <font>
      <b/>
      <sz val="10"/>
      <color rgb="FF92D050"/>
      <name val="Arial"/>
      <family val="2"/>
      <charset val="238"/>
    </font>
  </fonts>
  <fills count="36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A5A5A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3F3F3F"/>
      </bottom>
      <diagonal/>
    </border>
  </borders>
  <cellStyleXfs count="9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9" fillId="0" borderId="0"/>
    <xf numFmtId="0" fontId="49" fillId="30" borderId="25" applyNumberFormat="0" applyAlignment="0" applyProtection="0"/>
    <xf numFmtId="0" fontId="2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" fillId="0" borderId="0"/>
  </cellStyleXfs>
  <cellXfs count="330">
    <xf numFmtId="0" fontId="0" fillId="0" borderId="0" xfId="0"/>
    <xf numFmtId="0" fontId="3" fillId="0" borderId="0" xfId="0" applyFont="1"/>
    <xf numFmtId="164" fontId="0" fillId="0" borderId="0" xfId="1" applyNumberFormat="1" applyFont="1"/>
    <xf numFmtId="164" fontId="3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Fill="1" applyBorder="1" applyAlignment="1"/>
    <xf numFmtId="10" fontId="0" fillId="0" borderId="0" xfId="0" applyNumberFormat="1" applyFill="1" applyBorder="1" applyAlignment="1"/>
    <xf numFmtId="0" fontId="0" fillId="0" borderId="2" xfId="0" applyFill="1" applyBorder="1" applyAlignment="1"/>
    <xf numFmtId="10" fontId="0" fillId="0" borderId="2" xfId="0" applyNumberFormat="1" applyFill="1" applyBorder="1" applyAlignment="1"/>
    <xf numFmtId="0" fontId="7" fillId="0" borderId="3" xfId="0" applyFont="1" applyFill="1" applyBorder="1" applyAlignment="1">
      <alignment horizontal="center"/>
    </xf>
    <xf numFmtId="164" fontId="8" fillId="2" borderId="1" xfId="1" applyNumberFormat="1" applyFont="1" applyFill="1" applyBorder="1"/>
    <xf numFmtId="164" fontId="0" fillId="0" borderId="0" xfId="0" applyNumberFormat="1" applyFill="1" applyBorder="1" applyAlignment="1"/>
    <xf numFmtId="0" fontId="7" fillId="0" borderId="4" xfId="0" applyFont="1" applyFill="1" applyBorder="1" applyAlignment="1">
      <alignment horizontal="center"/>
    </xf>
    <xf numFmtId="0" fontId="0" fillId="0" borderId="0" xfId="0" applyFill="1" applyAlignment="1"/>
    <xf numFmtId="10" fontId="0" fillId="0" borderId="0" xfId="0" applyNumberFormat="1" applyFill="1" applyAlignment="1"/>
    <xf numFmtId="9" fontId="0" fillId="0" borderId="0" xfId="2" applyFont="1"/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/>
    <xf numFmtId="0" fontId="9" fillId="0" borderId="0" xfId="0" applyFont="1"/>
    <xf numFmtId="0" fontId="10" fillId="3" borderId="0" xfId="0" applyFont="1" applyFill="1"/>
    <xf numFmtId="0" fontId="11" fillId="3" borderId="3" xfId="0" applyFont="1" applyFill="1" applyBorder="1" applyAlignment="1">
      <alignment horizontal="center"/>
    </xf>
    <xf numFmtId="0" fontId="0" fillId="4" borderId="0" xfId="0" applyFill="1" applyBorder="1" applyAlignment="1"/>
    <xf numFmtId="0" fontId="0" fillId="5" borderId="0" xfId="0" applyFill="1" applyBorder="1" applyAlignment="1"/>
    <xf numFmtId="0" fontId="0" fillId="6" borderId="0" xfId="0" applyFill="1" applyBorder="1" applyAlignment="1"/>
    <xf numFmtId="0" fontId="0" fillId="7" borderId="0" xfId="0" applyFill="1" applyBorder="1" applyAlignment="1"/>
    <xf numFmtId="0" fontId="12" fillId="8" borderId="0" xfId="0" applyFont="1" applyFill="1" applyBorder="1" applyAlignment="1"/>
    <xf numFmtId="0" fontId="0" fillId="3" borderId="0" xfId="0" applyFill="1"/>
    <xf numFmtId="0" fontId="0" fillId="7" borderId="0" xfId="0" applyFill="1"/>
    <xf numFmtId="10" fontId="0" fillId="0" borderId="0" xfId="2" applyNumberFormat="1" applyFont="1"/>
    <xf numFmtId="43" fontId="0" fillId="0" borderId="0" xfId="1" applyNumberFormat="1" applyFont="1"/>
    <xf numFmtId="164" fontId="9" fillId="0" borderId="0" xfId="1" applyNumberFormat="1" applyFont="1"/>
    <xf numFmtId="164" fontId="3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2" fontId="0" fillId="0" borderId="0" xfId="0" applyNumberFormat="1"/>
    <xf numFmtId="10" fontId="0" fillId="3" borderId="0" xfId="2" applyNumberFormat="1" applyFont="1" applyFill="1"/>
    <xf numFmtId="0" fontId="17" fillId="0" borderId="0" xfId="3" applyFont="1"/>
    <xf numFmtId="0" fontId="9" fillId="0" borderId="0" xfId="3"/>
    <xf numFmtId="0" fontId="18" fillId="0" borderId="0" xfId="3" applyFont="1"/>
    <xf numFmtId="9" fontId="9" fillId="0" borderId="0" xfId="3" applyNumberFormat="1"/>
    <xf numFmtId="0" fontId="10" fillId="0" borderId="0" xfId="3" applyFont="1"/>
    <xf numFmtId="0" fontId="9" fillId="3" borderId="0" xfId="0" applyFont="1" applyFill="1"/>
    <xf numFmtId="0" fontId="0" fillId="0" borderId="0" xfId="0" applyFill="1"/>
    <xf numFmtId="0" fontId="9" fillId="0" borderId="0" xfId="0" applyFont="1" applyFill="1"/>
    <xf numFmtId="0" fontId="9" fillId="12" borderId="0" xfId="0" applyFont="1" applyFill="1"/>
    <xf numFmtId="0" fontId="0" fillId="12" borderId="0" xfId="0" applyFill="1"/>
    <xf numFmtId="164" fontId="0" fillId="3" borderId="0" xfId="1" applyNumberFormat="1" applyFont="1" applyFill="1"/>
    <xf numFmtId="164" fontId="0" fillId="0" borderId="0" xfId="1" applyNumberFormat="1" applyFont="1" applyFill="1"/>
    <xf numFmtId="164" fontId="8" fillId="10" borderId="0" xfId="1" applyNumberFormat="1" applyFont="1" applyFill="1"/>
    <xf numFmtId="164" fontId="8" fillId="9" borderId="0" xfId="1" applyNumberFormat="1" applyFont="1" applyFill="1"/>
    <xf numFmtId="164" fontId="10" fillId="3" borderId="0" xfId="1" applyNumberFormat="1" applyFont="1" applyFill="1"/>
    <xf numFmtId="164" fontId="10" fillId="0" borderId="0" xfId="1" applyNumberFormat="1" applyFont="1"/>
    <xf numFmtId="164" fontId="8" fillId="13" borderId="0" xfId="1" applyNumberFormat="1" applyFont="1" applyFill="1"/>
    <xf numFmtId="164" fontId="8" fillId="13" borderId="0" xfId="1" applyNumberFormat="1" applyFont="1" applyFill="1" applyAlignment="1">
      <alignment horizontal="left"/>
    </xf>
    <xf numFmtId="164" fontId="8" fillId="14" borderId="0" xfId="1" applyNumberFormat="1" applyFont="1" applyFill="1"/>
    <xf numFmtId="0" fontId="21" fillId="3" borderId="8" xfId="3" applyFont="1" applyFill="1" applyBorder="1"/>
    <xf numFmtId="0" fontId="9" fillId="3" borderId="9" xfId="3" applyFill="1" applyBorder="1"/>
    <xf numFmtId="0" fontId="9" fillId="3" borderId="10" xfId="3" applyFill="1" applyBorder="1"/>
    <xf numFmtId="0" fontId="9" fillId="0" borderId="0" xfId="3" applyAlignment="1">
      <alignment wrapText="1"/>
    </xf>
    <xf numFmtId="165" fontId="10" fillId="0" borderId="11" xfId="3" applyNumberFormat="1" applyFont="1" applyBorder="1" applyAlignment="1">
      <alignment horizontal="center" wrapText="1"/>
    </xf>
    <xf numFmtId="165" fontId="10" fillId="5" borderId="11" xfId="3" applyNumberFormat="1" applyFont="1" applyFill="1" applyBorder="1" applyAlignment="1">
      <alignment horizontal="center" wrapText="1"/>
    </xf>
    <xf numFmtId="0" fontId="10" fillId="15" borderId="12" xfId="3" applyFont="1" applyFill="1" applyBorder="1" applyAlignment="1">
      <alignment horizontal="center"/>
    </xf>
    <xf numFmtId="0" fontId="10" fillId="15" borderId="8" xfId="3" applyFont="1" applyFill="1" applyBorder="1" applyAlignment="1">
      <alignment horizontal="center"/>
    </xf>
    <xf numFmtId="0" fontId="16" fillId="15" borderId="10" xfId="3" applyFont="1" applyFill="1" applyBorder="1" applyAlignment="1">
      <alignment horizontal="center"/>
    </xf>
    <xf numFmtId="0" fontId="10" fillId="15" borderId="9" xfId="3" applyFont="1" applyFill="1" applyBorder="1" applyAlignment="1">
      <alignment horizontal="center"/>
    </xf>
    <xf numFmtId="0" fontId="10" fillId="15" borderId="10" xfId="3" applyFont="1" applyFill="1" applyBorder="1" applyAlignment="1">
      <alignment horizontal="center"/>
    </xf>
    <xf numFmtId="165" fontId="10" fillId="15" borderId="12" xfId="3" applyNumberFormat="1" applyFont="1" applyFill="1" applyBorder="1" applyAlignment="1">
      <alignment horizontal="center"/>
    </xf>
    <xf numFmtId="0" fontId="10" fillId="15" borderId="0" xfId="3" applyFont="1" applyFill="1" applyAlignment="1">
      <alignment horizontal="center"/>
    </xf>
    <xf numFmtId="0" fontId="9" fillId="0" borderId="13" xfId="3" applyBorder="1" applyAlignment="1">
      <alignment horizontal="center"/>
    </xf>
    <xf numFmtId="0" fontId="9" fillId="0" borderId="14" xfId="3" applyBorder="1"/>
    <xf numFmtId="0" fontId="15" fillId="0" borderId="15" xfId="3" applyFont="1" applyBorder="1"/>
    <xf numFmtId="0" fontId="9" fillId="0" borderId="15" xfId="3" applyBorder="1"/>
    <xf numFmtId="165" fontId="9" fillId="0" borderId="13" xfId="3" applyNumberFormat="1" applyBorder="1"/>
    <xf numFmtId="0" fontId="9" fillId="0" borderId="13" xfId="3" applyBorder="1"/>
    <xf numFmtId="0" fontId="9" fillId="16" borderId="13" xfId="3" applyFill="1" applyBorder="1" applyAlignment="1">
      <alignment horizontal="center"/>
    </xf>
    <xf numFmtId="0" fontId="9" fillId="16" borderId="14" xfId="3" applyFill="1" applyBorder="1"/>
    <xf numFmtId="0" fontId="15" fillId="16" borderId="15" xfId="3" applyFont="1" applyFill="1" applyBorder="1"/>
    <xf numFmtId="0" fontId="10" fillId="15" borderId="11" xfId="3" applyFont="1" applyFill="1" applyBorder="1"/>
    <xf numFmtId="0" fontId="10" fillId="15" borderId="16" xfId="3" applyFont="1" applyFill="1" applyBorder="1"/>
    <xf numFmtId="0" fontId="16" fillId="15" borderId="17" xfId="3" applyFont="1" applyFill="1" applyBorder="1"/>
    <xf numFmtId="0" fontId="10" fillId="15" borderId="2" xfId="3" applyFont="1" applyFill="1" applyBorder="1" applyAlignment="1">
      <alignment horizontal="right"/>
    </xf>
    <xf numFmtId="0" fontId="16" fillId="15" borderId="17" xfId="3" applyFont="1" applyFill="1" applyBorder="1" applyAlignment="1">
      <alignment horizontal="right"/>
    </xf>
    <xf numFmtId="0" fontId="10" fillId="15" borderId="17" xfId="3" applyFont="1" applyFill="1" applyBorder="1"/>
    <xf numFmtId="165" fontId="10" fillId="15" borderId="11" xfId="3" applyNumberFormat="1" applyFont="1" applyFill="1" applyBorder="1"/>
    <xf numFmtId="0" fontId="10" fillId="15" borderId="0" xfId="3" applyFont="1" applyFill="1"/>
    <xf numFmtId="0" fontId="10" fillId="17" borderId="0" xfId="3" applyFont="1" applyFill="1"/>
    <xf numFmtId="165" fontId="10" fillId="0" borderId="0" xfId="3" applyNumberFormat="1" applyFont="1"/>
    <xf numFmtId="0" fontId="10" fillId="18" borderId="0" xfId="3" applyFont="1" applyFill="1"/>
    <xf numFmtId="165" fontId="10" fillId="18" borderId="0" xfId="3" applyNumberFormat="1" applyFont="1" applyFill="1"/>
    <xf numFmtId="0" fontId="10" fillId="19" borderId="0" xfId="3" applyFont="1" applyFill="1"/>
    <xf numFmtId="165" fontId="10" fillId="19" borderId="0" xfId="3" applyNumberFormat="1" applyFont="1" applyFill="1"/>
    <xf numFmtId="0" fontId="10" fillId="6" borderId="0" xfId="3" applyFont="1" applyFill="1"/>
    <xf numFmtId="0" fontId="10" fillId="16" borderId="0" xfId="3" applyFont="1" applyFill="1"/>
    <xf numFmtId="0" fontId="10" fillId="16" borderId="0" xfId="3" applyFont="1" applyFill="1" applyAlignment="1">
      <alignment horizontal="center"/>
    </xf>
    <xf numFmtId="165" fontId="9" fillId="0" borderId="0" xfId="3" applyNumberFormat="1"/>
    <xf numFmtId="0" fontId="9" fillId="3" borderId="0" xfId="3" applyFill="1"/>
    <xf numFmtId="0" fontId="21" fillId="3" borderId="0" xfId="3" applyFont="1" applyFill="1"/>
    <xf numFmtId="0" fontId="9" fillId="0" borderId="5" xfId="3" applyBorder="1"/>
    <xf numFmtId="165" fontId="10" fillId="0" borderId="18" xfId="3" applyNumberFormat="1" applyFont="1" applyBorder="1" applyAlignment="1">
      <alignment horizontal="center"/>
    </xf>
    <xf numFmtId="165" fontId="10" fillId="5" borderId="7" xfId="3" applyNumberFormat="1" applyFont="1" applyFill="1" applyBorder="1" applyAlignment="1">
      <alignment horizontal="center"/>
    </xf>
    <xf numFmtId="0" fontId="10" fillId="15" borderId="13" xfId="3" applyFont="1" applyFill="1" applyBorder="1" applyAlignment="1">
      <alignment horizontal="center"/>
    </xf>
    <xf numFmtId="165" fontId="10" fillId="15" borderId="13" xfId="3" applyNumberFormat="1" applyFont="1" applyFill="1" applyBorder="1" applyAlignment="1">
      <alignment horizontal="center"/>
    </xf>
    <xf numFmtId="0" fontId="15" fillId="0" borderId="13" xfId="3" applyFont="1" applyBorder="1" applyAlignment="1">
      <alignment horizontal="center"/>
    </xf>
    <xf numFmtId="2" fontId="15" fillId="0" borderId="15" xfId="3" applyNumberFormat="1" applyFont="1" applyBorder="1"/>
    <xf numFmtId="1" fontId="9" fillId="0" borderId="13" xfId="3" applyNumberFormat="1" applyBorder="1"/>
    <xf numFmtId="0" fontId="9" fillId="16" borderId="0" xfId="3" applyFill="1"/>
    <xf numFmtId="2" fontId="15" fillId="16" borderId="15" xfId="3" applyNumberFormat="1" applyFont="1" applyFill="1" applyBorder="1"/>
    <xf numFmtId="0" fontId="16" fillId="0" borderId="15" xfId="3" applyFont="1" applyBorder="1"/>
    <xf numFmtId="1" fontId="10" fillId="15" borderId="11" xfId="3" applyNumberFormat="1" applyFont="1" applyFill="1" applyBorder="1"/>
    <xf numFmtId="0" fontId="10" fillId="20" borderId="0" xfId="3" applyFont="1" applyFill="1" applyAlignment="1">
      <alignment horizontal="center"/>
    </xf>
    <xf numFmtId="9" fontId="0" fillId="0" borderId="0" xfId="0" applyNumberFormat="1"/>
    <xf numFmtId="0" fontId="0" fillId="3" borderId="0" xfId="0" applyFill="1" applyBorder="1" applyAlignment="1"/>
    <xf numFmtId="0" fontId="10" fillId="0" borderId="0" xfId="0" applyFont="1"/>
    <xf numFmtId="165" fontId="0" fillId="0" borderId="0" xfId="0" applyNumberFormat="1"/>
    <xf numFmtId="10" fontId="0" fillId="3" borderId="0" xfId="0" applyNumberFormat="1" applyFill="1"/>
    <xf numFmtId="0" fontId="16" fillId="3" borderId="0" xfId="3" applyFont="1" applyFill="1"/>
    <xf numFmtId="0" fontId="16" fillId="3" borderId="15" xfId="3" applyFont="1" applyFill="1" applyBorder="1"/>
    <xf numFmtId="0" fontId="24" fillId="0" borderId="0" xfId="0" applyFont="1"/>
    <xf numFmtId="0" fontId="10" fillId="3" borderId="0" xfId="0" applyNumberFormat="1" applyFont="1" applyFill="1"/>
    <xf numFmtId="0" fontId="8" fillId="13" borderId="0" xfId="0" applyNumberFormat="1" applyFont="1" applyFill="1"/>
    <xf numFmtId="0" fontId="8" fillId="10" borderId="0" xfId="0" applyNumberFormat="1" applyFont="1" applyFill="1"/>
    <xf numFmtId="0" fontId="8" fillId="21" borderId="0" xfId="0" applyNumberFormat="1" applyFont="1" applyFill="1"/>
    <xf numFmtId="0" fontId="9" fillId="0" borderId="0" xfId="0" quotePrefix="1" applyFont="1"/>
    <xf numFmtId="10" fontId="0" fillId="0" borderId="0" xfId="2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0" fontId="8" fillId="6" borderId="0" xfId="0" applyFont="1" applyFill="1" applyAlignment="1">
      <alignment horizontal="center"/>
    </xf>
    <xf numFmtId="0" fontId="8" fillId="21" borderId="0" xfId="0" applyFont="1" applyFill="1" applyAlignment="1">
      <alignment horizontal="center"/>
    </xf>
    <xf numFmtId="0" fontId="8" fillId="6" borderId="0" xfId="0" applyFont="1" applyFill="1" applyAlignment="1">
      <alignment horizontal="center" vertical="center"/>
    </xf>
    <xf numFmtId="0" fontId="8" fillId="21" borderId="0" xfId="0" applyFont="1" applyFill="1" applyAlignment="1">
      <alignment horizontal="center" vertical="center" wrapText="1"/>
    </xf>
    <xf numFmtId="0" fontId="8" fillId="8" borderId="0" xfId="0" applyFont="1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 wrapText="1"/>
    </xf>
    <xf numFmtId="10" fontId="10" fillId="3" borderId="0" xfId="0" applyNumberFormat="1" applyFont="1" applyFill="1"/>
    <xf numFmtId="0" fontId="24" fillId="3" borderId="0" xfId="0" applyFont="1" applyFill="1"/>
    <xf numFmtId="0" fontId="9" fillId="3" borderId="0" xfId="0" quotePrefix="1" applyFont="1" applyFill="1"/>
    <xf numFmtId="0" fontId="0" fillId="3" borderId="0" xfId="0" applyFill="1" applyAlignment="1">
      <alignment horizontal="center"/>
    </xf>
    <xf numFmtId="0" fontId="0" fillId="0" borderId="0" xfId="0" pivotButton="1" applyAlignment="1">
      <alignment horizontal="center"/>
    </xf>
    <xf numFmtId="165" fontId="10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/>
    </xf>
    <xf numFmtId="9" fontId="0" fillId="3" borderId="0" xfId="2" applyFont="1" applyFill="1" applyAlignment="1">
      <alignment horizontal="center"/>
    </xf>
    <xf numFmtId="9" fontId="0" fillId="0" borderId="0" xfId="2" applyFont="1" applyAlignment="1">
      <alignment horizontal="center"/>
    </xf>
    <xf numFmtId="0" fontId="8" fillId="9" borderId="0" xfId="0" applyFont="1" applyFill="1"/>
    <xf numFmtId="0" fontId="8" fillId="9" borderId="19" xfId="0" applyFont="1" applyFill="1" applyBorder="1"/>
    <xf numFmtId="10" fontId="12" fillId="9" borderId="0" xfId="0" applyNumberFormat="1" applyFont="1" applyFill="1"/>
    <xf numFmtId="10" fontId="8" fillId="9" borderId="0" xfId="0" applyNumberFormat="1" applyFont="1" applyFill="1"/>
    <xf numFmtId="0" fontId="10" fillId="4" borderId="0" xfId="0" applyFont="1" applyFill="1"/>
    <xf numFmtId="0" fontId="10" fillId="22" borderId="0" xfId="0" applyFont="1" applyFill="1"/>
    <xf numFmtId="0" fontId="10" fillId="16" borderId="0" xfId="0" applyFont="1" applyFill="1" applyAlignment="1">
      <alignment horizontal="center"/>
    </xf>
    <xf numFmtId="0" fontId="29" fillId="6" borderId="0" xfId="0" applyNumberFormat="1" applyFont="1" applyFill="1"/>
    <xf numFmtId="166" fontId="10" fillId="3" borderId="0" xfId="2" applyNumberFormat="1" applyFont="1" applyFill="1" applyAlignment="1">
      <alignment horizontal="center"/>
    </xf>
    <xf numFmtId="10" fontId="8" fillId="13" borderId="0" xfId="0" applyNumberFormat="1" applyFont="1" applyFill="1"/>
    <xf numFmtId="10" fontId="12" fillId="10" borderId="0" xfId="0" applyNumberFormat="1" applyFont="1" applyFill="1"/>
    <xf numFmtId="10" fontId="8" fillId="14" borderId="0" xfId="0" applyNumberFormat="1" applyFont="1" applyFill="1"/>
    <xf numFmtId="10" fontId="8" fillId="8" borderId="0" xfId="0" applyNumberFormat="1" applyFont="1" applyFill="1"/>
    <xf numFmtId="0" fontId="28" fillId="0" borderId="0" xfId="0" applyNumberFormat="1" applyFont="1" applyFill="1"/>
    <xf numFmtId="0" fontId="30" fillId="0" borderId="0" xfId="0" applyNumberFormat="1" applyFont="1" applyFill="1"/>
    <xf numFmtId="0" fontId="31" fillId="0" borderId="0" xfId="0" applyNumberFormat="1" applyFont="1" applyFill="1"/>
    <xf numFmtId="0" fontId="30" fillId="0" borderId="0" xfId="0" applyFont="1" applyFill="1"/>
    <xf numFmtId="0" fontId="9" fillId="0" borderId="0" xfId="0" applyFont="1" applyAlignment="1">
      <alignment wrapText="1"/>
    </xf>
    <xf numFmtId="10" fontId="30" fillId="3" borderId="0" xfId="0" applyNumberFormat="1" applyFont="1" applyFill="1"/>
    <xf numFmtId="10" fontId="28" fillId="0" borderId="0" xfId="0" applyNumberFormat="1" applyFont="1" applyFill="1"/>
    <xf numFmtId="10" fontId="30" fillId="0" borderId="0" xfId="0" applyNumberFormat="1" applyFont="1" applyFill="1"/>
    <xf numFmtId="10" fontId="31" fillId="0" borderId="0" xfId="0" applyNumberFormat="1" applyFont="1" applyFill="1"/>
    <xf numFmtId="167" fontId="0" fillId="0" borderId="0" xfId="0" applyNumberFormat="1"/>
    <xf numFmtId="167" fontId="8" fillId="6" borderId="0" xfId="0" applyNumberFormat="1" applyFont="1" applyFill="1"/>
    <xf numFmtId="0" fontId="29" fillId="6" borderId="0" xfId="0" applyFont="1" applyFill="1"/>
    <xf numFmtId="0" fontId="0" fillId="0" borderId="0" xfId="2" applyNumberFormat="1" applyFont="1"/>
    <xf numFmtId="0" fontId="34" fillId="0" borderId="0" xfId="0" applyFont="1"/>
    <xf numFmtId="0" fontId="21" fillId="0" borderId="0" xfId="0" applyFont="1"/>
    <xf numFmtId="0" fontId="34" fillId="19" borderId="0" xfId="0" applyFont="1" applyFill="1"/>
    <xf numFmtId="0" fontId="34" fillId="23" borderId="0" xfId="0" applyFont="1" applyFill="1"/>
    <xf numFmtId="0" fontId="34" fillId="4" borderId="0" xfId="0" applyFont="1" applyFill="1"/>
    <xf numFmtId="0" fontId="21" fillId="4" borderId="0" xfId="0" applyFont="1" applyFill="1"/>
    <xf numFmtId="0" fontId="34" fillId="22" borderId="0" xfId="0" applyFont="1" applyFill="1"/>
    <xf numFmtId="0" fontId="21" fillId="24" borderId="0" xfId="0" applyFont="1" applyFill="1"/>
    <xf numFmtId="0" fontId="21" fillId="25" borderId="0" xfId="0" applyFont="1" applyFill="1"/>
    <xf numFmtId="0" fontId="34" fillId="19" borderId="20" xfId="0" applyFont="1" applyFill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21" fillId="0" borderId="20" xfId="0" applyFont="1" applyBorder="1"/>
    <xf numFmtId="0" fontId="35" fillId="0" borderId="20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34" fillId="26" borderId="20" xfId="0" applyFont="1" applyFill="1" applyBorder="1"/>
    <xf numFmtId="0" fontId="34" fillId="17" borderId="20" xfId="0" applyFont="1" applyFill="1" applyBorder="1"/>
    <xf numFmtId="0" fontId="34" fillId="22" borderId="20" xfId="0" applyFont="1" applyFill="1" applyBorder="1"/>
    <xf numFmtId="0" fontId="34" fillId="0" borderId="20" xfId="0" applyFont="1" applyBorder="1"/>
    <xf numFmtId="0" fontId="34" fillId="16" borderId="20" xfId="0" applyFont="1" applyFill="1" applyBorder="1"/>
    <xf numFmtId="0" fontId="34" fillId="16" borderId="20" xfId="0" applyFont="1" applyFill="1" applyBorder="1" applyAlignment="1">
      <alignment horizontal="center"/>
    </xf>
    <xf numFmtId="167" fontId="21" fillId="27" borderId="20" xfId="0" applyNumberFormat="1" applyFont="1" applyFill="1" applyBorder="1"/>
    <xf numFmtId="167" fontId="34" fillId="16" borderId="20" xfId="0" applyNumberFormat="1" applyFont="1" applyFill="1" applyBorder="1"/>
    <xf numFmtId="167" fontId="37" fillId="16" borderId="20" xfId="0" applyNumberFormat="1" applyFont="1" applyFill="1" applyBorder="1"/>
    <xf numFmtId="0" fontId="10" fillId="5" borderId="0" xfId="0" applyFont="1" applyFill="1"/>
    <xf numFmtId="0" fontId="8" fillId="13" borderId="0" xfId="0" applyFont="1" applyFill="1"/>
    <xf numFmtId="0" fontId="8" fillId="28" borderId="23" xfId="0" applyFont="1" applyFill="1" applyBorder="1"/>
    <xf numFmtId="0" fontId="8" fillId="6" borderId="0" xfId="0" applyFont="1" applyFill="1"/>
    <xf numFmtId="0" fontId="39" fillId="6" borderId="0" xfId="0" applyFont="1" applyFill="1"/>
    <xf numFmtId="0" fontId="8" fillId="14" borderId="0" xfId="0" applyFont="1" applyFill="1"/>
    <xf numFmtId="0" fontId="41" fillId="14" borderId="0" xfId="0" applyFont="1" applyFill="1"/>
    <xf numFmtId="165" fontId="10" fillId="7" borderId="0" xfId="0" applyNumberFormat="1" applyFont="1" applyFill="1"/>
    <xf numFmtId="0" fontId="43" fillId="7" borderId="0" xfId="0" applyFont="1" applyFill="1"/>
    <xf numFmtId="0" fontId="8" fillId="28" borderId="23" xfId="0" applyFont="1" applyFill="1" applyBorder="1" applyAlignment="1">
      <alignment horizontal="center"/>
    </xf>
    <xf numFmtId="0" fontId="8" fillId="28" borderId="24" xfId="0" applyFont="1" applyFill="1" applyBorder="1"/>
    <xf numFmtId="165" fontId="10" fillId="3" borderId="0" xfId="0" applyNumberFormat="1" applyFont="1" applyFill="1"/>
    <xf numFmtId="0" fontId="10" fillId="29" borderId="20" xfId="0" applyFont="1" applyFill="1" applyBorder="1" applyAlignment="1">
      <alignment horizontal="left"/>
    </xf>
    <xf numFmtId="165" fontId="8" fillId="13" borderId="0" xfId="0" applyNumberFormat="1" applyFont="1" applyFill="1"/>
    <xf numFmtId="165" fontId="8" fillId="6" borderId="0" xfId="0" applyNumberFormat="1" applyFont="1" applyFill="1"/>
    <xf numFmtId="0" fontId="49" fillId="30" borderId="25" xfId="4" applyAlignment="1">
      <alignment horizontal="center"/>
    </xf>
    <xf numFmtId="0" fontId="50" fillId="3" borderId="0" xfId="0" applyFont="1" applyFill="1"/>
    <xf numFmtId="0" fontId="51" fillId="6" borderId="0" xfId="0" applyFont="1" applyFill="1"/>
    <xf numFmtId="0" fontId="51" fillId="13" borderId="0" xfId="0" applyFont="1" applyFill="1"/>
    <xf numFmtId="0" fontId="46" fillId="3" borderId="20" xfId="0" applyFont="1" applyFill="1" applyBorder="1" applyAlignment="1">
      <alignment horizontal="center"/>
    </xf>
    <xf numFmtId="0" fontId="39" fillId="6" borderId="20" xfId="0" applyFont="1" applyFill="1" applyBorder="1" applyAlignment="1">
      <alignment horizontal="center"/>
    </xf>
    <xf numFmtId="0" fontId="39" fillId="13" borderId="20" xfId="0" applyFont="1" applyFill="1" applyBorder="1" applyAlignment="1">
      <alignment horizontal="center"/>
    </xf>
    <xf numFmtId="165" fontId="16" fillId="3" borderId="0" xfId="0" applyNumberFormat="1" applyFont="1" applyFill="1"/>
    <xf numFmtId="165" fontId="8" fillId="13" borderId="20" xfId="0" applyNumberFormat="1" applyFont="1" applyFill="1" applyBorder="1" applyAlignment="1">
      <alignment horizontal="center"/>
    </xf>
    <xf numFmtId="165" fontId="10" fillId="3" borderId="20" xfId="0" applyNumberFormat="1" applyFont="1" applyFill="1" applyBorder="1" applyAlignment="1">
      <alignment horizontal="center"/>
    </xf>
    <xf numFmtId="0" fontId="54" fillId="0" borderId="0" xfId="0" applyFont="1"/>
    <xf numFmtId="168" fontId="0" fillId="0" borderId="0" xfId="0" applyNumberFormat="1"/>
    <xf numFmtId="0" fontId="10" fillId="3" borderId="0" xfId="0" applyFont="1" applyFill="1" applyBorder="1" applyAlignment="1"/>
    <xf numFmtId="0" fontId="0" fillId="0" borderId="0" xfId="0" applyNumberFormat="1" applyFill="1" applyBorder="1" applyAlignment="1"/>
    <xf numFmtId="0" fontId="10" fillId="7" borderId="0" xfId="0" applyFont="1" applyFill="1" applyAlignment="1">
      <alignment horizontal="center"/>
    </xf>
    <xf numFmtId="0" fontId="8" fillId="9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10" fillId="5" borderId="0" xfId="0" applyFont="1" applyFill="1" applyAlignment="1">
      <alignment horizontal="center"/>
    </xf>
    <xf numFmtId="164" fontId="10" fillId="3" borderId="0" xfId="1" applyNumberFormat="1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0" fontId="15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Continuous"/>
    </xf>
    <xf numFmtId="0" fontId="0" fillId="26" borderId="0" xfId="0" applyFill="1" applyBorder="1" applyAlignment="1"/>
    <xf numFmtId="0" fontId="15" fillId="26" borderId="0" xfId="0" applyFont="1" applyFill="1" applyBorder="1" applyAlignment="1"/>
    <xf numFmtId="0" fontId="0" fillId="27" borderId="0" xfId="0" applyFill="1" applyBorder="1" applyAlignment="1"/>
    <xf numFmtId="0" fontId="0" fillId="31" borderId="0" xfId="0" applyFill="1" applyBorder="1" applyAlignment="1"/>
    <xf numFmtId="0" fontId="0" fillId="32" borderId="0" xfId="0" applyFill="1" applyBorder="1" applyAlignment="1"/>
    <xf numFmtId="0" fontId="8" fillId="33" borderId="2" xfId="0" applyFont="1" applyFill="1" applyBorder="1" applyAlignment="1"/>
    <xf numFmtId="0" fontId="15" fillId="0" borderId="0" xfId="0" applyFont="1"/>
    <xf numFmtId="0" fontId="8" fillId="33" borderId="0" xfId="0" applyFont="1" applyFill="1"/>
    <xf numFmtId="0" fontId="0" fillId="17" borderId="2" xfId="0" applyFill="1" applyBorder="1" applyAlignment="1"/>
    <xf numFmtId="0" fontId="0" fillId="22" borderId="0" xfId="0" applyFill="1"/>
    <xf numFmtId="0" fontId="9" fillId="27" borderId="0" xfId="0" applyFont="1" applyFill="1"/>
    <xf numFmtId="0" fontId="0" fillId="27" borderId="0" xfId="0" applyFill="1"/>
    <xf numFmtId="9" fontId="0" fillId="27" borderId="0" xfId="2" applyFont="1" applyFill="1"/>
    <xf numFmtId="9" fontId="10" fillId="3" borderId="0" xfId="2" applyFont="1" applyFill="1"/>
    <xf numFmtId="169" fontId="0" fillId="0" borderId="0" xfId="0" applyNumberFormat="1"/>
    <xf numFmtId="0" fontId="10" fillId="3" borderId="0" xfId="0" applyNumberFormat="1" applyFont="1" applyFill="1" applyBorder="1" applyAlignment="1"/>
    <xf numFmtId="10" fontId="10" fillId="3" borderId="0" xfId="0" applyNumberFormat="1" applyFont="1" applyFill="1" applyBorder="1" applyAlignment="1"/>
    <xf numFmtId="0" fontId="8" fillId="9" borderId="3" xfId="0" applyFont="1" applyFill="1" applyBorder="1" applyAlignment="1">
      <alignment horizontal="center"/>
    </xf>
    <xf numFmtId="0" fontId="61" fillId="0" borderId="0" xfId="0" applyFont="1" applyBorder="1"/>
    <xf numFmtId="0" fontId="8" fillId="5" borderId="0" xfId="0" applyFont="1" applyFill="1"/>
    <xf numFmtId="2" fontId="10" fillId="22" borderId="0" xfId="0" applyNumberFormat="1" applyFont="1" applyFill="1"/>
    <xf numFmtId="0" fontId="0" fillId="5" borderId="2" xfId="0" applyFill="1" applyBorder="1" applyAlignment="1"/>
    <xf numFmtId="164" fontId="0" fillId="5" borderId="0" xfId="1" applyNumberFormat="1" applyFont="1" applyFill="1" applyBorder="1" applyAlignment="1"/>
    <xf numFmtId="164" fontId="0" fillId="0" borderId="0" xfId="1" applyNumberFormat="1" applyFont="1" applyFill="1" applyBorder="1" applyAlignment="1"/>
    <xf numFmtId="164" fontId="0" fillId="3" borderId="0" xfId="1" applyNumberFormat="1" applyFont="1" applyFill="1" applyBorder="1" applyAlignment="1"/>
    <xf numFmtId="164" fontId="0" fillId="0" borderId="0" xfId="0" applyNumberFormat="1"/>
    <xf numFmtId="43" fontId="0" fillId="0" borderId="0" xfId="0" applyNumberFormat="1"/>
    <xf numFmtId="0" fontId="8" fillId="25" borderId="0" xfId="0" applyFont="1" applyFill="1"/>
    <xf numFmtId="0" fontId="8" fillId="10" borderId="0" xfId="0" applyFont="1" applyFill="1"/>
    <xf numFmtId="0" fontId="8" fillId="10" borderId="0" xfId="0" applyFont="1" applyFill="1" applyAlignment="1">
      <alignment horizontal="center"/>
    </xf>
    <xf numFmtId="0" fontId="9" fillId="0" borderId="0" xfId="0" applyFont="1" applyAlignment="1">
      <alignment horizontal="left"/>
    </xf>
    <xf numFmtId="0" fontId="8" fillId="9" borderId="0" xfId="0" applyFont="1" applyFill="1" applyAlignment="1">
      <alignment horizontal="center"/>
    </xf>
    <xf numFmtId="2" fontId="8" fillId="10" borderId="0" xfId="0" applyNumberFormat="1" applyFont="1" applyFill="1"/>
    <xf numFmtId="2" fontId="8" fillId="9" borderId="0" xfId="0" applyNumberFormat="1" applyFont="1" applyFill="1"/>
    <xf numFmtId="0" fontId="10" fillId="7" borderId="0" xfId="0" applyFont="1" applyFill="1"/>
    <xf numFmtId="9" fontId="10" fillId="7" borderId="0" xfId="2" applyFont="1" applyFill="1"/>
    <xf numFmtId="0" fontId="8" fillId="13" borderId="0" xfId="0" applyFont="1" applyFill="1" applyBorder="1" applyAlignment="1"/>
    <xf numFmtId="0" fontId="8" fillId="34" borderId="3" xfId="0" applyFont="1" applyFill="1" applyBorder="1" applyAlignment="1">
      <alignment horizontal="centerContinuous"/>
    </xf>
    <xf numFmtId="0" fontId="8" fillId="10" borderId="0" xfId="0" applyFont="1" applyFill="1" applyAlignment="1"/>
    <xf numFmtId="0" fontId="30" fillId="3" borderId="0" xfId="0" applyFont="1" applyFill="1" applyAlignment="1"/>
    <xf numFmtId="2" fontId="9" fillId="0" borderId="0" xfId="0" applyNumberFormat="1" applyFont="1"/>
    <xf numFmtId="0" fontId="49" fillId="9" borderId="0" xfId="5" applyFont="1" applyFill="1"/>
    <xf numFmtId="0" fontId="2" fillId="0" borderId="0" xfId="5"/>
    <xf numFmtId="0" fontId="7" fillId="0" borderId="3" xfId="3" applyFont="1" applyBorder="1" applyAlignment="1">
      <alignment horizontal="centerContinuous"/>
    </xf>
    <xf numFmtId="0" fontId="9" fillId="5" borderId="0" xfId="3" applyFill="1"/>
    <xf numFmtId="164" fontId="0" fillId="5" borderId="0" xfId="6" applyNumberFormat="1" applyFont="1" applyFill="1" applyBorder="1" applyAlignment="1"/>
    <xf numFmtId="0" fontId="10" fillId="7" borderId="0" xfId="3" applyFont="1" applyFill="1"/>
    <xf numFmtId="9" fontId="10" fillId="7" borderId="0" xfId="7" applyFont="1" applyFill="1"/>
    <xf numFmtId="164" fontId="0" fillId="0" borderId="0" xfId="6" applyNumberFormat="1" applyFont="1" applyFill="1" applyBorder="1" applyAlignment="1"/>
    <xf numFmtId="164" fontId="0" fillId="3" borderId="0" xfId="6" applyNumberFormat="1" applyFont="1" applyFill="1" applyBorder="1" applyAlignment="1"/>
    <xf numFmtId="0" fontId="8" fillId="10" borderId="0" xfId="3" applyFont="1" applyFill="1"/>
    <xf numFmtId="2" fontId="8" fillId="10" borderId="0" xfId="3" applyNumberFormat="1" applyFont="1" applyFill="1"/>
    <xf numFmtId="0" fontId="8" fillId="9" borderId="0" xfId="3" applyFont="1" applyFill="1"/>
    <xf numFmtId="2" fontId="8" fillId="9" borderId="0" xfId="3" applyNumberFormat="1" applyFont="1" applyFill="1"/>
    <xf numFmtId="0" fontId="9" fillId="17" borderId="0" xfId="3" applyFill="1"/>
    <xf numFmtId="0" fontId="9" fillId="5" borderId="2" xfId="3" applyFill="1" applyBorder="1"/>
    <xf numFmtId="164" fontId="9" fillId="0" borderId="0" xfId="3" applyNumberFormat="1"/>
    <xf numFmtId="43" fontId="9" fillId="0" borderId="0" xfId="3" applyNumberFormat="1"/>
    <xf numFmtId="10" fontId="0" fillId="0" borderId="0" xfId="7" applyNumberFormat="1" applyFont="1"/>
    <xf numFmtId="0" fontId="8" fillId="9" borderId="0" xfId="3" applyFont="1" applyFill="1" applyAlignment="1">
      <alignment horizontal="center"/>
    </xf>
    <xf numFmtId="0" fontId="8" fillId="25" borderId="0" xfId="3" applyFont="1" applyFill="1"/>
    <xf numFmtId="0" fontId="61" fillId="3" borderId="0" xfId="8" applyFont="1" applyFill="1" applyAlignment="1">
      <alignment horizontal="left"/>
    </xf>
    <xf numFmtId="0" fontId="61" fillId="35" borderId="0" xfId="8" applyFont="1" applyFill="1" applyAlignment="1">
      <alignment horizontal="right"/>
    </xf>
    <xf numFmtId="0" fontId="1" fillId="0" borderId="0" xfId="8"/>
    <xf numFmtId="170" fontId="64" fillId="0" borderId="0" xfId="3" applyNumberFormat="1" applyFont="1" applyAlignment="1">
      <alignment horizontal="left" vertical="center"/>
    </xf>
    <xf numFmtId="2" fontId="1" fillId="0" borderId="0" xfId="8" applyNumberFormat="1" applyAlignment="1">
      <alignment horizontal="right"/>
    </xf>
    <xf numFmtId="2" fontId="65" fillId="0" borderId="0" xfId="3" applyNumberFormat="1" applyFont="1" applyAlignment="1">
      <alignment horizontal="right" vertical="center"/>
    </xf>
    <xf numFmtId="0" fontId="1" fillId="0" borderId="0" xfId="8" applyAlignment="1">
      <alignment horizontal="left"/>
    </xf>
    <xf numFmtId="0" fontId="1" fillId="0" borderId="0" xfId="8" applyAlignment="1">
      <alignment horizontal="right"/>
    </xf>
    <xf numFmtId="0" fontId="49" fillId="6" borderId="0" xfId="8" applyFont="1" applyFill="1" applyAlignment="1">
      <alignment horizontal="center"/>
    </xf>
    <xf numFmtId="0" fontId="49" fillId="7" borderId="0" xfId="8" applyFont="1" applyFill="1" applyAlignment="1">
      <alignment horizontal="center"/>
    </xf>
    <xf numFmtId="0" fontId="12" fillId="13" borderId="0" xfId="0" applyFont="1" applyFill="1" applyBorder="1" applyAlignment="1"/>
    <xf numFmtId="0" fontId="8" fillId="9" borderId="0" xfId="0" applyFont="1" applyFill="1" applyBorder="1" applyAlignment="1"/>
    <xf numFmtId="0" fontId="10" fillId="3" borderId="2" xfId="0" applyFont="1" applyFill="1" applyBorder="1" applyAlignment="1"/>
    <xf numFmtId="0" fontId="9" fillId="0" borderId="0" xfId="0" applyFont="1" applyFill="1" applyBorder="1" applyAlignment="1"/>
    <xf numFmtId="0" fontId="8" fillId="10" borderId="0" xfId="0" applyFont="1" applyFill="1" applyBorder="1" applyAlignment="1"/>
    <xf numFmtId="0" fontId="66" fillId="0" borderId="0" xfId="0" applyFont="1" applyFill="1" applyBorder="1" applyAlignment="1"/>
    <xf numFmtId="0" fontId="49" fillId="9" borderId="0" xfId="8" applyFont="1" applyFill="1"/>
    <xf numFmtId="0" fontId="10" fillId="0" borderId="2" xfId="0" applyFont="1" applyFill="1" applyBorder="1" applyAlignment="1"/>
    <xf numFmtId="0" fontId="8" fillId="10" borderId="0" xfId="0" applyFont="1" applyFill="1" applyAlignment="1">
      <alignment horizontal="center"/>
    </xf>
    <xf numFmtId="0" fontId="8" fillId="9" borderId="0" xfId="0" applyFont="1" applyFill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8" fillId="11" borderId="0" xfId="0" applyFont="1" applyFill="1" applyAlignment="1">
      <alignment horizontal="center"/>
    </xf>
    <xf numFmtId="0" fontId="53" fillId="9" borderId="26" xfId="0" applyFont="1" applyFill="1" applyBorder="1" applyAlignment="1">
      <alignment horizontal="center"/>
    </xf>
    <xf numFmtId="0" fontId="34" fillId="16" borderId="21" xfId="0" applyFont="1" applyFill="1" applyBorder="1" applyAlignment="1">
      <alignment horizontal="center"/>
    </xf>
    <xf numFmtId="0" fontId="10" fillId="16" borderId="22" xfId="0" applyFont="1" applyFill="1" applyBorder="1" applyAlignment="1">
      <alignment horizontal="center"/>
    </xf>
    <xf numFmtId="0" fontId="36" fillId="9" borderId="0" xfId="0" applyFont="1" applyFill="1" applyAlignment="1">
      <alignment horizontal="center" vertical="center" wrapText="1"/>
    </xf>
    <xf numFmtId="0" fontId="38" fillId="3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left"/>
    </xf>
    <xf numFmtId="0" fontId="10" fillId="5" borderId="0" xfId="0" applyFont="1" applyFill="1" applyAlignment="1">
      <alignment horizontal="left"/>
    </xf>
    <xf numFmtId="0" fontId="9" fillId="0" borderId="0" xfId="0" quotePrefix="1" applyFont="1" applyAlignment="1">
      <alignment horizontal="left" vertical="center" wrapText="1"/>
    </xf>
    <xf numFmtId="0" fontId="10" fillId="0" borderId="5" xfId="3" applyFont="1" applyBorder="1" applyAlignment="1">
      <alignment horizontal="center"/>
    </xf>
    <xf numFmtId="0" fontId="10" fillId="0" borderId="6" xfId="3" applyFont="1" applyBorder="1" applyAlignment="1">
      <alignment horizontal="center"/>
    </xf>
    <xf numFmtId="0" fontId="10" fillId="0" borderId="7" xfId="3" applyFont="1" applyBorder="1" applyAlignment="1">
      <alignment horizontal="center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0" borderId="5" xfId="3" applyFont="1" applyBorder="1" applyAlignment="1">
      <alignment horizontal="center" vertical="center"/>
    </xf>
    <xf numFmtId="0" fontId="10" fillId="0" borderId="6" xfId="3" applyFont="1" applyBorder="1" applyAlignment="1">
      <alignment horizontal="center" vertical="center"/>
    </xf>
    <xf numFmtId="0" fontId="10" fillId="0" borderId="7" xfId="3" applyFont="1" applyBorder="1" applyAlignment="1">
      <alignment horizontal="center" vertical="center"/>
    </xf>
  </cellXfs>
  <cellStyles count="9">
    <cellStyle name="Čiarka" xfId="1" builtinId="3"/>
    <cellStyle name="Čiarka 2" xfId="6" xr:uid="{8DE4CF6C-ABAE-4122-A989-F16B450DF826}"/>
    <cellStyle name="Kontrolná bunka" xfId="4" builtinId="23"/>
    <cellStyle name="Normálna" xfId="0" builtinId="0"/>
    <cellStyle name="Normálna 2" xfId="3" xr:uid="{60E199A2-1104-4A37-965A-B3592D631315}"/>
    <cellStyle name="Normálna 3" xfId="5" xr:uid="{A7D2E159-60A5-4C4D-B6E9-3425791AFC57}"/>
    <cellStyle name="Normálna 4" xfId="8" xr:uid="{BC5C40E0-E20B-4594-A604-6AE753BDF9F4}"/>
    <cellStyle name="Percentá" xfId="2" builtinId="5"/>
    <cellStyle name="Percentá 2" xfId="7" xr:uid="{8A874726-3CC8-4E84-BBC5-BEF4544C9726}"/>
  </cellStyles>
  <dxfs count="1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_-* #,##0_-;\-* #,##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alignment horizontal="center" vertical="bottom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_-* #,##0_-;\-* #,##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3" formatCode="0%"/>
    </dxf>
    <dxf>
      <fill>
        <patternFill patternType="solid">
          <fgColor indexed="64"/>
          <bgColor rgb="FFFFFF00"/>
        </patternFill>
      </fill>
    </dxf>
    <dxf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_-* #,##0_-;\-* #,##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</font>
    </dxf>
    <dxf>
      <font>
        <color theme="0"/>
      </font>
    </dxf>
    <dxf>
      <fill>
        <patternFill patternType="solid">
          <bgColor theme="1"/>
        </patternFill>
      </fill>
    </dxf>
    <dxf>
      <fill>
        <patternFill patternType="solid">
          <bgColor rgb="FFFFFF00"/>
        </patternFill>
      </fill>
    </dxf>
    <dxf>
      <font>
        <sz val="11"/>
      </font>
    </dxf>
    <dxf>
      <font>
        <b/>
      </font>
    </dxf>
    <dxf>
      <font>
        <color theme="0"/>
      </font>
    </dxf>
    <dxf>
      <fill>
        <patternFill patternType="solid">
          <bgColor rgb="FF00B0F0"/>
        </patternFill>
      </fill>
    </dxf>
    <dxf>
      <font>
        <b/>
        <color theme="0"/>
        <family val="2"/>
        <charset val="238"/>
      </font>
      <fill>
        <patternFill patternType="solid">
          <fgColor indexed="64"/>
          <bgColor theme="1"/>
        </patternFill>
      </fill>
    </dxf>
    <dxf>
      <font>
        <b/>
      </font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 patternType="solid">
          <bgColor rgb="FF7030A0"/>
        </patternFill>
      </fill>
    </dxf>
    <dxf>
      <font>
        <b/>
        <family val="2"/>
        <charset val="238"/>
      </font>
    </dxf>
    <dxf>
      <font>
        <b/>
        <family val="2"/>
        <charset val="238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family val="2"/>
        <charset val="238"/>
      </font>
    </dxf>
    <dxf>
      <font>
        <b/>
      </font>
    </dxf>
    <dxf>
      <font>
        <color theme="0"/>
      </font>
    </dxf>
    <dxf>
      <fill>
        <patternFill patternType="solid">
          <bgColor rgb="FF00B050"/>
        </patternFill>
      </fill>
    </dxf>
    <dxf>
      <font>
        <color theme="0"/>
      </font>
    </dxf>
    <dxf>
      <fill>
        <patternFill patternType="solid">
          <bgColor rgb="FFFF0000"/>
        </patternFill>
      </fill>
    </dxf>
    <dxf>
      <font>
        <b/>
      </font>
    </dxf>
    <dxf>
      <font>
        <color theme="0"/>
      </font>
    </dxf>
    <dxf>
      <fill>
        <patternFill patternType="solid">
          <bgColor rgb="FF7030A0"/>
        </patternFill>
      </fill>
    </dxf>
    <dxf>
      <fill>
        <patternFill patternType="solid">
          <bgColor rgb="FFFFFF00"/>
        </patternFill>
      </fill>
    </dxf>
    <dxf>
      <font>
        <b/>
      </font>
    </dxf>
    <dxf>
      <font>
        <color theme="0"/>
      </font>
    </dxf>
    <dxf>
      <fill>
        <patternFill patternType="solid">
          <bgColor theme="1"/>
        </patternFill>
      </fill>
    </dxf>
    <dxf>
      <font>
        <b/>
      </font>
    </dxf>
    <dxf>
      <font>
        <color theme="0"/>
      </font>
    </dxf>
    <dxf>
      <fill>
        <patternFill patternType="solid">
          <bgColor rgb="FFC00000"/>
        </patternFill>
      </fill>
    </dxf>
    <dxf>
      <font>
        <color theme="0"/>
      </font>
    </dxf>
    <dxf>
      <fill>
        <patternFill>
          <bgColor theme="1"/>
        </patternFill>
      </fill>
    </dxf>
    <dxf>
      <font>
        <b/>
      </font>
    </dxf>
    <dxf>
      <font>
        <color theme="0"/>
      </font>
    </dxf>
    <dxf>
      <fill>
        <patternFill patternType="solid">
          <bgColor theme="1"/>
        </patternFill>
      </fill>
    </dxf>
    <dxf>
      <font>
        <b/>
        <family val="2"/>
        <charset val="238"/>
      </font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ont>
        <color theme="1"/>
      </font>
    </dxf>
    <dxf>
      <font>
        <sz val="11"/>
      </font>
    </dxf>
    <dxf>
      <font>
        <b/>
      </font>
    </dxf>
    <dxf>
      <font>
        <color theme="0"/>
      </font>
    </dxf>
    <dxf>
      <fill>
        <patternFill patternType="solid">
          <bgColor rgb="FF00B0F0"/>
        </patternFill>
      </fill>
    </dxf>
    <dxf>
      <font>
        <b/>
        <color theme="0"/>
        <family val="2"/>
        <charset val="238"/>
      </font>
      <fill>
        <patternFill patternType="solid">
          <fgColor indexed="64"/>
          <bgColor theme="1"/>
        </patternFill>
      </fill>
    </dxf>
    <dxf>
      <font>
        <b/>
      </font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 patternType="solid">
          <bgColor rgb="FF7030A0"/>
        </patternFill>
      </fill>
    </dxf>
    <dxf>
      <font>
        <b/>
        <family val="2"/>
        <charset val="238"/>
      </font>
    </dxf>
    <dxf>
      <font>
        <b/>
        <family val="2"/>
        <charset val="238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family val="2"/>
        <charset val="238"/>
      </font>
    </dxf>
    <dxf>
      <fill>
        <patternFill patternType="solid">
          <bgColor rgb="FFFFFF00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ont>
        <color theme="1"/>
      </font>
    </dxf>
    <dxf>
      <font>
        <sz val="11"/>
      </font>
    </dxf>
    <dxf>
      <font>
        <b/>
      </font>
    </dxf>
    <dxf>
      <font>
        <color theme="0"/>
      </font>
    </dxf>
    <dxf>
      <fill>
        <patternFill patternType="solid">
          <bgColor rgb="FF00B0F0"/>
        </patternFill>
      </fill>
    </dxf>
    <dxf>
      <font>
        <b/>
        <color theme="0"/>
        <family val="2"/>
        <charset val="238"/>
      </font>
      <fill>
        <patternFill patternType="solid">
          <fgColor indexed="64"/>
          <bgColor theme="1"/>
        </patternFill>
      </fill>
    </dxf>
    <dxf>
      <font>
        <b/>
      </font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 patternType="solid">
          <bgColor rgb="FF7030A0"/>
        </patternFill>
      </fill>
    </dxf>
    <dxf>
      <font>
        <b/>
        <family val="2"/>
        <charset val="238"/>
      </font>
    </dxf>
    <dxf>
      <font>
        <b/>
        <family val="2"/>
        <charset val="238"/>
      </font>
    </dxf>
    <dxf>
      <fill>
        <patternFill patternType="solid">
          <bgColor rgb="FFFFFF00"/>
        </patternFill>
      </fill>
    </dxf>
    <dxf>
      <font>
        <b/>
        <family val="2"/>
        <charset val="238"/>
      </font>
    </dxf>
    <dxf>
      <numFmt numFmtId="0" formatCode="General"/>
    </dxf>
    <dxf>
      <numFmt numFmtId="165" formatCode="0.0000"/>
    </dxf>
    <dxf>
      <numFmt numFmtId="165" formatCode="0.0000"/>
    </dxf>
    <dxf>
      <numFmt numFmtId="165" formatCode="0.0000"/>
    </dxf>
    <dxf>
      <numFmt numFmtId="0" formatCode="General"/>
    </dxf>
    <dxf>
      <numFmt numFmtId="165" formatCode="0.0000"/>
    </dxf>
    <dxf>
      <numFmt numFmtId="165" formatCode="0.0000"/>
    </dxf>
    <dxf>
      <numFmt numFmtId="165" formatCode="0.0000"/>
    </dxf>
    <dxf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charset val="238"/>
        <scheme val="none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charset val="238"/>
        <scheme val="none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CC66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1.xml"/><Relationship Id="rId47" Type="http://schemas.microsoft.com/office/2017/10/relationships/person" Target="persons/person.xml"/><Relationship Id="rId50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2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'Transponovanie Histogramy'!$D$20:$D$28</c:f>
              <c:strCache>
                <c:ptCount val="9"/>
                <c:pt idx="0">
                  <c:v>171</c:v>
                </c:pt>
                <c:pt idx="1">
                  <c:v>172</c:v>
                </c:pt>
                <c:pt idx="2">
                  <c:v>173</c:v>
                </c:pt>
                <c:pt idx="3">
                  <c:v>174</c:v>
                </c:pt>
                <c:pt idx="4">
                  <c:v>175</c:v>
                </c:pt>
                <c:pt idx="5">
                  <c:v>176</c:v>
                </c:pt>
                <c:pt idx="6">
                  <c:v>177</c:v>
                </c:pt>
                <c:pt idx="7">
                  <c:v>178</c:v>
                </c:pt>
                <c:pt idx="8">
                  <c:v>More</c:v>
                </c:pt>
              </c:strCache>
            </c:strRef>
          </c:cat>
          <c:val>
            <c:numRef>
              <c:f>'Transponovanie Histogramy'!$E$20:$E$28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7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1-4E35-9AA9-8AA16515E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46003856"/>
        <c:axId val="546005496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'Transponovanie Histogramy'!$D$20:$D$28</c:f>
              <c:strCache>
                <c:ptCount val="9"/>
                <c:pt idx="0">
                  <c:v>171</c:v>
                </c:pt>
                <c:pt idx="1">
                  <c:v>172</c:v>
                </c:pt>
                <c:pt idx="2">
                  <c:v>173</c:v>
                </c:pt>
                <c:pt idx="3">
                  <c:v>174</c:v>
                </c:pt>
                <c:pt idx="4">
                  <c:v>175</c:v>
                </c:pt>
                <c:pt idx="5">
                  <c:v>176</c:v>
                </c:pt>
                <c:pt idx="6">
                  <c:v>177</c:v>
                </c:pt>
                <c:pt idx="7">
                  <c:v>178</c:v>
                </c:pt>
                <c:pt idx="8">
                  <c:v>More</c:v>
                </c:pt>
              </c:strCache>
            </c:strRef>
          </c:cat>
          <c:val>
            <c:numRef>
              <c:f>'Transponovanie Histogramy'!$F$20:$F$28</c:f>
              <c:numCache>
                <c:formatCode>0.00%</c:formatCode>
                <c:ptCount val="9"/>
                <c:pt idx="0">
                  <c:v>0</c:v>
                </c:pt>
                <c:pt idx="1">
                  <c:v>0.02</c:v>
                </c:pt>
                <c:pt idx="2">
                  <c:v>0.06</c:v>
                </c:pt>
                <c:pt idx="3">
                  <c:v>0.18</c:v>
                </c:pt>
                <c:pt idx="4">
                  <c:v>0.38</c:v>
                </c:pt>
                <c:pt idx="5">
                  <c:v>0.6</c:v>
                </c:pt>
                <c:pt idx="6">
                  <c:v>0.8</c:v>
                </c:pt>
                <c:pt idx="7">
                  <c:v>0.94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1-4E35-9AA9-8AA16515E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35664"/>
        <c:axId val="728235336"/>
      </c:lineChart>
      <c:catAx>
        <c:axId val="54600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005496"/>
        <c:crosses val="autoZero"/>
        <c:auto val="1"/>
        <c:lblAlgn val="ctr"/>
        <c:lblOffset val="100"/>
        <c:noMultiLvlLbl val="0"/>
      </c:catAx>
      <c:valAx>
        <c:axId val="546005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003856"/>
        <c:crosses val="autoZero"/>
        <c:crossBetween val="between"/>
      </c:valAx>
      <c:valAx>
        <c:axId val="72823533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728235664"/>
        <c:crosses val="max"/>
        <c:crossBetween val="between"/>
      </c:valAx>
      <c:catAx>
        <c:axId val="728235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823533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'Transponovanie Histogramy'!$Q$20:$Q$28</c:f>
              <c:strCache>
                <c:ptCount val="9"/>
                <c:pt idx="0">
                  <c:v>172,5</c:v>
                </c:pt>
                <c:pt idx="1">
                  <c:v>173,5</c:v>
                </c:pt>
                <c:pt idx="2">
                  <c:v>174,5</c:v>
                </c:pt>
                <c:pt idx="3">
                  <c:v>175,5</c:v>
                </c:pt>
                <c:pt idx="4">
                  <c:v>176,5</c:v>
                </c:pt>
                <c:pt idx="5">
                  <c:v>177,5</c:v>
                </c:pt>
                <c:pt idx="6">
                  <c:v>178,5</c:v>
                </c:pt>
                <c:pt idx="7">
                  <c:v>179,5</c:v>
                </c:pt>
                <c:pt idx="8">
                  <c:v>More</c:v>
                </c:pt>
              </c:strCache>
            </c:strRef>
          </c:cat>
          <c:val>
            <c:numRef>
              <c:f>'Transponovanie Histogramy'!$R$20:$R$28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10</c:v>
                </c:pt>
                <c:pt idx="3">
                  <c:v>11</c:v>
                </c:pt>
                <c:pt idx="4">
                  <c:v>8</c:v>
                </c:pt>
                <c:pt idx="5">
                  <c:v>12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1-413E-A055-7C53C94AF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50843776"/>
        <c:axId val="550844432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'Transponovanie Histogramy'!$Q$20:$Q$28</c:f>
              <c:strCache>
                <c:ptCount val="9"/>
                <c:pt idx="0">
                  <c:v>172,5</c:v>
                </c:pt>
                <c:pt idx="1">
                  <c:v>173,5</c:v>
                </c:pt>
                <c:pt idx="2">
                  <c:v>174,5</c:v>
                </c:pt>
                <c:pt idx="3">
                  <c:v>175,5</c:v>
                </c:pt>
                <c:pt idx="4">
                  <c:v>176,5</c:v>
                </c:pt>
                <c:pt idx="5">
                  <c:v>177,5</c:v>
                </c:pt>
                <c:pt idx="6">
                  <c:v>178,5</c:v>
                </c:pt>
                <c:pt idx="7">
                  <c:v>179,5</c:v>
                </c:pt>
                <c:pt idx="8">
                  <c:v>More</c:v>
                </c:pt>
              </c:strCache>
            </c:strRef>
          </c:cat>
          <c:val>
            <c:numRef>
              <c:f>'Transponovanie Histogramy'!$S$20:$S$28</c:f>
              <c:numCache>
                <c:formatCode>0.00%</c:formatCode>
                <c:ptCount val="9"/>
                <c:pt idx="0">
                  <c:v>0.06</c:v>
                </c:pt>
                <c:pt idx="1">
                  <c:v>0.1</c:v>
                </c:pt>
                <c:pt idx="2">
                  <c:v>0.3</c:v>
                </c:pt>
                <c:pt idx="3">
                  <c:v>0.52</c:v>
                </c:pt>
                <c:pt idx="4">
                  <c:v>0.68</c:v>
                </c:pt>
                <c:pt idx="5">
                  <c:v>0.92</c:v>
                </c:pt>
                <c:pt idx="6">
                  <c:v>0.98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D1-413E-A055-7C53C94AF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970752"/>
        <c:axId val="546009104"/>
      </c:lineChart>
      <c:catAx>
        <c:axId val="55084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844432"/>
        <c:crosses val="autoZero"/>
        <c:auto val="1"/>
        <c:lblAlgn val="ctr"/>
        <c:lblOffset val="100"/>
        <c:noMultiLvlLbl val="0"/>
      </c:catAx>
      <c:valAx>
        <c:axId val="550844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843776"/>
        <c:crosses val="autoZero"/>
        <c:crossBetween val="between"/>
      </c:valAx>
      <c:valAx>
        <c:axId val="54600910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568970752"/>
        <c:crosses val="max"/>
        <c:crossBetween val="between"/>
      </c:valAx>
      <c:catAx>
        <c:axId val="568970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600910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Podiel!$F$2:$F$12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Podiel!$G$2:$G$12</c:f>
              <c:numCache>
                <c:formatCode>General</c:formatCode>
                <c:ptCount val="11"/>
                <c:pt idx="0">
                  <c:v>6</c:v>
                </c:pt>
                <c:pt idx="1">
                  <c:v>4</c:v>
                </c:pt>
                <c:pt idx="2">
                  <c:v>10</c:v>
                </c:pt>
                <c:pt idx="3">
                  <c:v>12</c:v>
                </c:pt>
                <c:pt idx="4">
                  <c:v>19</c:v>
                </c:pt>
                <c:pt idx="5">
                  <c:v>16</c:v>
                </c:pt>
                <c:pt idx="6">
                  <c:v>13</c:v>
                </c:pt>
                <c:pt idx="7">
                  <c:v>13</c:v>
                </c:pt>
                <c:pt idx="8">
                  <c:v>19</c:v>
                </c:pt>
                <c:pt idx="9">
                  <c:v>14</c:v>
                </c:pt>
                <c:pt idx="1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45-4537-89B9-C3D0D27CD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63841000"/>
        <c:axId val="763835424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Podiel!$F$2:$F$12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Podiel!$H$2:$H$12</c:f>
              <c:numCache>
                <c:formatCode>0.00%</c:formatCode>
                <c:ptCount val="11"/>
                <c:pt idx="0">
                  <c:v>4.1666666666666664E-2</c:v>
                </c:pt>
                <c:pt idx="1">
                  <c:v>6.9444444444444448E-2</c:v>
                </c:pt>
                <c:pt idx="2">
                  <c:v>0.1388888888888889</c:v>
                </c:pt>
                <c:pt idx="3">
                  <c:v>0.22222222222222221</c:v>
                </c:pt>
                <c:pt idx="4">
                  <c:v>0.35416666666666669</c:v>
                </c:pt>
                <c:pt idx="5">
                  <c:v>0.46527777777777779</c:v>
                </c:pt>
                <c:pt idx="6">
                  <c:v>0.55555555555555558</c:v>
                </c:pt>
                <c:pt idx="7">
                  <c:v>0.64583333333333337</c:v>
                </c:pt>
                <c:pt idx="8">
                  <c:v>0.77777777777777779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45-4537-89B9-C3D0D27CD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839688"/>
        <c:axId val="763844280"/>
      </c:lineChart>
      <c:catAx>
        <c:axId val="763841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35424"/>
        <c:crosses val="autoZero"/>
        <c:auto val="1"/>
        <c:lblAlgn val="ctr"/>
        <c:lblOffset val="100"/>
        <c:noMultiLvlLbl val="0"/>
      </c:catAx>
      <c:valAx>
        <c:axId val="763835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41000"/>
        <c:crosses val="autoZero"/>
        <c:crossBetween val="between"/>
      </c:valAx>
      <c:valAx>
        <c:axId val="76384428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763839688"/>
        <c:crosses val="max"/>
        <c:crossBetween val="between"/>
      </c:valAx>
      <c:catAx>
        <c:axId val="763839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384428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'Generovanie-Vyber-Nahodny (3)'!$D$21:$D$31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(3)'!$E$21:$E$31</c:f>
              <c:numCache>
                <c:formatCode>General</c:formatCode>
                <c:ptCount val="11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14</c:v>
                </c:pt>
                <c:pt idx="4">
                  <c:v>16</c:v>
                </c:pt>
                <c:pt idx="5">
                  <c:v>25</c:v>
                </c:pt>
                <c:pt idx="6">
                  <c:v>29</c:v>
                </c:pt>
                <c:pt idx="7">
                  <c:v>23</c:v>
                </c:pt>
                <c:pt idx="8">
                  <c:v>30</c:v>
                </c:pt>
                <c:pt idx="9">
                  <c:v>14</c:v>
                </c:pt>
                <c:pt idx="1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B-47BF-AC59-645C2C951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7742544"/>
        <c:axId val="737740248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'Generovanie-Vyber-Nahodny (3)'!$D$21:$D$31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(3)'!$F$21:$F$31</c:f>
              <c:numCache>
                <c:formatCode>0.00%</c:formatCode>
                <c:ptCount val="11"/>
                <c:pt idx="0">
                  <c:v>2.5000000000000001E-2</c:v>
                </c:pt>
                <c:pt idx="1">
                  <c:v>4.4999999999999998E-2</c:v>
                </c:pt>
                <c:pt idx="2">
                  <c:v>7.0000000000000007E-2</c:v>
                </c:pt>
                <c:pt idx="3">
                  <c:v>0.14000000000000001</c:v>
                </c:pt>
                <c:pt idx="4">
                  <c:v>0.22</c:v>
                </c:pt>
                <c:pt idx="5">
                  <c:v>0.34499999999999997</c:v>
                </c:pt>
                <c:pt idx="6">
                  <c:v>0.49</c:v>
                </c:pt>
                <c:pt idx="7">
                  <c:v>0.60499999999999998</c:v>
                </c:pt>
                <c:pt idx="8">
                  <c:v>0.755</c:v>
                </c:pt>
                <c:pt idx="9">
                  <c:v>0.82499999999999996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DB-47BF-AC59-645C2C951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876392"/>
        <c:axId val="632880656"/>
      </c:lineChart>
      <c:catAx>
        <c:axId val="73774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40248"/>
        <c:crosses val="autoZero"/>
        <c:auto val="1"/>
        <c:lblAlgn val="ctr"/>
        <c:lblOffset val="100"/>
        <c:noMultiLvlLbl val="0"/>
      </c:catAx>
      <c:valAx>
        <c:axId val="737740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42544"/>
        <c:crosses val="autoZero"/>
        <c:crossBetween val="between"/>
      </c:valAx>
      <c:valAx>
        <c:axId val="63288065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632876392"/>
        <c:crosses val="max"/>
        <c:crossBetween val="between"/>
      </c:valAx>
      <c:catAx>
        <c:axId val="632876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288065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'Generovanie-Vyber-Nahodny (3)'!$D$39:$D$49</c:f>
              <c:strCache>
                <c:ptCount val="11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(3)'!$E$39:$E$49</c:f>
              <c:numCache>
                <c:formatCode>General</c:formatCode>
                <c:ptCount val="11"/>
                <c:pt idx="0">
                  <c:v>9</c:v>
                </c:pt>
                <c:pt idx="1">
                  <c:v>5</c:v>
                </c:pt>
                <c:pt idx="2">
                  <c:v>14</c:v>
                </c:pt>
                <c:pt idx="3">
                  <c:v>16</c:v>
                </c:pt>
                <c:pt idx="4">
                  <c:v>25</c:v>
                </c:pt>
                <c:pt idx="5">
                  <c:v>29</c:v>
                </c:pt>
                <c:pt idx="6">
                  <c:v>23</c:v>
                </c:pt>
                <c:pt idx="7">
                  <c:v>30</c:v>
                </c:pt>
                <c:pt idx="8">
                  <c:v>14</c:v>
                </c:pt>
                <c:pt idx="9">
                  <c:v>14</c:v>
                </c:pt>
                <c:pt idx="1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4-4CB9-BD32-B377BEBD1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5022544"/>
        <c:axId val="635013360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'Generovanie-Vyber-Nahodny (3)'!$D$39:$D$49</c:f>
              <c:strCache>
                <c:ptCount val="11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(3)'!$F$39:$F$49</c:f>
              <c:numCache>
                <c:formatCode>0.00%</c:formatCode>
                <c:ptCount val="11"/>
                <c:pt idx="0">
                  <c:v>4.4999999999999998E-2</c:v>
                </c:pt>
                <c:pt idx="1">
                  <c:v>7.0000000000000007E-2</c:v>
                </c:pt>
                <c:pt idx="2">
                  <c:v>0.14000000000000001</c:v>
                </c:pt>
                <c:pt idx="3">
                  <c:v>0.22</c:v>
                </c:pt>
                <c:pt idx="4">
                  <c:v>0.34499999999999997</c:v>
                </c:pt>
                <c:pt idx="5">
                  <c:v>0.49</c:v>
                </c:pt>
                <c:pt idx="6">
                  <c:v>0.60499999999999998</c:v>
                </c:pt>
                <c:pt idx="7">
                  <c:v>0.755</c:v>
                </c:pt>
                <c:pt idx="8">
                  <c:v>0.82499999999999996</c:v>
                </c:pt>
                <c:pt idx="9">
                  <c:v>0.89500000000000002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44-4CB9-BD32-B377BEBD1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028120"/>
        <c:axId val="635024512"/>
      </c:lineChart>
      <c:catAx>
        <c:axId val="63502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13360"/>
        <c:crosses val="autoZero"/>
        <c:auto val="1"/>
        <c:lblAlgn val="ctr"/>
        <c:lblOffset val="100"/>
        <c:noMultiLvlLbl val="0"/>
      </c:catAx>
      <c:valAx>
        <c:axId val="635013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22544"/>
        <c:crosses val="autoZero"/>
        <c:crossBetween val="between"/>
      </c:valAx>
      <c:valAx>
        <c:axId val="6350245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635028120"/>
        <c:crosses val="max"/>
        <c:crossBetween val="between"/>
      </c:valAx>
      <c:catAx>
        <c:axId val="635028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502451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'Generovanie-Vyber-Nahodny (3)'!$R$21:$R$31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(3)'!$S$21:$S$31</c:f>
              <c:numCache>
                <c:formatCode>General</c:formatCode>
                <c:ptCount val="11"/>
                <c:pt idx="0">
                  <c:v>6</c:v>
                </c:pt>
                <c:pt idx="1">
                  <c:v>4</c:v>
                </c:pt>
                <c:pt idx="2">
                  <c:v>10</c:v>
                </c:pt>
                <c:pt idx="3">
                  <c:v>12</c:v>
                </c:pt>
                <c:pt idx="4">
                  <c:v>19</c:v>
                </c:pt>
                <c:pt idx="5">
                  <c:v>16</c:v>
                </c:pt>
                <c:pt idx="6">
                  <c:v>13</c:v>
                </c:pt>
                <c:pt idx="7">
                  <c:v>13</c:v>
                </c:pt>
                <c:pt idx="8">
                  <c:v>19</c:v>
                </c:pt>
                <c:pt idx="9">
                  <c:v>14</c:v>
                </c:pt>
                <c:pt idx="1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D-4F0F-90F3-882B51E21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7720240"/>
        <c:axId val="737723848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'Generovanie-Vyber-Nahodny (3)'!$R$21:$R$31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(3)'!$T$21:$T$31</c:f>
              <c:numCache>
                <c:formatCode>0.00%</c:formatCode>
                <c:ptCount val="11"/>
                <c:pt idx="0">
                  <c:v>4.1666666666666664E-2</c:v>
                </c:pt>
                <c:pt idx="1">
                  <c:v>6.9444444444444448E-2</c:v>
                </c:pt>
                <c:pt idx="2">
                  <c:v>0.1388888888888889</c:v>
                </c:pt>
                <c:pt idx="3">
                  <c:v>0.22222222222222221</c:v>
                </c:pt>
                <c:pt idx="4">
                  <c:v>0.35416666666666669</c:v>
                </c:pt>
                <c:pt idx="5">
                  <c:v>0.46527777777777779</c:v>
                </c:pt>
                <c:pt idx="6">
                  <c:v>0.55555555555555558</c:v>
                </c:pt>
                <c:pt idx="7">
                  <c:v>0.64583333333333337</c:v>
                </c:pt>
                <c:pt idx="8">
                  <c:v>0.77777777777777779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D-4F0F-90F3-882B51E21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719584"/>
        <c:axId val="737722208"/>
      </c:lineChart>
      <c:catAx>
        <c:axId val="73772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23848"/>
        <c:crosses val="autoZero"/>
        <c:auto val="1"/>
        <c:lblAlgn val="ctr"/>
        <c:lblOffset val="100"/>
        <c:noMultiLvlLbl val="0"/>
      </c:catAx>
      <c:valAx>
        <c:axId val="7377238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20240"/>
        <c:crosses val="autoZero"/>
        <c:crossBetween val="between"/>
      </c:valAx>
      <c:valAx>
        <c:axId val="73772220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737719584"/>
        <c:crosses val="max"/>
        <c:crossBetween val="between"/>
      </c:valAx>
      <c:catAx>
        <c:axId val="737719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772220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'Generovanie-Vyber-Nahodny (3)'!$R$37:$R$47</c:f>
              <c:strCache>
                <c:ptCount val="11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(3)'!$S$37:$S$47</c:f>
              <c:numCache>
                <c:formatCode>General</c:formatCode>
                <c:ptCount val="11"/>
                <c:pt idx="0">
                  <c:v>10</c:v>
                </c:pt>
                <c:pt idx="1">
                  <c:v>10</c:v>
                </c:pt>
                <c:pt idx="2">
                  <c:v>12</c:v>
                </c:pt>
                <c:pt idx="3">
                  <c:v>19</c:v>
                </c:pt>
                <c:pt idx="4">
                  <c:v>16</c:v>
                </c:pt>
                <c:pt idx="5">
                  <c:v>13</c:v>
                </c:pt>
                <c:pt idx="6">
                  <c:v>13</c:v>
                </c:pt>
                <c:pt idx="7">
                  <c:v>19</c:v>
                </c:pt>
                <c:pt idx="8">
                  <c:v>14</c:v>
                </c:pt>
                <c:pt idx="9">
                  <c:v>11</c:v>
                </c:pt>
                <c:pt idx="1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8-4146-B945-638F99B5D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2340872"/>
        <c:axId val="702341200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'Generovanie-Vyber-Nahodny (3)'!$R$37:$R$47</c:f>
              <c:strCache>
                <c:ptCount val="11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(3)'!$T$37:$T$47</c:f>
              <c:numCache>
                <c:formatCode>0.00%</c:formatCode>
                <c:ptCount val="11"/>
                <c:pt idx="0">
                  <c:v>6.9444444444444448E-2</c:v>
                </c:pt>
                <c:pt idx="1">
                  <c:v>0.1388888888888889</c:v>
                </c:pt>
                <c:pt idx="2">
                  <c:v>0.22222222222222221</c:v>
                </c:pt>
                <c:pt idx="3">
                  <c:v>0.35416666666666669</c:v>
                </c:pt>
                <c:pt idx="4">
                  <c:v>0.46527777777777779</c:v>
                </c:pt>
                <c:pt idx="5">
                  <c:v>0.55555555555555558</c:v>
                </c:pt>
                <c:pt idx="6">
                  <c:v>0.64583333333333337</c:v>
                </c:pt>
                <c:pt idx="7">
                  <c:v>0.77777777777777779</c:v>
                </c:pt>
                <c:pt idx="8">
                  <c:v>0.875</c:v>
                </c:pt>
                <c:pt idx="9">
                  <c:v>0.95138888888888884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E8-4146-B945-638F99B5D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22016"/>
        <c:axId val="702321688"/>
      </c:lineChart>
      <c:catAx>
        <c:axId val="702340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341200"/>
        <c:crosses val="autoZero"/>
        <c:auto val="1"/>
        <c:lblAlgn val="ctr"/>
        <c:lblOffset val="100"/>
        <c:noMultiLvlLbl val="0"/>
      </c:catAx>
      <c:valAx>
        <c:axId val="702341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340872"/>
        <c:crosses val="autoZero"/>
        <c:crossBetween val="between"/>
      </c:valAx>
      <c:valAx>
        <c:axId val="70232168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702322016"/>
        <c:crosses val="max"/>
        <c:crossBetween val="between"/>
      </c:valAx>
      <c:catAx>
        <c:axId val="702322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232168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'Generovanie-Vyber-Nahodny (2)'!$D$21:$D$31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(2)'!$E$21:$E$31</c:f>
              <c:numCache>
                <c:formatCode>General</c:formatCode>
                <c:ptCount val="11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14</c:v>
                </c:pt>
                <c:pt idx="4">
                  <c:v>16</c:v>
                </c:pt>
                <c:pt idx="5">
                  <c:v>25</c:v>
                </c:pt>
                <c:pt idx="6">
                  <c:v>29</c:v>
                </c:pt>
                <c:pt idx="7">
                  <c:v>23</c:v>
                </c:pt>
                <c:pt idx="8">
                  <c:v>30</c:v>
                </c:pt>
                <c:pt idx="9">
                  <c:v>14</c:v>
                </c:pt>
                <c:pt idx="1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08-45DB-A4E4-4CD4EAE5B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7742544"/>
        <c:axId val="737740248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'Generovanie-Vyber-Nahodny (2)'!$D$21:$D$31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(2)'!$F$21:$F$31</c:f>
              <c:numCache>
                <c:formatCode>0.00%</c:formatCode>
                <c:ptCount val="11"/>
                <c:pt idx="0">
                  <c:v>2.5000000000000001E-2</c:v>
                </c:pt>
                <c:pt idx="1">
                  <c:v>4.4999999999999998E-2</c:v>
                </c:pt>
                <c:pt idx="2">
                  <c:v>7.0000000000000007E-2</c:v>
                </c:pt>
                <c:pt idx="3">
                  <c:v>0.14000000000000001</c:v>
                </c:pt>
                <c:pt idx="4">
                  <c:v>0.22</c:v>
                </c:pt>
                <c:pt idx="5">
                  <c:v>0.34499999999999997</c:v>
                </c:pt>
                <c:pt idx="6">
                  <c:v>0.49</c:v>
                </c:pt>
                <c:pt idx="7">
                  <c:v>0.60499999999999998</c:v>
                </c:pt>
                <c:pt idx="8">
                  <c:v>0.755</c:v>
                </c:pt>
                <c:pt idx="9">
                  <c:v>0.82499999999999996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08-45DB-A4E4-4CD4EAE5B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876392"/>
        <c:axId val="632880656"/>
      </c:lineChart>
      <c:catAx>
        <c:axId val="73774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40248"/>
        <c:crosses val="autoZero"/>
        <c:auto val="1"/>
        <c:lblAlgn val="ctr"/>
        <c:lblOffset val="100"/>
        <c:noMultiLvlLbl val="0"/>
      </c:catAx>
      <c:valAx>
        <c:axId val="737740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42544"/>
        <c:crosses val="autoZero"/>
        <c:crossBetween val="between"/>
      </c:valAx>
      <c:valAx>
        <c:axId val="63288065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632876392"/>
        <c:crosses val="max"/>
        <c:crossBetween val="between"/>
      </c:valAx>
      <c:catAx>
        <c:axId val="632876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288065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'Generovanie-Vyber-Nahodny (2)'!$D$39:$D$49</c:f>
              <c:strCache>
                <c:ptCount val="11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(2)'!$E$39:$E$49</c:f>
              <c:numCache>
                <c:formatCode>General</c:formatCode>
                <c:ptCount val="11"/>
                <c:pt idx="0">
                  <c:v>9</c:v>
                </c:pt>
                <c:pt idx="1">
                  <c:v>5</c:v>
                </c:pt>
                <c:pt idx="2">
                  <c:v>14</c:v>
                </c:pt>
                <c:pt idx="3">
                  <c:v>16</c:v>
                </c:pt>
                <c:pt idx="4">
                  <c:v>25</c:v>
                </c:pt>
                <c:pt idx="5">
                  <c:v>29</c:v>
                </c:pt>
                <c:pt idx="6">
                  <c:v>23</c:v>
                </c:pt>
                <c:pt idx="7">
                  <c:v>30</c:v>
                </c:pt>
                <c:pt idx="8">
                  <c:v>14</c:v>
                </c:pt>
                <c:pt idx="9">
                  <c:v>14</c:v>
                </c:pt>
                <c:pt idx="1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A-408E-ABF1-EA1215866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5022544"/>
        <c:axId val="635013360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'Generovanie-Vyber-Nahodny (2)'!$D$39:$D$49</c:f>
              <c:strCache>
                <c:ptCount val="11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(2)'!$F$39:$F$49</c:f>
              <c:numCache>
                <c:formatCode>0.00%</c:formatCode>
                <c:ptCount val="11"/>
                <c:pt idx="0">
                  <c:v>4.4999999999999998E-2</c:v>
                </c:pt>
                <c:pt idx="1">
                  <c:v>7.0000000000000007E-2</c:v>
                </c:pt>
                <c:pt idx="2">
                  <c:v>0.14000000000000001</c:v>
                </c:pt>
                <c:pt idx="3">
                  <c:v>0.22</c:v>
                </c:pt>
                <c:pt idx="4">
                  <c:v>0.34499999999999997</c:v>
                </c:pt>
                <c:pt idx="5">
                  <c:v>0.49</c:v>
                </c:pt>
                <c:pt idx="6">
                  <c:v>0.60499999999999998</c:v>
                </c:pt>
                <c:pt idx="7">
                  <c:v>0.755</c:v>
                </c:pt>
                <c:pt idx="8">
                  <c:v>0.82499999999999996</c:v>
                </c:pt>
                <c:pt idx="9">
                  <c:v>0.89500000000000002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A-408E-ABF1-EA1215866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028120"/>
        <c:axId val="635024512"/>
      </c:lineChart>
      <c:catAx>
        <c:axId val="63502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13360"/>
        <c:crosses val="autoZero"/>
        <c:auto val="1"/>
        <c:lblAlgn val="ctr"/>
        <c:lblOffset val="100"/>
        <c:noMultiLvlLbl val="0"/>
      </c:catAx>
      <c:valAx>
        <c:axId val="635013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22544"/>
        <c:crosses val="autoZero"/>
        <c:crossBetween val="between"/>
      </c:valAx>
      <c:valAx>
        <c:axId val="6350245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635028120"/>
        <c:crosses val="max"/>
        <c:crossBetween val="between"/>
      </c:valAx>
      <c:catAx>
        <c:axId val="635028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502451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'Generovanie-Vyber-Nahodny (2)'!$R$21:$R$31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(2)'!$S$21:$S$31</c:f>
              <c:numCache>
                <c:formatCode>General</c:formatCode>
                <c:ptCount val="11"/>
                <c:pt idx="0">
                  <c:v>6</c:v>
                </c:pt>
                <c:pt idx="1">
                  <c:v>4</c:v>
                </c:pt>
                <c:pt idx="2">
                  <c:v>10</c:v>
                </c:pt>
                <c:pt idx="3">
                  <c:v>12</c:v>
                </c:pt>
                <c:pt idx="4">
                  <c:v>19</c:v>
                </c:pt>
                <c:pt idx="5">
                  <c:v>16</c:v>
                </c:pt>
                <c:pt idx="6">
                  <c:v>13</c:v>
                </c:pt>
                <c:pt idx="7">
                  <c:v>13</c:v>
                </c:pt>
                <c:pt idx="8">
                  <c:v>19</c:v>
                </c:pt>
                <c:pt idx="9">
                  <c:v>14</c:v>
                </c:pt>
                <c:pt idx="1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8-4EC4-A4B9-F3CC33503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7720240"/>
        <c:axId val="737723848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'Generovanie-Vyber-Nahodny (2)'!$R$21:$R$31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(2)'!$T$21:$T$31</c:f>
              <c:numCache>
                <c:formatCode>0.00%</c:formatCode>
                <c:ptCount val="11"/>
                <c:pt idx="0">
                  <c:v>4.1666666666666664E-2</c:v>
                </c:pt>
                <c:pt idx="1">
                  <c:v>6.9444444444444448E-2</c:v>
                </c:pt>
                <c:pt idx="2">
                  <c:v>0.1388888888888889</c:v>
                </c:pt>
                <c:pt idx="3">
                  <c:v>0.22222222222222221</c:v>
                </c:pt>
                <c:pt idx="4">
                  <c:v>0.35416666666666669</c:v>
                </c:pt>
                <c:pt idx="5">
                  <c:v>0.46527777777777779</c:v>
                </c:pt>
                <c:pt idx="6">
                  <c:v>0.55555555555555558</c:v>
                </c:pt>
                <c:pt idx="7">
                  <c:v>0.64583333333333337</c:v>
                </c:pt>
                <c:pt idx="8">
                  <c:v>0.77777777777777779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8-4EC4-A4B9-F3CC33503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719584"/>
        <c:axId val="737722208"/>
      </c:lineChart>
      <c:catAx>
        <c:axId val="73772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23848"/>
        <c:crosses val="autoZero"/>
        <c:auto val="1"/>
        <c:lblAlgn val="ctr"/>
        <c:lblOffset val="100"/>
        <c:noMultiLvlLbl val="0"/>
      </c:catAx>
      <c:valAx>
        <c:axId val="7377238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20240"/>
        <c:crosses val="autoZero"/>
        <c:crossBetween val="between"/>
      </c:valAx>
      <c:valAx>
        <c:axId val="73772220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737719584"/>
        <c:crosses val="max"/>
        <c:crossBetween val="between"/>
      </c:valAx>
      <c:catAx>
        <c:axId val="737719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772220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'Generovanie-Vyber-Nahodny (2)'!$R$37:$R$47</c:f>
              <c:strCache>
                <c:ptCount val="11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(2)'!$S$37:$S$47</c:f>
              <c:numCache>
                <c:formatCode>General</c:formatCode>
                <c:ptCount val="11"/>
                <c:pt idx="0">
                  <c:v>10</c:v>
                </c:pt>
                <c:pt idx="1">
                  <c:v>10</c:v>
                </c:pt>
                <c:pt idx="2">
                  <c:v>12</c:v>
                </c:pt>
                <c:pt idx="3">
                  <c:v>19</c:v>
                </c:pt>
                <c:pt idx="4">
                  <c:v>16</c:v>
                </c:pt>
                <c:pt idx="5">
                  <c:v>13</c:v>
                </c:pt>
                <c:pt idx="6">
                  <c:v>13</c:v>
                </c:pt>
                <c:pt idx="7">
                  <c:v>19</c:v>
                </c:pt>
                <c:pt idx="8">
                  <c:v>14</c:v>
                </c:pt>
                <c:pt idx="9">
                  <c:v>11</c:v>
                </c:pt>
                <c:pt idx="1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C-4D60-BEE7-5D897224A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2340872"/>
        <c:axId val="702341200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'Generovanie-Vyber-Nahodny (2)'!$R$37:$R$47</c:f>
              <c:strCache>
                <c:ptCount val="11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More</c:v>
                </c:pt>
              </c:strCache>
            </c:strRef>
          </c:cat>
          <c:val>
            <c:numRef>
              <c:f>'Generovanie-Vyber-Nahodny (2)'!$T$37:$T$47</c:f>
              <c:numCache>
                <c:formatCode>0.00%</c:formatCode>
                <c:ptCount val="11"/>
                <c:pt idx="0">
                  <c:v>6.9444444444444448E-2</c:v>
                </c:pt>
                <c:pt idx="1">
                  <c:v>0.1388888888888889</c:v>
                </c:pt>
                <c:pt idx="2">
                  <c:v>0.22222222222222221</c:v>
                </c:pt>
                <c:pt idx="3">
                  <c:v>0.35416666666666669</c:v>
                </c:pt>
                <c:pt idx="4">
                  <c:v>0.46527777777777779</c:v>
                </c:pt>
                <c:pt idx="5">
                  <c:v>0.55555555555555558</c:v>
                </c:pt>
                <c:pt idx="6">
                  <c:v>0.64583333333333337</c:v>
                </c:pt>
                <c:pt idx="7">
                  <c:v>0.77777777777777779</c:v>
                </c:pt>
                <c:pt idx="8">
                  <c:v>0.875</c:v>
                </c:pt>
                <c:pt idx="9">
                  <c:v>0.95138888888888884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C-4D60-BEE7-5D897224A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22016"/>
        <c:axId val="702321688"/>
      </c:lineChart>
      <c:catAx>
        <c:axId val="702340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341200"/>
        <c:crosses val="autoZero"/>
        <c:auto val="1"/>
        <c:lblAlgn val="ctr"/>
        <c:lblOffset val="100"/>
        <c:noMultiLvlLbl val="0"/>
      </c:catAx>
      <c:valAx>
        <c:axId val="702341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340872"/>
        <c:crosses val="autoZero"/>
        <c:crossBetween val="between"/>
      </c:valAx>
      <c:valAx>
        <c:axId val="70232168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702322016"/>
        <c:crosses val="max"/>
        <c:crossBetween val="between"/>
      </c:valAx>
      <c:catAx>
        <c:axId val="702322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232168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'Generovanie-Vyber-Nahodny'!$D$21:$D$31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'Generovanie-Vyber-Nahodny'!$E$21:$E$31</c:f>
              <c:numCache>
                <c:formatCode>General</c:formatCode>
                <c:ptCount val="11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14</c:v>
                </c:pt>
                <c:pt idx="4">
                  <c:v>16</c:v>
                </c:pt>
                <c:pt idx="5">
                  <c:v>25</c:v>
                </c:pt>
                <c:pt idx="6">
                  <c:v>29</c:v>
                </c:pt>
                <c:pt idx="7">
                  <c:v>23</c:v>
                </c:pt>
                <c:pt idx="8">
                  <c:v>30</c:v>
                </c:pt>
                <c:pt idx="9">
                  <c:v>14</c:v>
                </c:pt>
                <c:pt idx="1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5-4FCB-B225-B45BE0C91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7742544"/>
        <c:axId val="737740248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'Generovanie-Vyber-Nahodny'!$D$21:$D$31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'Generovanie-Vyber-Nahodny'!$F$21:$F$31</c:f>
              <c:numCache>
                <c:formatCode>0.00%</c:formatCode>
                <c:ptCount val="11"/>
                <c:pt idx="0">
                  <c:v>2.5000000000000001E-2</c:v>
                </c:pt>
                <c:pt idx="1">
                  <c:v>4.4999999999999998E-2</c:v>
                </c:pt>
                <c:pt idx="2">
                  <c:v>7.0000000000000007E-2</c:v>
                </c:pt>
                <c:pt idx="3">
                  <c:v>0.14000000000000001</c:v>
                </c:pt>
                <c:pt idx="4">
                  <c:v>0.22</c:v>
                </c:pt>
                <c:pt idx="5">
                  <c:v>0.34499999999999997</c:v>
                </c:pt>
                <c:pt idx="6">
                  <c:v>0.49</c:v>
                </c:pt>
                <c:pt idx="7">
                  <c:v>0.60499999999999998</c:v>
                </c:pt>
                <c:pt idx="8">
                  <c:v>0.755</c:v>
                </c:pt>
                <c:pt idx="9">
                  <c:v>0.82499999999999996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05-4FCB-B225-B45BE0C91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876392"/>
        <c:axId val="632880656"/>
      </c:lineChart>
      <c:catAx>
        <c:axId val="73774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40248"/>
        <c:crosses val="autoZero"/>
        <c:auto val="1"/>
        <c:lblAlgn val="ctr"/>
        <c:lblOffset val="100"/>
        <c:noMultiLvlLbl val="0"/>
      </c:catAx>
      <c:valAx>
        <c:axId val="737740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42544"/>
        <c:crosses val="autoZero"/>
        <c:crossBetween val="between"/>
      </c:valAx>
      <c:valAx>
        <c:axId val="63288065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632876392"/>
        <c:crosses val="max"/>
        <c:crossBetween val="between"/>
      </c:valAx>
      <c:catAx>
        <c:axId val="632876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288065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'Generovanie-Vyber-Nahodny'!$D$39:$D$49</c:f>
              <c:strCache>
                <c:ptCount val="11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More</c:v>
                </c:pt>
              </c:strCache>
            </c:strRef>
          </c:cat>
          <c:val>
            <c:numRef>
              <c:f>'Generovanie-Vyber-Nahodny'!$E$39:$E$49</c:f>
              <c:numCache>
                <c:formatCode>General</c:formatCode>
                <c:ptCount val="11"/>
                <c:pt idx="0">
                  <c:v>9</c:v>
                </c:pt>
                <c:pt idx="1">
                  <c:v>5</c:v>
                </c:pt>
                <c:pt idx="2">
                  <c:v>14</c:v>
                </c:pt>
                <c:pt idx="3">
                  <c:v>16</c:v>
                </c:pt>
                <c:pt idx="4">
                  <c:v>25</c:v>
                </c:pt>
                <c:pt idx="5">
                  <c:v>29</c:v>
                </c:pt>
                <c:pt idx="6">
                  <c:v>23</c:v>
                </c:pt>
                <c:pt idx="7">
                  <c:v>30</c:v>
                </c:pt>
                <c:pt idx="8">
                  <c:v>14</c:v>
                </c:pt>
                <c:pt idx="9">
                  <c:v>14</c:v>
                </c:pt>
                <c:pt idx="1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8B-4D72-9BD3-1D4E3A170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5022544"/>
        <c:axId val="635013360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'Generovanie-Vyber-Nahodny'!$D$39:$D$49</c:f>
              <c:strCache>
                <c:ptCount val="11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More</c:v>
                </c:pt>
              </c:strCache>
            </c:strRef>
          </c:cat>
          <c:val>
            <c:numRef>
              <c:f>'Generovanie-Vyber-Nahodny'!$F$39:$F$49</c:f>
              <c:numCache>
                <c:formatCode>0.00%</c:formatCode>
                <c:ptCount val="11"/>
                <c:pt idx="0">
                  <c:v>4.4999999999999998E-2</c:v>
                </c:pt>
                <c:pt idx="1">
                  <c:v>7.0000000000000007E-2</c:v>
                </c:pt>
                <c:pt idx="2">
                  <c:v>0.14000000000000001</c:v>
                </c:pt>
                <c:pt idx="3">
                  <c:v>0.22</c:v>
                </c:pt>
                <c:pt idx="4">
                  <c:v>0.34499999999999997</c:v>
                </c:pt>
                <c:pt idx="5">
                  <c:v>0.49</c:v>
                </c:pt>
                <c:pt idx="6">
                  <c:v>0.60499999999999998</c:v>
                </c:pt>
                <c:pt idx="7">
                  <c:v>0.755</c:v>
                </c:pt>
                <c:pt idx="8">
                  <c:v>0.82499999999999996</c:v>
                </c:pt>
                <c:pt idx="9">
                  <c:v>0.89500000000000002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8B-4D72-9BD3-1D4E3A170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028120"/>
        <c:axId val="635024512"/>
      </c:lineChart>
      <c:catAx>
        <c:axId val="63502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13360"/>
        <c:crosses val="autoZero"/>
        <c:auto val="1"/>
        <c:lblAlgn val="ctr"/>
        <c:lblOffset val="100"/>
        <c:noMultiLvlLbl val="0"/>
      </c:catAx>
      <c:valAx>
        <c:axId val="635013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22544"/>
        <c:crosses val="autoZero"/>
        <c:crossBetween val="between"/>
      </c:valAx>
      <c:valAx>
        <c:axId val="6350245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635028120"/>
        <c:crosses val="max"/>
        <c:crossBetween val="between"/>
      </c:valAx>
      <c:catAx>
        <c:axId val="635028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502451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'Generovanie-Vyber-Nahodny'!$R$21:$R$31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'Generovanie-Vyber-Nahodny'!$S$21:$S$31</c:f>
              <c:numCache>
                <c:formatCode>General</c:formatCode>
                <c:ptCount val="11"/>
                <c:pt idx="0">
                  <c:v>6</c:v>
                </c:pt>
                <c:pt idx="1">
                  <c:v>4</c:v>
                </c:pt>
                <c:pt idx="2">
                  <c:v>10</c:v>
                </c:pt>
                <c:pt idx="3">
                  <c:v>12</c:v>
                </c:pt>
                <c:pt idx="4">
                  <c:v>19</c:v>
                </c:pt>
                <c:pt idx="5">
                  <c:v>16</c:v>
                </c:pt>
                <c:pt idx="6">
                  <c:v>13</c:v>
                </c:pt>
                <c:pt idx="7">
                  <c:v>13</c:v>
                </c:pt>
                <c:pt idx="8">
                  <c:v>19</c:v>
                </c:pt>
                <c:pt idx="9">
                  <c:v>14</c:v>
                </c:pt>
                <c:pt idx="1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3C-4A76-8722-4F5C044D9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7720240"/>
        <c:axId val="737723848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'Generovanie-Vyber-Nahodny'!$R$21:$R$31</c:f>
              <c:strCache>
                <c:ptCount val="11"/>
                <c:pt idx="0">
                  <c:v>145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165</c:v>
                </c:pt>
                <c:pt idx="5">
                  <c:v>170</c:v>
                </c:pt>
                <c:pt idx="6">
                  <c:v>175</c:v>
                </c:pt>
                <c:pt idx="7">
                  <c:v>180</c:v>
                </c:pt>
                <c:pt idx="8">
                  <c:v>185</c:v>
                </c:pt>
                <c:pt idx="9">
                  <c:v>190</c:v>
                </c:pt>
                <c:pt idx="10">
                  <c:v>More</c:v>
                </c:pt>
              </c:strCache>
            </c:strRef>
          </c:cat>
          <c:val>
            <c:numRef>
              <c:f>'Generovanie-Vyber-Nahodny'!$T$21:$T$31</c:f>
              <c:numCache>
                <c:formatCode>0.00%</c:formatCode>
                <c:ptCount val="11"/>
                <c:pt idx="0">
                  <c:v>4.1666666666666664E-2</c:v>
                </c:pt>
                <c:pt idx="1">
                  <c:v>6.9444444444444448E-2</c:v>
                </c:pt>
                <c:pt idx="2">
                  <c:v>0.1388888888888889</c:v>
                </c:pt>
                <c:pt idx="3">
                  <c:v>0.22222222222222221</c:v>
                </c:pt>
                <c:pt idx="4">
                  <c:v>0.35416666666666669</c:v>
                </c:pt>
                <c:pt idx="5">
                  <c:v>0.46527777777777779</c:v>
                </c:pt>
                <c:pt idx="6">
                  <c:v>0.55555555555555558</c:v>
                </c:pt>
                <c:pt idx="7">
                  <c:v>0.64583333333333337</c:v>
                </c:pt>
                <c:pt idx="8">
                  <c:v>0.77777777777777779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3C-4A76-8722-4F5C044D9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719584"/>
        <c:axId val="737722208"/>
      </c:lineChart>
      <c:catAx>
        <c:axId val="73772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23848"/>
        <c:crosses val="autoZero"/>
        <c:auto val="1"/>
        <c:lblAlgn val="ctr"/>
        <c:lblOffset val="100"/>
        <c:noMultiLvlLbl val="0"/>
      </c:catAx>
      <c:valAx>
        <c:axId val="7377238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20240"/>
        <c:crosses val="autoZero"/>
        <c:crossBetween val="between"/>
      </c:valAx>
      <c:valAx>
        <c:axId val="73772220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737719584"/>
        <c:crosses val="max"/>
        <c:crossBetween val="between"/>
      </c:valAx>
      <c:catAx>
        <c:axId val="737719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772220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'Generovanie-Vyber-Nahodny'!$R$37:$R$47</c:f>
              <c:strCache>
                <c:ptCount val="11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More</c:v>
                </c:pt>
              </c:strCache>
            </c:strRef>
          </c:cat>
          <c:val>
            <c:numRef>
              <c:f>'Generovanie-Vyber-Nahodny'!$S$37:$S$47</c:f>
              <c:numCache>
                <c:formatCode>General</c:formatCode>
                <c:ptCount val="11"/>
                <c:pt idx="0">
                  <c:v>10</c:v>
                </c:pt>
                <c:pt idx="1">
                  <c:v>10</c:v>
                </c:pt>
                <c:pt idx="2">
                  <c:v>12</c:v>
                </c:pt>
                <c:pt idx="3">
                  <c:v>19</c:v>
                </c:pt>
                <c:pt idx="4">
                  <c:v>16</c:v>
                </c:pt>
                <c:pt idx="5">
                  <c:v>13</c:v>
                </c:pt>
                <c:pt idx="6">
                  <c:v>13</c:v>
                </c:pt>
                <c:pt idx="7">
                  <c:v>19</c:v>
                </c:pt>
                <c:pt idx="8">
                  <c:v>14</c:v>
                </c:pt>
                <c:pt idx="9">
                  <c:v>11</c:v>
                </c:pt>
                <c:pt idx="1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88-4543-9A8A-7D2C4CB79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2340872"/>
        <c:axId val="702341200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'Generovanie-Vyber-Nahodny'!$R$37:$R$47</c:f>
              <c:strCache>
                <c:ptCount val="11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More</c:v>
                </c:pt>
              </c:strCache>
            </c:strRef>
          </c:cat>
          <c:val>
            <c:numRef>
              <c:f>'Generovanie-Vyber-Nahodny'!$T$37:$T$47</c:f>
              <c:numCache>
                <c:formatCode>0.00%</c:formatCode>
                <c:ptCount val="11"/>
                <c:pt idx="0">
                  <c:v>6.9444444444444448E-2</c:v>
                </c:pt>
                <c:pt idx="1">
                  <c:v>0.1388888888888889</c:v>
                </c:pt>
                <c:pt idx="2">
                  <c:v>0.22222222222222221</c:v>
                </c:pt>
                <c:pt idx="3">
                  <c:v>0.35416666666666669</c:v>
                </c:pt>
                <c:pt idx="4">
                  <c:v>0.46527777777777779</c:v>
                </c:pt>
                <c:pt idx="5">
                  <c:v>0.55555555555555558</c:v>
                </c:pt>
                <c:pt idx="6">
                  <c:v>0.64583333333333337</c:v>
                </c:pt>
                <c:pt idx="7">
                  <c:v>0.77777777777777779</c:v>
                </c:pt>
                <c:pt idx="8">
                  <c:v>0.875</c:v>
                </c:pt>
                <c:pt idx="9">
                  <c:v>0.95138888888888884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88-4543-9A8A-7D2C4CB79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22016"/>
        <c:axId val="702321688"/>
      </c:lineChart>
      <c:catAx>
        <c:axId val="702340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341200"/>
        <c:crosses val="autoZero"/>
        <c:auto val="1"/>
        <c:lblAlgn val="ctr"/>
        <c:lblOffset val="100"/>
        <c:noMultiLvlLbl val="0"/>
      </c:catAx>
      <c:valAx>
        <c:axId val="702341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340872"/>
        <c:crosses val="autoZero"/>
        <c:crossBetween val="between"/>
      </c:valAx>
      <c:valAx>
        <c:axId val="70232168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702322016"/>
        <c:crosses val="max"/>
        <c:crossBetween val="between"/>
      </c:valAx>
      <c:catAx>
        <c:axId val="702322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232168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'Aproximácia BI NR'!$E$2</c:f>
              <c:strCache>
                <c:ptCount val="1"/>
                <c:pt idx="0">
                  <c:v>pi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'Aproximácia BI NR'!$D$3:$D$103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'Aproximácia BI NR'!$E$3:$E$103</c:f>
              <c:numCache>
                <c:formatCode>0.000000</c:formatCode>
                <c:ptCount val="101"/>
                <c:pt idx="0">
                  <c:v>1.2676506002281995E-70</c:v>
                </c:pt>
                <c:pt idx="1">
                  <c:v>5.0706024009127163E-68</c:v>
                </c:pt>
                <c:pt idx="2">
                  <c:v>1.0039792753807395E-65</c:v>
                </c:pt>
                <c:pt idx="3">
                  <c:v>1.3118662531641892E-63</c:v>
                </c:pt>
                <c:pt idx="4">
                  <c:v>1.2725102655692404E-61</c:v>
                </c:pt>
                <c:pt idx="5">
                  <c:v>9.7728788395717222E-60</c:v>
                </c:pt>
                <c:pt idx="6">
                  <c:v>6.1894899317288268E-58</c:v>
                </c:pt>
                <c:pt idx="7">
                  <c:v>3.324640306185708E-56</c:v>
                </c:pt>
                <c:pt idx="8">
                  <c:v>1.5459577423763904E-54</c:v>
                </c:pt>
                <c:pt idx="9">
                  <c:v>6.3212494354945442E-53</c:v>
                </c:pt>
                <c:pt idx="10">
                  <c:v>2.3009347945200567E-51</c:v>
                </c:pt>
                <c:pt idx="11">
                  <c:v>7.5303320547928692E-50</c:v>
                </c:pt>
                <c:pt idx="12">
                  <c:v>2.2339985095885734E-48</c:v>
                </c:pt>
                <c:pt idx="13">
                  <c:v>6.0489805798088843E-47</c:v>
                </c:pt>
                <c:pt idx="14">
                  <c:v>1.5036037441239525E-45</c:v>
                </c:pt>
                <c:pt idx="15">
                  <c:v>3.4482645865242069E-44</c:v>
                </c:pt>
                <c:pt idx="16">
                  <c:v>7.3275622463638934E-43</c:v>
                </c:pt>
                <c:pt idx="17">
                  <c:v>1.4482711263401825E-41</c:v>
                </c:pt>
                <c:pt idx="18">
                  <c:v>2.6712556330274129E-40</c:v>
                </c:pt>
                <c:pt idx="19">
                  <c:v>4.6114307770157161E-39</c:v>
                </c:pt>
                <c:pt idx="20">
                  <c:v>7.4705178587655428E-38</c:v>
                </c:pt>
                <c:pt idx="21">
                  <c:v>1.1383646260975993E-36</c:v>
                </c:pt>
                <c:pt idx="22">
                  <c:v>1.6351055538493085E-35</c:v>
                </c:pt>
                <c:pt idx="23">
                  <c:v>2.2180562295694644E-34</c:v>
                </c:pt>
                <c:pt idx="24">
                  <c:v>2.8465054946141651E-33</c:v>
                </c:pt>
                <c:pt idx="25">
                  <c:v>3.4613506814508011E-32</c:v>
                </c:pt>
                <c:pt idx="26">
                  <c:v>3.9938661709047964E-31</c:v>
                </c:pt>
                <c:pt idx="27">
                  <c:v>4.3784606910659768E-30</c:v>
                </c:pt>
                <c:pt idx="28">
                  <c:v>4.5661090063974346E-29</c:v>
                </c:pt>
                <c:pt idx="29">
                  <c:v>4.5346185994566999E-28</c:v>
                </c:pt>
                <c:pt idx="30">
                  <c:v>4.2927722741523951E-27</c:v>
                </c:pt>
                <c:pt idx="31">
                  <c:v>3.8773426992343521E-26</c:v>
                </c:pt>
                <c:pt idx="32">
                  <c:v>3.344208078089663E-25</c:v>
                </c:pt>
                <c:pt idx="33">
                  <c:v>2.7564381734557039E-24</c:v>
                </c:pt>
                <c:pt idx="34">
                  <c:v>2.172721854370959E-23</c:v>
                </c:pt>
                <c:pt idx="35">
                  <c:v>1.6388530558683996E-22</c:v>
                </c:pt>
                <c:pt idx="36">
                  <c:v>1.1836160959049489E-21</c:v>
                </c:pt>
                <c:pt idx="37">
                  <c:v>8.18934379869379E-21</c:v>
                </c:pt>
                <c:pt idx="38">
                  <c:v>5.4308279928179232E-20</c:v>
                </c:pt>
                <c:pt idx="39">
                  <c:v>3.4534495954329355E-19</c:v>
                </c:pt>
                <c:pt idx="40">
                  <c:v>2.1066042532141223E-18</c:v>
                </c:pt>
                <c:pt idx="41">
                  <c:v>1.2331341970033807E-17</c:v>
                </c:pt>
                <c:pt idx="42">
                  <c:v>6.9290397736380423E-17</c:v>
                </c:pt>
                <c:pt idx="43">
                  <c:v>3.7384586685674779E-16</c:v>
                </c:pt>
                <c:pt idx="44">
                  <c:v>1.9372013100758558E-15</c:v>
                </c:pt>
                <c:pt idx="45">
                  <c:v>9.6429576323777069E-15</c:v>
                </c:pt>
                <c:pt idx="46">
                  <c:v>4.6118493024415116E-14</c:v>
                </c:pt>
                <c:pt idx="47">
                  <c:v>2.1194881900582322E-13</c:v>
                </c:pt>
                <c:pt idx="48">
                  <c:v>9.3610728394238765E-13</c:v>
                </c:pt>
                <c:pt idx="49">
                  <c:v>3.9736798991840041E-12</c:v>
                </c:pt>
                <c:pt idx="50">
                  <c:v>1.6212613988670768E-11</c:v>
                </c:pt>
                <c:pt idx="51">
                  <c:v>6.3578878386944531E-11</c:v>
                </c:pt>
                <c:pt idx="52">
                  <c:v>2.396434646892531E-10</c:v>
                </c:pt>
                <c:pt idx="53">
                  <c:v>8.6814236264785594E-10</c:v>
                </c:pt>
                <c:pt idx="54">
                  <c:v>3.0224215588480947E-9</c:v>
                </c:pt>
                <c:pt idx="55">
                  <c:v>1.0111373942328141E-8</c:v>
                </c:pt>
                <c:pt idx="56">
                  <c:v>3.2500844814626371E-8</c:v>
                </c:pt>
                <c:pt idx="57">
                  <c:v>1.0035348574340715E-7</c:v>
                </c:pt>
                <c:pt idx="58">
                  <c:v>2.9759999220458724E-7</c:v>
                </c:pt>
                <c:pt idx="59">
                  <c:v>8.4740336763340114E-7</c:v>
                </c:pt>
                <c:pt idx="60">
                  <c:v>2.3162358715312965E-6</c:v>
                </c:pt>
                <c:pt idx="61">
                  <c:v>6.0753727777869818E-6</c:v>
                </c:pt>
                <c:pt idx="62">
                  <c:v>1.5286421827980233E-5</c:v>
                </c:pt>
                <c:pt idx="63">
                  <c:v>3.6881525680206275E-5</c:v>
                </c:pt>
                <c:pt idx="64">
                  <c:v>8.5288528135476935E-5</c:v>
                </c:pt>
                <c:pt idx="65">
                  <c:v>1.8894689310013394E-4</c:v>
                </c:pt>
                <c:pt idx="66">
                  <c:v>4.0079643990937447E-4</c:v>
                </c:pt>
                <c:pt idx="67">
                  <c:v>8.1355695265186419E-4</c:v>
                </c:pt>
                <c:pt idx="68">
                  <c:v>1.5792576139712659E-3</c:v>
                </c:pt>
                <c:pt idx="69">
                  <c:v>2.9296373128742371E-3</c:v>
                </c:pt>
                <c:pt idx="70">
                  <c:v>5.1896432399486485E-3</c:v>
                </c:pt>
                <c:pt idx="71">
                  <c:v>8.7712280111808157E-3</c:v>
                </c:pt>
                <c:pt idx="72">
                  <c:v>1.4131422906902429E-2</c:v>
                </c:pt>
                <c:pt idx="73">
                  <c:v>2.168108719963116E-2</c:v>
                </c:pt>
                <c:pt idx="74">
                  <c:v>3.1642667804867075E-2</c:v>
                </c:pt>
                <c:pt idx="75">
                  <c:v>4.3877832689415669E-2</c:v>
                </c:pt>
                <c:pt idx="76">
                  <c:v>5.7733990380810063E-2</c:v>
                </c:pt>
                <c:pt idx="77">
                  <c:v>7.1980039955295658E-2</c:v>
                </c:pt>
                <c:pt idx="78">
                  <c:v>8.4899534306246208E-2</c:v>
                </c:pt>
                <c:pt idx="79">
                  <c:v>9.4571633151261603E-2</c:v>
                </c:pt>
                <c:pt idx="80">
                  <c:v>9.9300214808824727E-2</c:v>
                </c:pt>
                <c:pt idx="81">
                  <c:v>9.8074286230937988E-2</c:v>
                </c:pt>
                <c:pt idx="82">
                  <c:v>9.0898118945747466E-2</c:v>
                </c:pt>
                <c:pt idx="83">
                  <c:v>7.8851380290286918E-2</c:v>
                </c:pt>
                <c:pt idx="84">
                  <c:v>6.3832069758803692E-2</c:v>
                </c:pt>
                <c:pt idx="85">
                  <c:v>4.8061793700746307E-2</c:v>
                </c:pt>
                <c:pt idx="86">
                  <c:v>3.3531483977264902E-2</c:v>
                </c:pt>
                <c:pt idx="87">
                  <c:v>2.1583483939388894E-2</c:v>
                </c:pt>
                <c:pt idx="88">
                  <c:v>1.2753876873275253E-2</c:v>
                </c:pt>
                <c:pt idx="89">
                  <c:v>6.878495392328242E-3</c:v>
                </c:pt>
                <c:pt idx="90">
                  <c:v>3.3628199695826867E-3</c:v>
                </c:pt>
                <c:pt idx="91">
                  <c:v>1.4781626239923913E-3</c:v>
                </c:pt>
                <c:pt idx="92">
                  <c:v>5.7841146156224093E-4</c:v>
                </c:pt>
                <c:pt idx="93">
                  <c:v>1.9902329860206126E-4</c:v>
                </c:pt>
                <c:pt idx="94">
                  <c:v>5.9283535753805565E-5</c:v>
                </c:pt>
                <c:pt idx="95">
                  <c:v>1.4976893243066663E-5</c:v>
                </c:pt>
                <c:pt idx="96">
                  <c:v>3.1201860923055643E-6</c:v>
                </c:pt>
                <c:pt idx="97">
                  <c:v>5.1466987089576095E-7</c:v>
                </c:pt>
                <c:pt idx="98">
                  <c:v>6.3020800517848304E-8</c:v>
                </c:pt>
                <c:pt idx="99">
                  <c:v>5.0925899408362083E-9</c:v>
                </c:pt>
                <c:pt idx="100">
                  <c:v>2.0370359763344954E-10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3E0-4287-8FF9-E7211DD3C595}"/>
            </c:ext>
          </c:extLst>
        </c:ser>
        <c:ser>
          <c:idx val="6"/>
          <c:order val="2"/>
          <c:tx>
            <c:strRef>
              <c:f>'Aproximácia BI NR'!$G$2</c:f>
              <c:strCache>
                <c:ptCount val="1"/>
                <c:pt idx="0">
                  <c:v>f(x)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'Aproximácia BI NR'!$D$3:$D$103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'Aproximácia BI NR'!$G$3:$G$103</c:f>
              <c:numCache>
                <c:formatCode>0.000000</c:formatCode>
                <c:ptCount val="101"/>
                <c:pt idx="0">
                  <c:v>1.3802370905399409E-88</c:v>
                </c:pt>
                <c:pt idx="1">
                  <c:v>1.9854291816035647E-86</c:v>
                </c:pt>
                <c:pt idx="2">
                  <c:v>2.682944585170663E-84</c:v>
                </c:pt>
                <c:pt idx="3">
                  <c:v>3.4058506465870896E-82</c:v>
                </c:pt>
                <c:pt idx="4">
                  <c:v>4.0615900919340203E-80</c:v>
                </c:pt>
                <c:pt idx="5">
                  <c:v>4.5501234261030773E-78</c:v>
                </c:pt>
                <c:pt idx="6">
                  <c:v>4.7885812291798387E-76</c:v>
                </c:pt>
                <c:pt idx="7">
                  <c:v>4.7342058205351898E-74</c:v>
                </c:pt>
                <c:pt idx="8">
                  <c:v>4.3968738564877599E-72</c:v>
                </c:pt>
                <c:pt idx="9">
                  <c:v>3.8361667094212532E-70</c:v>
                </c:pt>
                <c:pt idx="10">
                  <c:v>3.1441809571954839E-68</c:v>
                </c:pt>
                <c:pt idx="11">
                  <c:v>2.4208851633791706E-66</c:v>
                </c:pt>
                <c:pt idx="12">
                  <c:v>1.7510455335796456E-64</c:v>
                </c:pt>
                <c:pt idx="13">
                  <c:v>1.1898090966918427E-62</c:v>
                </c:pt>
                <c:pt idx="14">
                  <c:v>7.5947542469748079E-61</c:v>
                </c:pt>
                <c:pt idx="15">
                  <c:v>4.5541440210817873E-59</c:v>
                </c:pt>
                <c:pt idx="16">
                  <c:v>2.565407681979759E-57</c:v>
                </c:pt>
                <c:pt idx="17">
                  <c:v>1.3575711993782086E-55</c:v>
                </c:pt>
                <c:pt idx="18">
                  <c:v>6.7487825614714692E-54</c:v>
                </c:pt>
                <c:pt idx="19">
                  <c:v>3.151699847346896E-52</c:v>
                </c:pt>
                <c:pt idx="20">
                  <c:v>1.3826773874611041E-50</c:v>
                </c:pt>
                <c:pt idx="21">
                  <c:v>5.6984070016378879E-49</c:v>
                </c:pt>
                <c:pt idx="22">
                  <c:v>2.2061887436487062E-47</c:v>
                </c:pt>
                <c:pt idx="23">
                  <c:v>8.0239545260498925E-46</c:v>
                </c:pt>
                <c:pt idx="24">
                  <c:v>2.7415163984724282E-44</c:v>
                </c:pt>
                <c:pt idx="25">
                  <c:v>8.7993345949884189E-43</c:v>
                </c:pt>
                <c:pt idx="26">
                  <c:v>2.6531720347880401E-41</c:v>
                </c:pt>
                <c:pt idx="27">
                  <c:v>7.5151488152493637E-40</c:v>
                </c:pt>
                <c:pt idx="28">
                  <c:v>1.9997069392517032E-38</c:v>
                </c:pt>
                <c:pt idx="29">
                  <c:v>4.9986383555463633E-37</c:v>
                </c:pt>
                <c:pt idx="30">
                  <c:v>1.1737988394937866E-35</c:v>
                </c:pt>
                <c:pt idx="31">
                  <c:v>2.5893587740520877E-34</c:v>
                </c:pt>
                <c:pt idx="32">
                  <c:v>5.3659593391576512E-33</c:v>
                </c:pt>
                <c:pt idx="33">
                  <c:v>1.0446218861356616E-31</c:v>
                </c:pt>
                <c:pt idx="34">
                  <c:v>1.9104138528968008E-30</c:v>
                </c:pt>
                <c:pt idx="35">
                  <c:v>3.2821044015385071E-29</c:v>
                </c:pt>
                <c:pt idx="36">
                  <c:v>5.2970481337733844E-28</c:v>
                </c:pt>
                <c:pt idx="37">
                  <c:v>8.0310446790535997E-27</c:v>
                </c:pt>
                <c:pt idx="38">
                  <c:v>1.1438438976302014E-25</c:v>
                </c:pt>
                <c:pt idx="39">
                  <c:v>1.5304462163117805E-24</c:v>
                </c:pt>
                <c:pt idx="40">
                  <c:v>1.923649656676605E-23</c:v>
                </c:pt>
                <c:pt idx="41">
                  <c:v>2.2713835779941663E-22</c:v>
                </c:pt>
                <c:pt idx="42">
                  <c:v>2.5194838485750025E-21</c:v>
                </c:pt>
                <c:pt idx="43">
                  <c:v>2.6253624574925924E-20</c:v>
                </c:pt>
                <c:pt idx="44">
                  <c:v>2.5699433929172291E-19</c:v>
                </c:pt>
                <c:pt idx="45">
                  <c:v>2.3632759704757133E-18</c:v>
                </c:pt>
                <c:pt idx="46">
                  <c:v>2.0415589079173875E-17</c:v>
                </c:pt>
                <c:pt idx="47">
                  <c:v>1.6567843639921881E-16</c:v>
                </c:pt>
                <c:pt idx="48">
                  <c:v>1.2630677708842232E-15</c:v>
                </c:pt>
                <c:pt idx="49">
                  <c:v>9.0457361277812933E-15</c:v>
                </c:pt>
                <c:pt idx="50">
                  <c:v>6.085801332572524E-14</c:v>
                </c:pt>
                <c:pt idx="51">
                  <c:v>3.8463448764031875E-13</c:v>
                </c:pt>
                <c:pt idx="52">
                  <c:v>2.2836801020911484E-12</c:v>
                </c:pt>
                <c:pt idx="53">
                  <c:v>1.273734489710921E-11</c:v>
                </c:pt>
                <c:pt idx="54">
                  <c:v>6.6738915369071298E-11</c:v>
                </c:pt>
                <c:pt idx="55">
                  <c:v>3.28500454538971E-10</c:v>
                </c:pt>
                <c:pt idx="56">
                  <c:v>1.5189707124558215E-9</c:v>
                </c:pt>
                <c:pt idx="57">
                  <c:v>6.5981080089264338E-9</c:v>
                </c:pt>
                <c:pt idx="58">
                  <c:v>2.692440010635819E-8</c:v>
                </c:pt>
                <c:pt idx="59">
                  <c:v>1.0321177471574996E-7</c:v>
                </c:pt>
                <c:pt idx="60">
                  <c:v>3.7167987868357442E-7</c:v>
                </c:pt>
                <c:pt idx="61">
                  <c:v>1.2573768221481113E-6</c:v>
                </c:pt>
                <c:pt idx="62">
                  <c:v>3.9959352767263687E-6</c:v>
                </c:pt>
                <c:pt idx="63">
                  <c:v>1.1929659135301238E-5</c:v>
                </c:pt>
                <c:pt idx="64">
                  <c:v>3.3457556441221342E-5</c:v>
                </c:pt>
                <c:pt idx="65">
                  <c:v>8.8148920591861352E-5</c:v>
                </c:pt>
                <c:pt idx="66">
                  <c:v>2.1817067376144004E-4</c:v>
                </c:pt>
                <c:pt idx="67">
                  <c:v>5.0726201432494203E-4</c:v>
                </c:pt>
                <c:pt idx="68">
                  <c:v>1.1079621029845019E-3</c:v>
                </c:pt>
                <c:pt idx="69">
                  <c:v>2.2733906253977632E-3</c:v>
                </c:pt>
                <c:pt idx="70">
                  <c:v>4.3820751233921351E-3</c:v>
                </c:pt>
                <c:pt idx="71">
                  <c:v>7.9349129589168545E-3</c:v>
                </c:pt>
                <c:pt idx="72">
                  <c:v>1.3497741628297016E-2</c:v>
                </c:pt>
                <c:pt idx="73">
                  <c:v>2.1569329706627883E-2</c:v>
                </c:pt>
                <c:pt idx="74">
                  <c:v>3.2379398916472936E-2</c:v>
                </c:pt>
                <c:pt idx="75">
                  <c:v>4.5662271347255479E-2</c:v>
                </c:pt>
                <c:pt idx="76">
                  <c:v>6.0492681129785841E-2</c:v>
                </c:pt>
                <c:pt idx="77">
                  <c:v>7.5284358038701107E-2</c:v>
                </c:pt>
                <c:pt idx="78">
                  <c:v>8.8016331691074881E-2</c:v>
                </c:pt>
                <c:pt idx="79">
                  <c:v>9.6667029200712309E-2</c:v>
                </c:pt>
                <c:pt idx="80">
                  <c:v>9.9735570100358176E-2</c:v>
                </c:pt>
                <c:pt idx="81">
                  <c:v>9.6667029200712309E-2</c:v>
                </c:pt>
                <c:pt idx="82">
                  <c:v>8.8016331691074881E-2</c:v>
                </c:pt>
                <c:pt idx="83">
                  <c:v>7.5284358038701107E-2</c:v>
                </c:pt>
                <c:pt idx="84">
                  <c:v>6.0492681129785841E-2</c:v>
                </c:pt>
                <c:pt idx="85">
                  <c:v>4.5662271347255479E-2</c:v>
                </c:pt>
                <c:pt idx="86">
                  <c:v>3.2379398916472936E-2</c:v>
                </c:pt>
                <c:pt idx="87">
                  <c:v>2.1569329706627883E-2</c:v>
                </c:pt>
                <c:pt idx="88">
                  <c:v>1.3497741628297016E-2</c:v>
                </c:pt>
                <c:pt idx="89">
                  <c:v>7.9349129589168545E-3</c:v>
                </c:pt>
                <c:pt idx="90">
                  <c:v>4.3820751233921351E-3</c:v>
                </c:pt>
                <c:pt idx="91">
                  <c:v>2.2733906253977632E-3</c:v>
                </c:pt>
                <c:pt idx="92">
                  <c:v>1.1079621029845019E-3</c:v>
                </c:pt>
                <c:pt idx="93">
                  <c:v>5.0726201432494203E-4</c:v>
                </c:pt>
                <c:pt idx="94">
                  <c:v>2.1817067376144004E-4</c:v>
                </c:pt>
                <c:pt idx="95">
                  <c:v>8.8148920591861352E-5</c:v>
                </c:pt>
                <c:pt idx="96">
                  <c:v>3.3457556441221342E-5</c:v>
                </c:pt>
                <c:pt idx="97">
                  <c:v>1.1929659135301238E-5</c:v>
                </c:pt>
                <c:pt idx="98">
                  <c:v>3.9959352767263687E-6</c:v>
                </c:pt>
                <c:pt idx="99">
                  <c:v>1.2573768221481113E-6</c:v>
                </c:pt>
                <c:pt idx="100">
                  <c:v>3.7167987868357442E-7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3E0-4287-8FF9-E7211DD3C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338744"/>
        <c:axId val="684339072"/>
        <c:extLst>
          <c:ext xmlns:c15="http://schemas.microsoft.com/office/drawing/2012/chart" uri="{02D57815-91ED-43cb-92C2-25804820EDAC}">
            <c15:filteredLineSeries>
              <c15:ser>
                <c:idx val="5"/>
                <c:order val="1"/>
                <c:tx>
                  <c:strRef>
                    <c:extLst>
                      <c:ext uri="{02D57815-91ED-43cb-92C2-25804820EDAC}">
                        <c15:formulaRef>
                          <c15:sqref>'Aproximácia BI NR'!$F$2</c15:sqref>
                        </c15:formulaRef>
                      </c:ext>
                    </c:extLst>
                    <c:strCache>
                      <c:ptCount val="1"/>
                      <c:pt idx="0">
                        <c:v>F(x) BI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'Aproximácia BI NR'!$D$3:$D$103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'Aproximácia BI NR'!$F$3:$F$103</c15:sqref>
                        </c15:formulaRef>
                      </c:ext>
                    </c:extLst>
                    <c:numCache>
                      <c:formatCode>0.000000</c:formatCode>
                      <c:ptCount val="101"/>
                      <c:pt idx="0">
                        <c:v>1.2676506002281995E-70</c:v>
                      </c:pt>
                      <c:pt idx="1">
                        <c:v>5.0832789069151727E-68</c:v>
                      </c:pt>
                      <c:pt idx="2">
                        <c:v>1.0090625542876545E-65</c:v>
                      </c:pt>
                      <c:pt idx="3">
                        <c:v>1.3219568787070503E-63</c:v>
                      </c:pt>
                      <c:pt idx="4">
                        <c:v>1.2857298343563047E-61</c:v>
                      </c:pt>
                      <c:pt idx="5">
                        <c:v>9.9014518230075159E-60</c:v>
                      </c:pt>
                      <c:pt idx="6">
                        <c:v>6.2885044499588628E-58</c:v>
                      </c:pt>
                      <c:pt idx="7">
                        <c:v>3.3875253506853966E-56</c:v>
                      </c:pt>
                      <c:pt idx="8">
                        <c:v>1.5798329958832366E-54</c:v>
                      </c:pt>
                      <c:pt idx="9">
                        <c:v>6.4792327350827895E-53</c:v>
                      </c:pt>
                      <c:pt idx="10">
                        <c:v>2.3657271218708559E-51</c:v>
                      </c:pt>
                      <c:pt idx="11">
                        <c:v>7.7669047669798105E-50</c:v>
                      </c:pt>
                      <c:pt idx="12">
                        <c:v>2.3116675572583476E-48</c:v>
                      </c:pt>
                      <c:pt idx="13">
                        <c:v>6.2801473355347512E-47</c:v>
                      </c:pt>
                      <c:pt idx="14">
                        <c:v>1.5664052174792607E-45</c:v>
                      </c:pt>
                      <c:pt idx="15">
                        <c:v>3.6049051082721662E-44</c:v>
                      </c:pt>
                      <c:pt idx="16">
                        <c:v>7.6880527571911335E-43</c:v>
                      </c:pt>
                      <c:pt idx="17">
                        <c:v>1.5251516539120999E-41</c:v>
                      </c:pt>
                      <c:pt idx="18">
                        <c:v>2.8237707984186353E-40</c:v>
                      </c:pt>
                      <c:pt idx="19">
                        <c:v>4.8938078568577174E-39</c:v>
                      </c:pt>
                      <c:pt idx="20">
                        <c:v>7.9598986444513495E-38</c:v>
                      </c:pt>
                      <c:pt idx="21">
                        <c:v>1.2179636125421308E-36</c:v>
                      </c:pt>
                      <c:pt idx="22">
                        <c:v>1.7569019151034969E-35</c:v>
                      </c:pt>
                      <c:pt idx="23">
                        <c:v>2.3937464210798207E-34</c:v>
                      </c:pt>
                      <c:pt idx="24">
                        <c:v>3.085880136722146E-33</c:v>
                      </c:pt>
                      <c:pt idx="25">
                        <c:v>3.7699386951230442E-32</c:v>
                      </c:pt>
                      <c:pt idx="26">
                        <c:v>4.370860040417124E-31</c:v>
                      </c:pt>
                      <c:pt idx="27">
                        <c:v>4.8155466951077453E-30</c:v>
                      </c:pt>
                      <c:pt idx="28">
                        <c:v>5.0476636759081545E-29</c:v>
                      </c:pt>
                      <c:pt idx="29">
                        <c:v>5.039384967047544E-28</c:v>
                      </c:pt>
                      <c:pt idx="30">
                        <c:v>4.796710770857136E-27</c:v>
                      </c:pt>
                      <c:pt idx="31">
                        <c:v>4.3570137763201312E-26</c:v>
                      </c:pt>
                      <c:pt idx="32">
                        <c:v>3.7799094557217099E-25</c:v>
                      </c:pt>
                      <c:pt idx="33">
                        <c:v>3.1344291190278849E-24</c:v>
                      </c:pt>
                      <c:pt idx="34">
                        <c:v>2.4861647662737711E-23</c:v>
                      </c:pt>
                      <c:pt idx="35">
                        <c:v>1.8874695324957795E-22</c:v>
                      </c:pt>
                      <c:pt idx="36">
                        <c:v>1.3723630491545399E-21</c:v>
                      </c:pt>
                      <c:pt idx="37">
                        <c:v>9.5617068478483622E-21</c:v>
                      </c:pt>
                      <c:pt idx="38">
                        <c:v>6.3869986776027643E-20</c:v>
                      </c:pt>
                      <c:pt idx="39">
                        <c:v>4.0921494631932089E-19</c:v>
                      </c:pt>
                      <c:pt idx="40">
                        <c:v>2.5158191995334163E-18</c:v>
                      </c:pt>
                      <c:pt idx="41">
                        <c:v>1.4847161169567455E-17</c:v>
                      </c:pt>
                      <c:pt idx="42">
                        <c:v>8.4137558905947699E-17</c:v>
                      </c:pt>
                      <c:pt idx="43">
                        <c:v>4.5798342576269604E-16</c:v>
                      </c:pt>
                      <c:pt idx="44">
                        <c:v>2.3951847358385859E-15</c:v>
                      </c:pt>
                      <c:pt idx="45">
                        <c:v>1.2038142368216359E-14</c:v>
                      </c:pt>
                      <c:pt idx="46">
                        <c:v>5.8156635392631681E-14</c:v>
                      </c:pt>
                      <c:pt idx="47">
                        <c:v>2.7010545439845344E-13</c:v>
                      </c:pt>
                      <c:pt idx="48">
                        <c:v>1.2062127383408401E-12</c:v>
                      </c:pt>
                      <c:pt idx="49">
                        <c:v>5.1798926375248962E-12</c:v>
                      </c:pt>
                      <c:pt idx="50">
                        <c:v>2.1392506626195649E-11</c:v>
                      </c:pt>
                      <c:pt idx="51">
                        <c:v>8.4971385013139101E-11</c:v>
                      </c:pt>
                      <c:pt idx="52">
                        <c:v>3.2461484970239156E-10</c:v>
                      </c:pt>
                      <c:pt idx="53">
                        <c:v>1.1927572123502469E-9</c:v>
                      </c:pt>
                      <c:pt idx="54">
                        <c:v>4.2151787711983577E-9</c:v>
                      </c:pt>
                      <c:pt idx="55">
                        <c:v>1.4326552713526489E-8</c:v>
                      </c:pt>
                      <c:pt idx="56">
                        <c:v>4.6827397528152694E-8</c:v>
                      </c:pt>
                      <c:pt idx="57">
                        <c:v>1.4718088327156003E-7</c:v>
                      </c:pt>
                      <c:pt idx="58">
                        <c:v>4.4478087547614897E-7</c:v>
                      </c:pt>
                      <c:pt idx="59">
                        <c:v>1.2921842431095497E-6</c:v>
                      </c:pt>
                      <c:pt idx="60">
                        <c:v>3.6084201146408401E-6</c:v>
                      </c:pt>
                      <c:pt idx="61">
                        <c:v>9.6837928924278588E-6</c:v>
                      </c:pt>
                      <c:pt idx="62">
                        <c:v>2.4970214720408012E-5</c:v>
                      </c:pt>
                      <c:pt idx="63">
                        <c:v>6.1851740400614409E-5</c:v>
                      </c:pt>
                      <c:pt idx="64">
                        <c:v>1.4714026853609107E-4</c:v>
                      </c:pt>
                      <c:pt idx="65">
                        <c:v>3.3608716163622529E-4</c:v>
                      </c:pt>
                      <c:pt idx="66">
                        <c:v>7.3688360154559862E-4</c:v>
                      </c:pt>
                      <c:pt idx="67">
                        <c:v>1.5504405541974632E-3</c:v>
                      </c:pt>
                      <c:pt idx="68">
                        <c:v>3.1296981681687196E-3</c:v>
                      </c:pt>
                      <c:pt idx="69">
                        <c:v>6.0593354810429744E-3</c:v>
                      </c:pt>
                      <c:pt idx="70">
                        <c:v>1.1248978720991608E-2</c:v>
                      </c:pt>
                      <c:pt idx="71">
                        <c:v>2.0020206732172412E-2</c:v>
                      </c:pt>
                      <c:pt idx="72">
                        <c:v>3.4151629639074844E-2</c:v>
                      </c:pt>
                      <c:pt idx="73">
                        <c:v>5.5832716838706019E-2</c:v>
                      </c:pt>
                      <c:pt idx="74">
                        <c:v>8.747538464357299E-2</c:v>
                      </c:pt>
                      <c:pt idx="75">
                        <c:v>0.13135321733298877</c:v>
                      </c:pt>
                      <c:pt idx="76">
                        <c:v>0.18908720771379869</c:v>
                      </c:pt>
                      <c:pt idx="77">
                        <c:v>0.2610672476690945</c:v>
                      </c:pt>
                      <c:pt idx="78">
                        <c:v>0.34596678197534042</c:v>
                      </c:pt>
                      <c:pt idx="79">
                        <c:v>0.44053841512660202</c:v>
                      </c:pt>
                      <c:pt idx="80">
                        <c:v>0.53983862993542475</c:v>
                      </c:pt>
                      <c:pt idx="81">
                        <c:v>0.63791291616636436</c:v>
                      </c:pt>
                      <c:pt idx="82">
                        <c:v>0.72881103511211165</c:v>
                      </c:pt>
                      <c:pt idx="83">
                        <c:v>0.80766241540239858</c:v>
                      </c:pt>
                      <c:pt idx="84">
                        <c:v>0.87149448516120243</c:v>
                      </c:pt>
                      <c:pt idx="85">
                        <c:v>0.91955627886194913</c:v>
                      </c:pt>
                      <c:pt idx="86">
                        <c:v>0.95308776283921404</c:v>
                      </c:pt>
                      <c:pt idx="87">
                        <c:v>0.97467124677860295</c:v>
                      </c:pt>
                      <c:pt idx="88">
                        <c:v>0.98742512365187818</c:v>
                      </c:pt>
                      <c:pt idx="89">
                        <c:v>0.9943036190442065</c:v>
                      </c:pt>
                      <c:pt idx="90">
                        <c:v>0.99766643901378915</c:v>
                      </c:pt>
                      <c:pt idx="91">
                        <c:v>0.99914460163778163</c:v>
                      </c:pt>
                      <c:pt idx="92">
                        <c:v>0.99972301309934375</c:v>
                      </c:pt>
                      <c:pt idx="93">
                        <c:v>0.99992203639794586</c:v>
                      </c:pt>
                      <c:pt idx="94">
                        <c:v>0.99998131993369965</c:v>
                      </c:pt>
                      <c:pt idx="95">
                        <c:v>0.99999629682694269</c:v>
                      </c:pt>
                      <c:pt idx="96">
                        <c:v>0.99999941701303507</c:v>
                      </c:pt>
                      <c:pt idx="97">
                        <c:v>0.99999993168290602</c:v>
                      </c:pt>
                      <c:pt idx="98">
                        <c:v>0.99999999470370649</c:v>
                      </c:pt>
                      <c:pt idx="99">
                        <c:v>0.99999999979629639</c:v>
                      </c:pt>
                      <c:pt idx="10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D3E0-4287-8FF9-E7211DD3C595}"/>
                  </c:ext>
                </c:extLst>
              </c15:ser>
            </c15:filteredLineSeries>
            <c15:filteredLineSeries>
              <c15:ser>
                <c:idx val="7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NR'!$H$2</c15:sqref>
                        </c15:formulaRef>
                      </c:ext>
                    </c:extLst>
                    <c:strCache>
                      <c:ptCount val="1"/>
                      <c:pt idx="0">
                        <c:v>F(x) NR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NR'!$D$3:$D$103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NR'!$H$3:$H$103</c15:sqref>
                        </c15:formulaRef>
                      </c:ext>
                    </c:extLst>
                    <c:numCache>
                      <c:formatCode>0.000000</c:formatCode>
                      <c:ptCount val="101"/>
                      <c:pt idx="0">
                        <c:v>2.753624118606156E-89</c:v>
                      </c:pt>
                      <c:pt idx="1">
                        <c:v>4.0108917631135899E-87</c:v>
                      </c:pt>
                      <c:pt idx="2">
                        <c:v>5.4891154756602573E-85</c:v>
                      </c:pt>
                      <c:pt idx="3">
                        <c:v>7.0581465785830808E-83</c:v>
                      </c:pt>
                      <c:pt idx="4">
                        <c:v>8.5272239526309754E-81</c:v>
                      </c:pt>
                      <c:pt idx="5">
                        <c:v>9.6795514791342025E-79</c:v>
                      </c:pt>
                      <c:pt idx="6">
                        <c:v>1.0323698689563001E-76</c:v>
                      </c:pt>
                      <c:pt idx="7">
                        <c:v>1.0345463677569806E-74</c:v>
                      </c:pt>
                      <c:pt idx="8">
                        <c:v>9.7409489189368705E-73</c:v>
                      </c:pt>
                      <c:pt idx="9">
                        <c:v>8.6177013091948133E-71</c:v>
                      </c:pt>
                      <c:pt idx="10">
                        <c:v>7.1634587662350353E-69</c:v>
                      </c:pt>
                      <c:pt idx="11">
                        <c:v>5.5949683949047257E-67</c:v>
                      </c:pt>
                      <c:pt idx="12">
                        <c:v>4.1059962020987901E-65</c:v>
                      </c:pt>
                      <c:pt idx="13">
                        <c:v>2.8313142815439691E-63</c:v>
                      </c:pt>
                      <c:pt idx="14">
                        <c:v>1.8344630031647307E-61</c:v>
                      </c:pt>
                      <c:pt idx="15">
                        <c:v>1.1168221242476203E-59</c:v>
                      </c:pt>
                      <c:pt idx="16">
                        <c:v>6.3887544005379043E-58</c:v>
                      </c:pt>
                      <c:pt idx="17">
                        <c:v>3.434065749272041E-56</c:v>
                      </c:pt>
                      <c:pt idx="18">
                        <c:v>1.7344607917938206E-54</c:v>
                      </c:pt>
                      <c:pt idx="19">
                        <c:v>8.2316562905314124E-53</c:v>
                      </c:pt>
                      <c:pt idx="20">
                        <c:v>3.6709661993126968E-51</c:v>
                      </c:pt>
                      <c:pt idx="21">
                        <c:v>1.5383235465068222E-49</c:v>
                      </c:pt>
                      <c:pt idx="22">
                        <c:v>6.0574947644150487E-48</c:v>
                      </c:pt>
                      <c:pt idx="23">
                        <c:v>2.2414062326935756E-46</c:v>
                      </c:pt>
                      <c:pt idx="24">
                        <c:v>7.7935368191928013E-45</c:v>
                      </c:pt>
                      <c:pt idx="25">
                        <c:v>2.5464763159739575E-43</c:v>
                      </c:pt>
                      <c:pt idx="26">
                        <c:v>7.8188073056577831E-42</c:v>
                      </c:pt>
                      <c:pt idx="27">
                        <c:v>2.2560163396857573E-40</c:v>
                      </c:pt>
                      <c:pt idx="28">
                        <c:v>6.1171643995497067E-39</c:v>
                      </c:pt>
                      <c:pt idx="29">
                        <c:v>1.5587262888812E-37</c:v>
                      </c:pt>
                      <c:pt idx="30">
                        <c:v>3.7325642988777144E-36</c:v>
                      </c:pt>
                      <c:pt idx="31">
                        <c:v>8.3997960636332954E-35</c:v>
                      </c:pt>
                      <c:pt idx="32">
                        <c:v>1.7764821120776537E-33</c:v>
                      </c:pt>
                      <c:pt idx="33">
                        <c:v>3.5309423958858917E-32</c:v>
                      </c:pt>
                      <c:pt idx="34">
                        <c:v>6.595771446113675E-31</c:v>
                      </c:pt>
                      <c:pt idx="35">
                        <c:v>1.1579603185686336E-29</c:v>
                      </c:pt>
                      <c:pt idx="36">
                        <c:v>1.9106595744986622E-28</c:v>
                      </c:pt>
                      <c:pt idx="37">
                        <c:v>2.9630808780943598E-27</c:v>
                      </c:pt>
                      <c:pt idx="38">
                        <c:v>4.3190063178092006E-26</c:v>
                      </c:pt>
                      <c:pt idx="39">
                        <c:v>5.9171769073655357E-25</c:v>
                      </c:pt>
                      <c:pt idx="40">
                        <c:v>7.6198530241604755E-24</c:v>
                      </c:pt>
                      <c:pt idx="41">
                        <c:v>9.2234135249393585E-23</c:v>
                      </c:pt>
                      <c:pt idx="42">
                        <c:v>1.0494515075362608E-21</c:v>
                      </c:pt>
                      <c:pt idx="43">
                        <c:v>1.1224633591327901E-20</c:v>
                      </c:pt>
                      <c:pt idx="44">
                        <c:v>1.1285884059538324E-19</c:v>
                      </c:pt>
                      <c:pt idx="45">
                        <c:v>1.0667637375474852E-18</c:v>
                      </c:pt>
                      <c:pt idx="46">
                        <c:v>9.4795348222032468E-18</c:v>
                      </c:pt>
                      <c:pt idx="47">
                        <c:v>7.9197263146424757E-17</c:v>
                      </c:pt>
                      <c:pt idx="48">
                        <c:v>6.2209605742717375E-16</c:v>
                      </c:pt>
                      <c:pt idx="49">
                        <c:v>4.5946274357785631E-15</c:v>
                      </c:pt>
                      <c:pt idx="50">
                        <c:v>3.190891672910885E-14</c:v>
                      </c:pt>
                      <c:pt idx="51">
                        <c:v>2.0838581586720541E-13</c:v>
                      </c:pt>
                      <c:pt idx="52">
                        <c:v>1.2798125438858352E-12</c:v>
                      </c:pt>
                      <c:pt idx="53">
                        <c:v>7.3922577780177942E-12</c:v>
                      </c:pt>
                      <c:pt idx="54">
                        <c:v>4.0160005838590881E-11</c:v>
                      </c:pt>
                      <c:pt idx="55">
                        <c:v>2.0522634252189383E-10</c:v>
                      </c:pt>
                      <c:pt idx="56">
                        <c:v>9.8658764503769437E-10</c:v>
                      </c:pt>
                      <c:pt idx="57">
                        <c:v>4.4621724539016125E-9</c:v>
                      </c:pt>
                      <c:pt idx="58">
                        <c:v>1.8989562465887691E-8</c:v>
                      </c:pt>
                      <c:pt idx="59">
                        <c:v>7.6049605164887013E-8</c:v>
                      </c:pt>
                      <c:pt idx="60">
                        <c:v>2.8665157187919333E-7</c:v>
                      </c:pt>
                      <c:pt idx="61">
                        <c:v>1.0170832425687034E-6</c:v>
                      </c:pt>
                      <c:pt idx="62">
                        <c:v>3.3976731247300535E-6</c:v>
                      </c:pt>
                      <c:pt idx="63">
                        <c:v>1.06885257749344E-5</c:v>
                      </c:pt>
                      <c:pt idx="64">
                        <c:v>3.1671241833119857E-5</c:v>
                      </c:pt>
                      <c:pt idx="65">
                        <c:v>8.841728520080376E-5</c:v>
                      </c:pt>
                      <c:pt idx="66">
                        <c:v>2.3262907903552504E-4</c:v>
                      </c:pt>
                      <c:pt idx="67">
                        <c:v>5.7702504239076603E-4</c:v>
                      </c:pt>
                      <c:pt idx="68">
                        <c:v>1.3498980316300933E-3</c:v>
                      </c:pt>
                      <c:pt idx="69">
                        <c:v>2.9797632350545551E-3</c:v>
                      </c:pt>
                      <c:pt idx="70">
                        <c:v>6.2096653257761331E-3</c:v>
                      </c:pt>
                      <c:pt idx="71">
                        <c:v>1.2224472655044696E-2</c:v>
                      </c:pt>
                      <c:pt idx="72">
                        <c:v>2.2750131948179191E-2</c:v>
                      </c:pt>
                      <c:pt idx="73">
                        <c:v>4.00591568638171E-2</c:v>
                      </c:pt>
                      <c:pt idx="74">
                        <c:v>6.6807201268858057E-2</c:v>
                      </c:pt>
                      <c:pt idx="75">
                        <c:v>0.10564977366685525</c:v>
                      </c:pt>
                      <c:pt idx="76">
                        <c:v>0.15865525393145699</c:v>
                      </c:pt>
                      <c:pt idx="77">
                        <c:v>0.22662735237686821</c:v>
                      </c:pt>
                      <c:pt idx="78">
                        <c:v>0.30853753872598688</c:v>
                      </c:pt>
                      <c:pt idx="79">
                        <c:v>0.4012936743170763</c:v>
                      </c:pt>
                      <c:pt idx="80">
                        <c:v>0.5</c:v>
                      </c:pt>
                      <c:pt idx="81">
                        <c:v>0.5987063256829237</c:v>
                      </c:pt>
                      <c:pt idx="82">
                        <c:v>0.69146246127401312</c:v>
                      </c:pt>
                      <c:pt idx="83">
                        <c:v>0.77337264762313174</c:v>
                      </c:pt>
                      <c:pt idx="84">
                        <c:v>0.84134474606854304</c:v>
                      </c:pt>
                      <c:pt idx="85">
                        <c:v>0.89435022633314476</c:v>
                      </c:pt>
                      <c:pt idx="86">
                        <c:v>0.93319279873114191</c:v>
                      </c:pt>
                      <c:pt idx="87">
                        <c:v>0.95994084313618289</c:v>
                      </c:pt>
                      <c:pt idx="88">
                        <c:v>0.97724986805182079</c:v>
                      </c:pt>
                      <c:pt idx="89">
                        <c:v>0.98777552734495533</c:v>
                      </c:pt>
                      <c:pt idx="90">
                        <c:v>0.99379033467422384</c:v>
                      </c:pt>
                      <c:pt idx="91">
                        <c:v>0.99702023676494544</c:v>
                      </c:pt>
                      <c:pt idx="92">
                        <c:v>0.9986501019683699</c:v>
                      </c:pt>
                      <c:pt idx="93">
                        <c:v>0.99942297495760923</c:v>
                      </c:pt>
                      <c:pt idx="94">
                        <c:v>0.99976737092096446</c:v>
                      </c:pt>
                      <c:pt idx="95">
                        <c:v>0.99991158271479919</c:v>
                      </c:pt>
                      <c:pt idx="96">
                        <c:v>0.99996832875816688</c:v>
                      </c:pt>
                      <c:pt idx="97">
                        <c:v>0.9999893114742251</c:v>
                      </c:pt>
                      <c:pt idx="98">
                        <c:v>0.99999660232687526</c:v>
                      </c:pt>
                      <c:pt idx="99">
                        <c:v>0.99999898291675748</c:v>
                      </c:pt>
                      <c:pt idx="100">
                        <c:v>0.99999971334842808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3E0-4287-8FF9-E7211DD3C595}"/>
                  </c:ext>
                </c:extLst>
              </c15:ser>
            </c15:filteredLineSeries>
            <c15:filteredLine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NR'!$E$2</c15:sqref>
                        </c15:formulaRef>
                      </c:ext>
                    </c:extLst>
                    <c:strCache>
                      <c:ptCount val="1"/>
                      <c:pt idx="0">
                        <c:v>pi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NR'!$D$3:$D$103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NR'!$E$3:$E$103</c15:sqref>
                        </c15:formulaRef>
                      </c:ext>
                    </c:extLst>
                    <c:numCache>
                      <c:formatCode>0.000000</c:formatCode>
                      <c:ptCount val="101"/>
                      <c:pt idx="0">
                        <c:v>1.2676506002281995E-70</c:v>
                      </c:pt>
                      <c:pt idx="1">
                        <c:v>5.0706024009127163E-68</c:v>
                      </c:pt>
                      <c:pt idx="2">
                        <c:v>1.0039792753807395E-65</c:v>
                      </c:pt>
                      <c:pt idx="3">
                        <c:v>1.3118662531641892E-63</c:v>
                      </c:pt>
                      <c:pt idx="4">
                        <c:v>1.2725102655692404E-61</c:v>
                      </c:pt>
                      <c:pt idx="5">
                        <c:v>9.7728788395717222E-60</c:v>
                      </c:pt>
                      <c:pt idx="6">
                        <c:v>6.1894899317288268E-58</c:v>
                      </c:pt>
                      <c:pt idx="7">
                        <c:v>3.324640306185708E-56</c:v>
                      </c:pt>
                      <c:pt idx="8">
                        <c:v>1.5459577423763904E-54</c:v>
                      </c:pt>
                      <c:pt idx="9">
                        <c:v>6.3212494354945442E-53</c:v>
                      </c:pt>
                      <c:pt idx="10">
                        <c:v>2.3009347945200567E-51</c:v>
                      </c:pt>
                      <c:pt idx="11">
                        <c:v>7.5303320547928692E-50</c:v>
                      </c:pt>
                      <c:pt idx="12">
                        <c:v>2.2339985095885734E-48</c:v>
                      </c:pt>
                      <c:pt idx="13">
                        <c:v>6.0489805798088843E-47</c:v>
                      </c:pt>
                      <c:pt idx="14">
                        <c:v>1.5036037441239525E-45</c:v>
                      </c:pt>
                      <c:pt idx="15">
                        <c:v>3.4482645865242069E-44</c:v>
                      </c:pt>
                      <c:pt idx="16">
                        <c:v>7.3275622463638934E-43</c:v>
                      </c:pt>
                      <c:pt idx="17">
                        <c:v>1.4482711263401825E-41</c:v>
                      </c:pt>
                      <c:pt idx="18">
                        <c:v>2.6712556330274129E-40</c:v>
                      </c:pt>
                      <c:pt idx="19">
                        <c:v>4.6114307770157161E-39</c:v>
                      </c:pt>
                      <c:pt idx="20">
                        <c:v>7.4705178587655428E-38</c:v>
                      </c:pt>
                      <c:pt idx="21">
                        <c:v>1.1383646260975993E-36</c:v>
                      </c:pt>
                      <c:pt idx="22">
                        <c:v>1.6351055538493085E-35</c:v>
                      </c:pt>
                      <c:pt idx="23">
                        <c:v>2.2180562295694644E-34</c:v>
                      </c:pt>
                      <c:pt idx="24">
                        <c:v>2.8465054946141651E-33</c:v>
                      </c:pt>
                      <c:pt idx="25">
                        <c:v>3.4613506814508011E-32</c:v>
                      </c:pt>
                      <c:pt idx="26">
                        <c:v>3.9938661709047964E-31</c:v>
                      </c:pt>
                      <c:pt idx="27">
                        <c:v>4.3784606910659768E-30</c:v>
                      </c:pt>
                      <c:pt idx="28">
                        <c:v>4.5661090063974346E-29</c:v>
                      </c:pt>
                      <c:pt idx="29">
                        <c:v>4.5346185994566999E-28</c:v>
                      </c:pt>
                      <c:pt idx="30">
                        <c:v>4.2927722741523951E-27</c:v>
                      </c:pt>
                      <c:pt idx="31">
                        <c:v>3.8773426992343521E-26</c:v>
                      </c:pt>
                      <c:pt idx="32">
                        <c:v>3.344208078089663E-25</c:v>
                      </c:pt>
                      <c:pt idx="33">
                        <c:v>2.7564381734557039E-24</c:v>
                      </c:pt>
                      <c:pt idx="34">
                        <c:v>2.172721854370959E-23</c:v>
                      </c:pt>
                      <c:pt idx="35">
                        <c:v>1.6388530558683996E-22</c:v>
                      </c:pt>
                      <c:pt idx="36">
                        <c:v>1.1836160959049489E-21</c:v>
                      </c:pt>
                      <c:pt idx="37">
                        <c:v>8.18934379869379E-21</c:v>
                      </c:pt>
                      <c:pt idx="38">
                        <c:v>5.4308279928179232E-20</c:v>
                      </c:pt>
                      <c:pt idx="39">
                        <c:v>3.4534495954329355E-19</c:v>
                      </c:pt>
                      <c:pt idx="40">
                        <c:v>2.1066042532141223E-18</c:v>
                      </c:pt>
                      <c:pt idx="41">
                        <c:v>1.2331341970033807E-17</c:v>
                      </c:pt>
                      <c:pt idx="42">
                        <c:v>6.9290397736380423E-17</c:v>
                      </c:pt>
                      <c:pt idx="43">
                        <c:v>3.7384586685674779E-16</c:v>
                      </c:pt>
                      <c:pt idx="44">
                        <c:v>1.9372013100758558E-15</c:v>
                      </c:pt>
                      <c:pt idx="45">
                        <c:v>9.6429576323777069E-15</c:v>
                      </c:pt>
                      <c:pt idx="46">
                        <c:v>4.6118493024415116E-14</c:v>
                      </c:pt>
                      <c:pt idx="47">
                        <c:v>2.1194881900582322E-13</c:v>
                      </c:pt>
                      <c:pt idx="48">
                        <c:v>9.3610728394238765E-13</c:v>
                      </c:pt>
                      <c:pt idx="49">
                        <c:v>3.9736798991840041E-12</c:v>
                      </c:pt>
                      <c:pt idx="50">
                        <c:v>1.6212613988670768E-11</c:v>
                      </c:pt>
                      <c:pt idx="51">
                        <c:v>6.3578878386944531E-11</c:v>
                      </c:pt>
                      <c:pt idx="52">
                        <c:v>2.396434646892531E-10</c:v>
                      </c:pt>
                      <c:pt idx="53">
                        <c:v>8.6814236264785594E-10</c:v>
                      </c:pt>
                      <c:pt idx="54">
                        <c:v>3.0224215588480947E-9</c:v>
                      </c:pt>
                      <c:pt idx="55">
                        <c:v>1.0111373942328141E-8</c:v>
                      </c:pt>
                      <c:pt idx="56">
                        <c:v>3.2500844814626371E-8</c:v>
                      </c:pt>
                      <c:pt idx="57">
                        <c:v>1.0035348574340715E-7</c:v>
                      </c:pt>
                      <c:pt idx="58">
                        <c:v>2.9759999220458724E-7</c:v>
                      </c:pt>
                      <c:pt idx="59">
                        <c:v>8.4740336763340114E-7</c:v>
                      </c:pt>
                      <c:pt idx="60">
                        <c:v>2.3162358715312965E-6</c:v>
                      </c:pt>
                      <c:pt idx="61">
                        <c:v>6.0753727777869818E-6</c:v>
                      </c:pt>
                      <c:pt idx="62">
                        <c:v>1.5286421827980233E-5</c:v>
                      </c:pt>
                      <c:pt idx="63">
                        <c:v>3.6881525680206275E-5</c:v>
                      </c:pt>
                      <c:pt idx="64">
                        <c:v>8.5288528135476935E-5</c:v>
                      </c:pt>
                      <c:pt idx="65">
                        <c:v>1.8894689310013394E-4</c:v>
                      </c:pt>
                      <c:pt idx="66">
                        <c:v>4.0079643990937447E-4</c:v>
                      </c:pt>
                      <c:pt idx="67">
                        <c:v>8.1355695265186419E-4</c:v>
                      </c:pt>
                      <c:pt idx="68">
                        <c:v>1.5792576139712659E-3</c:v>
                      </c:pt>
                      <c:pt idx="69">
                        <c:v>2.9296373128742371E-3</c:v>
                      </c:pt>
                      <c:pt idx="70">
                        <c:v>5.1896432399486485E-3</c:v>
                      </c:pt>
                      <c:pt idx="71">
                        <c:v>8.7712280111808157E-3</c:v>
                      </c:pt>
                      <c:pt idx="72">
                        <c:v>1.4131422906902429E-2</c:v>
                      </c:pt>
                      <c:pt idx="73">
                        <c:v>2.168108719963116E-2</c:v>
                      </c:pt>
                      <c:pt idx="74">
                        <c:v>3.1642667804867075E-2</c:v>
                      </c:pt>
                      <c:pt idx="75">
                        <c:v>4.3877832689415669E-2</c:v>
                      </c:pt>
                      <c:pt idx="76">
                        <c:v>5.7733990380810063E-2</c:v>
                      </c:pt>
                      <c:pt idx="77">
                        <c:v>7.1980039955295658E-2</c:v>
                      </c:pt>
                      <c:pt idx="78">
                        <c:v>8.4899534306246208E-2</c:v>
                      </c:pt>
                      <c:pt idx="79">
                        <c:v>9.4571633151261603E-2</c:v>
                      </c:pt>
                      <c:pt idx="80">
                        <c:v>9.9300214808824727E-2</c:v>
                      </c:pt>
                      <c:pt idx="81">
                        <c:v>9.8074286230937988E-2</c:v>
                      </c:pt>
                      <c:pt idx="82">
                        <c:v>9.0898118945747466E-2</c:v>
                      </c:pt>
                      <c:pt idx="83">
                        <c:v>7.8851380290286918E-2</c:v>
                      </c:pt>
                      <c:pt idx="84">
                        <c:v>6.3832069758803692E-2</c:v>
                      </c:pt>
                      <c:pt idx="85">
                        <c:v>4.8061793700746307E-2</c:v>
                      </c:pt>
                      <c:pt idx="86">
                        <c:v>3.3531483977264902E-2</c:v>
                      </c:pt>
                      <c:pt idx="87">
                        <c:v>2.1583483939388894E-2</c:v>
                      </c:pt>
                      <c:pt idx="88">
                        <c:v>1.2753876873275253E-2</c:v>
                      </c:pt>
                      <c:pt idx="89">
                        <c:v>6.878495392328242E-3</c:v>
                      </c:pt>
                      <c:pt idx="90">
                        <c:v>3.3628199695826867E-3</c:v>
                      </c:pt>
                      <c:pt idx="91">
                        <c:v>1.4781626239923913E-3</c:v>
                      </c:pt>
                      <c:pt idx="92">
                        <c:v>5.7841146156224093E-4</c:v>
                      </c:pt>
                      <c:pt idx="93">
                        <c:v>1.9902329860206126E-4</c:v>
                      </c:pt>
                      <c:pt idx="94">
                        <c:v>5.9283535753805565E-5</c:v>
                      </c:pt>
                      <c:pt idx="95">
                        <c:v>1.4976893243066663E-5</c:v>
                      </c:pt>
                      <c:pt idx="96">
                        <c:v>3.1201860923055643E-6</c:v>
                      </c:pt>
                      <c:pt idx="97">
                        <c:v>5.1466987089576095E-7</c:v>
                      </c:pt>
                      <c:pt idx="98">
                        <c:v>6.3020800517848304E-8</c:v>
                      </c:pt>
                      <c:pt idx="99">
                        <c:v>5.0925899408362083E-9</c:v>
                      </c:pt>
                      <c:pt idx="100">
                        <c:v>2.0370359763344954E-10</c:v>
                      </c:pt>
                    </c:numCache>
                  </c:numRef>
                </c: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3E0-4287-8FF9-E7211DD3C595}"/>
                  </c:ext>
                </c:extLst>
              </c15:ser>
            </c15:filteredLineSeries>
            <c15:filteredLineSeries>
              <c15:ser>
                <c:idx val="1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NR'!$F$2</c15:sqref>
                        </c15:formulaRef>
                      </c:ext>
                    </c:extLst>
                    <c:strCache>
                      <c:ptCount val="1"/>
                      <c:pt idx="0">
                        <c:v>F(x) BI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NR'!$D$3:$D$103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NR'!$F$3:$F$103</c15:sqref>
                        </c15:formulaRef>
                      </c:ext>
                    </c:extLst>
                    <c:numCache>
                      <c:formatCode>0.000000</c:formatCode>
                      <c:ptCount val="101"/>
                      <c:pt idx="0">
                        <c:v>1.2676506002281995E-70</c:v>
                      </c:pt>
                      <c:pt idx="1">
                        <c:v>5.0832789069151727E-68</c:v>
                      </c:pt>
                      <c:pt idx="2">
                        <c:v>1.0090625542876545E-65</c:v>
                      </c:pt>
                      <c:pt idx="3">
                        <c:v>1.3219568787070503E-63</c:v>
                      </c:pt>
                      <c:pt idx="4">
                        <c:v>1.2857298343563047E-61</c:v>
                      </c:pt>
                      <c:pt idx="5">
                        <c:v>9.9014518230075159E-60</c:v>
                      </c:pt>
                      <c:pt idx="6">
                        <c:v>6.2885044499588628E-58</c:v>
                      </c:pt>
                      <c:pt idx="7">
                        <c:v>3.3875253506853966E-56</c:v>
                      </c:pt>
                      <c:pt idx="8">
                        <c:v>1.5798329958832366E-54</c:v>
                      </c:pt>
                      <c:pt idx="9">
                        <c:v>6.4792327350827895E-53</c:v>
                      </c:pt>
                      <c:pt idx="10">
                        <c:v>2.3657271218708559E-51</c:v>
                      </c:pt>
                      <c:pt idx="11">
                        <c:v>7.7669047669798105E-50</c:v>
                      </c:pt>
                      <c:pt idx="12">
                        <c:v>2.3116675572583476E-48</c:v>
                      </c:pt>
                      <c:pt idx="13">
                        <c:v>6.2801473355347512E-47</c:v>
                      </c:pt>
                      <c:pt idx="14">
                        <c:v>1.5664052174792607E-45</c:v>
                      </c:pt>
                      <c:pt idx="15">
                        <c:v>3.6049051082721662E-44</c:v>
                      </c:pt>
                      <c:pt idx="16">
                        <c:v>7.6880527571911335E-43</c:v>
                      </c:pt>
                      <c:pt idx="17">
                        <c:v>1.5251516539120999E-41</c:v>
                      </c:pt>
                      <c:pt idx="18">
                        <c:v>2.8237707984186353E-40</c:v>
                      </c:pt>
                      <c:pt idx="19">
                        <c:v>4.8938078568577174E-39</c:v>
                      </c:pt>
                      <c:pt idx="20">
                        <c:v>7.9598986444513495E-38</c:v>
                      </c:pt>
                      <c:pt idx="21">
                        <c:v>1.2179636125421308E-36</c:v>
                      </c:pt>
                      <c:pt idx="22">
                        <c:v>1.7569019151034969E-35</c:v>
                      </c:pt>
                      <c:pt idx="23">
                        <c:v>2.3937464210798207E-34</c:v>
                      </c:pt>
                      <c:pt idx="24">
                        <c:v>3.085880136722146E-33</c:v>
                      </c:pt>
                      <c:pt idx="25">
                        <c:v>3.7699386951230442E-32</c:v>
                      </c:pt>
                      <c:pt idx="26">
                        <c:v>4.370860040417124E-31</c:v>
                      </c:pt>
                      <c:pt idx="27">
                        <c:v>4.8155466951077453E-30</c:v>
                      </c:pt>
                      <c:pt idx="28">
                        <c:v>5.0476636759081545E-29</c:v>
                      </c:pt>
                      <c:pt idx="29">
                        <c:v>5.039384967047544E-28</c:v>
                      </c:pt>
                      <c:pt idx="30">
                        <c:v>4.796710770857136E-27</c:v>
                      </c:pt>
                      <c:pt idx="31">
                        <c:v>4.3570137763201312E-26</c:v>
                      </c:pt>
                      <c:pt idx="32">
                        <c:v>3.7799094557217099E-25</c:v>
                      </c:pt>
                      <c:pt idx="33">
                        <c:v>3.1344291190278849E-24</c:v>
                      </c:pt>
                      <c:pt idx="34">
                        <c:v>2.4861647662737711E-23</c:v>
                      </c:pt>
                      <c:pt idx="35">
                        <c:v>1.8874695324957795E-22</c:v>
                      </c:pt>
                      <c:pt idx="36">
                        <c:v>1.3723630491545399E-21</c:v>
                      </c:pt>
                      <c:pt idx="37">
                        <c:v>9.5617068478483622E-21</c:v>
                      </c:pt>
                      <c:pt idx="38">
                        <c:v>6.3869986776027643E-20</c:v>
                      </c:pt>
                      <c:pt idx="39">
                        <c:v>4.0921494631932089E-19</c:v>
                      </c:pt>
                      <c:pt idx="40">
                        <c:v>2.5158191995334163E-18</c:v>
                      </c:pt>
                      <c:pt idx="41">
                        <c:v>1.4847161169567455E-17</c:v>
                      </c:pt>
                      <c:pt idx="42">
                        <c:v>8.4137558905947699E-17</c:v>
                      </c:pt>
                      <c:pt idx="43">
                        <c:v>4.5798342576269604E-16</c:v>
                      </c:pt>
                      <c:pt idx="44">
                        <c:v>2.3951847358385859E-15</c:v>
                      </c:pt>
                      <c:pt idx="45">
                        <c:v>1.2038142368216359E-14</c:v>
                      </c:pt>
                      <c:pt idx="46">
                        <c:v>5.8156635392631681E-14</c:v>
                      </c:pt>
                      <c:pt idx="47">
                        <c:v>2.7010545439845344E-13</c:v>
                      </c:pt>
                      <c:pt idx="48">
                        <c:v>1.2062127383408401E-12</c:v>
                      </c:pt>
                      <c:pt idx="49">
                        <c:v>5.1798926375248962E-12</c:v>
                      </c:pt>
                      <c:pt idx="50">
                        <c:v>2.1392506626195649E-11</c:v>
                      </c:pt>
                      <c:pt idx="51">
                        <c:v>8.4971385013139101E-11</c:v>
                      </c:pt>
                      <c:pt idx="52">
                        <c:v>3.2461484970239156E-10</c:v>
                      </c:pt>
                      <c:pt idx="53">
                        <c:v>1.1927572123502469E-9</c:v>
                      </c:pt>
                      <c:pt idx="54">
                        <c:v>4.2151787711983577E-9</c:v>
                      </c:pt>
                      <c:pt idx="55">
                        <c:v>1.4326552713526489E-8</c:v>
                      </c:pt>
                      <c:pt idx="56">
                        <c:v>4.6827397528152694E-8</c:v>
                      </c:pt>
                      <c:pt idx="57">
                        <c:v>1.4718088327156003E-7</c:v>
                      </c:pt>
                      <c:pt idx="58">
                        <c:v>4.4478087547614897E-7</c:v>
                      </c:pt>
                      <c:pt idx="59">
                        <c:v>1.2921842431095497E-6</c:v>
                      </c:pt>
                      <c:pt idx="60">
                        <c:v>3.6084201146408401E-6</c:v>
                      </c:pt>
                      <c:pt idx="61">
                        <c:v>9.6837928924278588E-6</c:v>
                      </c:pt>
                      <c:pt idx="62">
                        <c:v>2.4970214720408012E-5</c:v>
                      </c:pt>
                      <c:pt idx="63">
                        <c:v>6.1851740400614409E-5</c:v>
                      </c:pt>
                      <c:pt idx="64">
                        <c:v>1.4714026853609107E-4</c:v>
                      </c:pt>
                      <c:pt idx="65">
                        <c:v>3.3608716163622529E-4</c:v>
                      </c:pt>
                      <c:pt idx="66">
                        <c:v>7.3688360154559862E-4</c:v>
                      </c:pt>
                      <c:pt idx="67">
                        <c:v>1.5504405541974632E-3</c:v>
                      </c:pt>
                      <c:pt idx="68">
                        <c:v>3.1296981681687196E-3</c:v>
                      </c:pt>
                      <c:pt idx="69">
                        <c:v>6.0593354810429744E-3</c:v>
                      </c:pt>
                      <c:pt idx="70">
                        <c:v>1.1248978720991608E-2</c:v>
                      </c:pt>
                      <c:pt idx="71">
                        <c:v>2.0020206732172412E-2</c:v>
                      </c:pt>
                      <c:pt idx="72">
                        <c:v>3.4151629639074844E-2</c:v>
                      </c:pt>
                      <c:pt idx="73">
                        <c:v>5.5832716838706019E-2</c:v>
                      </c:pt>
                      <c:pt idx="74">
                        <c:v>8.747538464357299E-2</c:v>
                      </c:pt>
                      <c:pt idx="75">
                        <c:v>0.13135321733298877</c:v>
                      </c:pt>
                      <c:pt idx="76">
                        <c:v>0.18908720771379869</c:v>
                      </c:pt>
                      <c:pt idx="77">
                        <c:v>0.2610672476690945</c:v>
                      </c:pt>
                      <c:pt idx="78">
                        <c:v>0.34596678197534042</c:v>
                      </c:pt>
                      <c:pt idx="79">
                        <c:v>0.44053841512660202</c:v>
                      </c:pt>
                      <c:pt idx="80">
                        <c:v>0.53983862993542475</c:v>
                      </c:pt>
                      <c:pt idx="81">
                        <c:v>0.63791291616636436</c:v>
                      </c:pt>
                      <c:pt idx="82">
                        <c:v>0.72881103511211165</c:v>
                      </c:pt>
                      <c:pt idx="83">
                        <c:v>0.80766241540239858</c:v>
                      </c:pt>
                      <c:pt idx="84">
                        <c:v>0.87149448516120243</c:v>
                      </c:pt>
                      <c:pt idx="85">
                        <c:v>0.91955627886194913</c:v>
                      </c:pt>
                      <c:pt idx="86">
                        <c:v>0.95308776283921404</c:v>
                      </c:pt>
                      <c:pt idx="87">
                        <c:v>0.97467124677860295</c:v>
                      </c:pt>
                      <c:pt idx="88">
                        <c:v>0.98742512365187818</c:v>
                      </c:pt>
                      <c:pt idx="89">
                        <c:v>0.9943036190442065</c:v>
                      </c:pt>
                      <c:pt idx="90">
                        <c:v>0.99766643901378915</c:v>
                      </c:pt>
                      <c:pt idx="91">
                        <c:v>0.99914460163778163</c:v>
                      </c:pt>
                      <c:pt idx="92">
                        <c:v>0.99972301309934375</c:v>
                      </c:pt>
                      <c:pt idx="93">
                        <c:v>0.99992203639794586</c:v>
                      </c:pt>
                      <c:pt idx="94">
                        <c:v>0.99998131993369965</c:v>
                      </c:pt>
                      <c:pt idx="95">
                        <c:v>0.99999629682694269</c:v>
                      </c:pt>
                      <c:pt idx="96">
                        <c:v>0.99999941701303507</c:v>
                      </c:pt>
                      <c:pt idx="97">
                        <c:v>0.99999993168290602</c:v>
                      </c:pt>
                      <c:pt idx="98">
                        <c:v>0.99999999470370649</c:v>
                      </c:pt>
                      <c:pt idx="99">
                        <c:v>0.99999999979629639</c:v>
                      </c:pt>
                      <c:pt idx="100">
                        <c:v>1</c:v>
                      </c:pt>
                    </c:numCache>
                  </c:numRef>
                </c: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3E0-4287-8FF9-E7211DD3C595}"/>
                  </c:ext>
                </c:extLst>
              </c15:ser>
            </c15:filteredLineSeries>
            <c15:filteredLineSeries>
              <c15:ser>
                <c:idx val="2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NR'!$G$2</c15:sqref>
                        </c15:formulaRef>
                      </c:ext>
                    </c:extLst>
                    <c:strCache>
                      <c:ptCount val="1"/>
                      <c:pt idx="0">
                        <c:v>f(x)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NR'!$D$3:$D$103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NR'!$G$3:$G$103</c15:sqref>
                        </c15:formulaRef>
                      </c:ext>
                    </c:extLst>
                    <c:numCache>
                      <c:formatCode>0.000000</c:formatCode>
                      <c:ptCount val="101"/>
                      <c:pt idx="0">
                        <c:v>1.3802370905399409E-88</c:v>
                      </c:pt>
                      <c:pt idx="1">
                        <c:v>1.9854291816035647E-86</c:v>
                      </c:pt>
                      <c:pt idx="2">
                        <c:v>2.682944585170663E-84</c:v>
                      </c:pt>
                      <c:pt idx="3">
                        <c:v>3.4058506465870896E-82</c:v>
                      </c:pt>
                      <c:pt idx="4">
                        <c:v>4.0615900919340203E-80</c:v>
                      </c:pt>
                      <c:pt idx="5">
                        <c:v>4.5501234261030773E-78</c:v>
                      </c:pt>
                      <c:pt idx="6">
                        <c:v>4.7885812291798387E-76</c:v>
                      </c:pt>
                      <c:pt idx="7">
                        <c:v>4.7342058205351898E-74</c:v>
                      </c:pt>
                      <c:pt idx="8">
                        <c:v>4.3968738564877599E-72</c:v>
                      </c:pt>
                      <c:pt idx="9">
                        <c:v>3.8361667094212532E-70</c:v>
                      </c:pt>
                      <c:pt idx="10">
                        <c:v>3.1441809571954839E-68</c:v>
                      </c:pt>
                      <c:pt idx="11">
                        <c:v>2.4208851633791706E-66</c:v>
                      </c:pt>
                      <c:pt idx="12">
                        <c:v>1.7510455335796456E-64</c:v>
                      </c:pt>
                      <c:pt idx="13">
                        <c:v>1.1898090966918427E-62</c:v>
                      </c:pt>
                      <c:pt idx="14">
                        <c:v>7.5947542469748079E-61</c:v>
                      </c:pt>
                      <c:pt idx="15">
                        <c:v>4.5541440210817873E-59</c:v>
                      </c:pt>
                      <c:pt idx="16">
                        <c:v>2.565407681979759E-57</c:v>
                      </c:pt>
                      <c:pt idx="17">
                        <c:v>1.3575711993782086E-55</c:v>
                      </c:pt>
                      <c:pt idx="18">
                        <c:v>6.7487825614714692E-54</c:v>
                      </c:pt>
                      <c:pt idx="19">
                        <c:v>3.151699847346896E-52</c:v>
                      </c:pt>
                      <c:pt idx="20">
                        <c:v>1.3826773874611041E-50</c:v>
                      </c:pt>
                      <c:pt idx="21">
                        <c:v>5.6984070016378879E-49</c:v>
                      </c:pt>
                      <c:pt idx="22">
                        <c:v>2.2061887436487062E-47</c:v>
                      </c:pt>
                      <c:pt idx="23">
                        <c:v>8.0239545260498925E-46</c:v>
                      </c:pt>
                      <c:pt idx="24">
                        <c:v>2.7415163984724282E-44</c:v>
                      </c:pt>
                      <c:pt idx="25">
                        <c:v>8.7993345949884189E-43</c:v>
                      </c:pt>
                      <c:pt idx="26">
                        <c:v>2.6531720347880401E-41</c:v>
                      </c:pt>
                      <c:pt idx="27">
                        <c:v>7.5151488152493637E-40</c:v>
                      </c:pt>
                      <c:pt idx="28">
                        <c:v>1.9997069392517032E-38</c:v>
                      </c:pt>
                      <c:pt idx="29">
                        <c:v>4.9986383555463633E-37</c:v>
                      </c:pt>
                      <c:pt idx="30">
                        <c:v>1.1737988394937866E-35</c:v>
                      </c:pt>
                      <c:pt idx="31">
                        <c:v>2.5893587740520877E-34</c:v>
                      </c:pt>
                      <c:pt idx="32">
                        <c:v>5.3659593391576512E-33</c:v>
                      </c:pt>
                      <c:pt idx="33">
                        <c:v>1.0446218861356616E-31</c:v>
                      </c:pt>
                      <c:pt idx="34">
                        <c:v>1.9104138528968008E-30</c:v>
                      </c:pt>
                      <c:pt idx="35">
                        <c:v>3.2821044015385071E-29</c:v>
                      </c:pt>
                      <c:pt idx="36">
                        <c:v>5.2970481337733844E-28</c:v>
                      </c:pt>
                      <c:pt idx="37">
                        <c:v>8.0310446790535997E-27</c:v>
                      </c:pt>
                      <c:pt idx="38">
                        <c:v>1.1438438976302014E-25</c:v>
                      </c:pt>
                      <c:pt idx="39">
                        <c:v>1.5304462163117805E-24</c:v>
                      </c:pt>
                      <c:pt idx="40">
                        <c:v>1.923649656676605E-23</c:v>
                      </c:pt>
                      <c:pt idx="41">
                        <c:v>2.2713835779941663E-22</c:v>
                      </c:pt>
                      <c:pt idx="42">
                        <c:v>2.5194838485750025E-21</c:v>
                      </c:pt>
                      <c:pt idx="43">
                        <c:v>2.6253624574925924E-20</c:v>
                      </c:pt>
                      <c:pt idx="44">
                        <c:v>2.5699433929172291E-19</c:v>
                      </c:pt>
                      <c:pt idx="45">
                        <c:v>2.3632759704757133E-18</c:v>
                      </c:pt>
                      <c:pt idx="46">
                        <c:v>2.0415589079173875E-17</c:v>
                      </c:pt>
                      <c:pt idx="47">
                        <c:v>1.6567843639921881E-16</c:v>
                      </c:pt>
                      <c:pt idx="48">
                        <c:v>1.2630677708842232E-15</c:v>
                      </c:pt>
                      <c:pt idx="49">
                        <c:v>9.0457361277812933E-15</c:v>
                      </c:pt>
                      <c:pt idx="50">
                        <c:v>6.085801332572524E-14</c:v>
                      </c:pt>
                      <c:pt idx="51">
                        <c:v>3.8463448764031875E-13</c:v>
                      </c:pt>
                      <c:pt idx="52">
                        <c:v>2.2836801020911484E-12</c:v>
                      </c:pt>
                      <c:pt idx="53">
                        <c:v>1.273734489710921E-11</c:v>
                      </c:pt>
                      <c:pt idx="54">
                        <c:v>6.6738915369071298E-11</c:v>
                      </c:pt>
                      <c:pt idx="55">
                        <c:v>3.28500454538971E-10</c:v>
                      </c:pt>
                      <c:pt idx="56">
                        <c:v>1.5189707124558215E-9</c:v>
                      </c:pt>
                      <c:pt idx="57">
                        <c:v>6.5981080089264338E-9</c:v>
                      </c:pt>
                      <c:pt idx="58">
                        <c:v>2.692440010635819E-8</c:v>
                      </c:pt>
                      <c:pt idx="59">
                        <c:v>1.0321177471574996E-7</c:v>
                      </c:pt>
                      <c:pt idx="60">
                        <c:v>3.7167987868357442E-7</c:v>
                      </c:pt>
                      <c:pt idx="61">
                        <c:v>1.2573768221481113E-6</c:v>
                      </c:pt>
                      <c:pt idx="62">
                        <c:v>3.9959352767263687E-6</c:v>
                      </c:pt>
                      <c:pt idx="63">
                        <c:v>1.1929659135301238E-5</c:v>
                      </c:pt>
                      <c:pt idx="64">
                        <c:v>3.3457556441221342E-5</c:v>
                      </c:pt>
                      <c:pt idx="65">
                        <c:v>8.8148920591861352E-5</c:v>
                      </c:pt>
                      <c:pt idx="66">
                        <c:v>2.1817067376144004E-4</c:v>
                      </c:pt>
                      <c:pt idx="67">
                        <c:v>5.0726201432494203E-4</c:v>
                      </c:pt>
                      <c:pt idx="68">
                        <c:v>1.1079621029845019E-3</c:v>
                      </c:pt>
                      <c:pt idx="69">
                        <c:v>2.2733906253977632E-3</c:v>
                      </c:pt>
                      <c:pt idx="70">
                        <c:v>4.3820751233921351E-3</c:v>
                      </c:pt>
                      <c:pt idx="71">
                        <c:v>7.9349129589168545E-3</c:v>
                      </c:pt>
                      <c:pt idx="72">
                        <c:v>1.3497741628297016E-2</c:v>
                      </c:pt>
                      <c:pt idx="73">
                        <c:v>2.1569329706627883E-2</c:v>
                      </c:pt>
                      <c:pt idx="74">
                        <c:v>3.2379398916472936E-2</c:v>
                      </c:pt>
                      <c:pt idx="75">
                        <c:v>4.5662271347255479E-2</c:v>
                      </c:pt>
                      <c:pt idx="76">
                        <c:v>6.0492681129785841E-2</c:v>
                      </c:pt>
                      <c:pt idx="77">
                        <c:v>7.5284358038701107E-2</c:v>
                      </c:pt>
                      <c:pt idx="78">
                        <c:v>8.8016331691074881E-2</c:v>
                      </c:pt>
                      <c:pt idx="79">
                        <c:v>9.6667029200712309E-2</c:v>
                      </c:pt>
                      <c:pt idx="80">
                        <c:v>9.9735570100358176E-2</c:v>
                      </c:pt>
                      <c:pt idx="81">
                        <c:v>9.6667029200712309E-2</c:v>
                      </c:pt>
                      <c:pt idx="82">
                        <c:v>8.8016331691074881E-2</c:v>
                      </c:pt>
                      <c:pt idx="83">
                        <c:v>7.5284358038701107E-2</c:v>
                      </c:pt>
                      <c:pt idx="84">
                        <c:v>6.0492681129785841E-2</c:v>
                      </c:pt>
                      <c:pt idx="85">
                        <c:v>4.5662271347255479E-2</c:v>
                      </c:pt>
                      <c:pt idx="86">
                        <c:v>3.2379398916472936E-2</c:v>
                      </c:pt>
                      <c:pt idx="87">
                        <c:v>2.1569329706627883E-2</c:v>
                      </c:pt>
                      <c:pt idx="88">
                        <c:v>1.3497741628297016E-2</c:v>
                      </c:pt>
                      <c:pt idx="89">
                        <c:v>7.9349129589168545E-3</c:v>
                      </c:pt>
                      <c:pt idx="90">
                        <c:v>4.3820751233921351E-3</c:v>
                      </c:pt>
                      <c:pt idx="91">
                        <c:v>2.2733906253977632E-3</c:v>
                      </c:pt>
                      <c:pt idx="92">
                        <c:v>1.1079621029845019E-3</c:v>
                      </c:pt>
                      <c:pt idx="93">
                        <c:v>5.0726201432494203E-4</c:v>
                      </c:pt>
                      <c:pt idx="94">
                        <c:v>2.1817067376144004E-4</c:v>
                      </c:pt>
                      <c:pt idx="95">
                        <c:v>8.8148920591861352E-5</c:v>
                      </c:pt>
                      <c:pt idx="96">
                        <c:v>3.3457556441221342E-5</c:v>
                      </c:pt>
                      <c:pt idx="97">
                        <c:v>1.1929659135301238E-5</c:v>
                      </c:pt>
                      <c:pt idx="98">
                        <c:v>3.9959352767263687E-6</c:v>
                      </c:pt>
                      <c:pt idx="99">
                        <c:v>1.2573768221481113E-6</c:v>
                      </c:pt>
                      <c:pt idx="100">
                        <c:v>3.7167987868357442E-7</c:v>
                      </c:pt>
                    </c:numCache>
                  </c:numRef>
                </c: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3E0-4287-8FF9-E7211DD3C595}"/>
                  </c:ext>
                </c:extLst>
              </c15:ser>
            </c15:filteredLineSeries>
            <c15:filteredLineSeries>
              <c15:ser>
                <c:idx val="3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NR'!$H$2</c15:sqref>
                        </c15:formulaRef>
                      </c:ext>
                    </c:extLst>
                    <c:strCache>
                      <c:ptCount val="1"/>
                      <c:pt idx="0">
                        <c:v>F(x) NR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NR'!$D$3:$D$103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NR'!$H$3:$H$103</c15:sqref>
                        </c15:formulaRef>
                      </c:ext>
                    </c:extLst>
                    <c:numCache>
                      <c:formatCode>0.000000</c:formatCode>
                      <c:ptCount val="101"/>
                      <c:pt idx="0">
                        <c:v>2.753624118606156E-89</c:v>
                      </c:pt>
                      <c:pt idx="1">
                        <c:v>4.0108917631135899E-87</c:v>
                      </c:pt>
                      <c:pt idx="2">
                        <c:v>5.4891154756602573E-85</c:v>
                      </c:pt>
                      <c:pt idx="3">
                        <c:v>7.0581465785830808E-83</c:v>
                      </c:pt>
                      <c:pt idx="4">
                        <c:v>8.5272239526309754E-81</c:v>
                      </c:pt>
                      <c:pt idx="5">
                        <c:v>9.6795514791342025E-79</c:v>
                      </c:pt>
                      <c:pt idx="6">
                        <c:v>1.0323698689563001E-76</c:v>
                      </c:pt>
                      <c:pt idx="7">
                        <c:v>1.0345463677569806E-74</c:v>
                      </c:pt>
                      <c:pt idx="8">
                        <c:v>9.7409489189368705E-73</c:v>
                      </c:pt>
                      <c:pt idx="9">
                        <c:v>8.6177013091948133E-71</c:v>
                      </c:pt>
                      <c:pt idx="10">
                        <c:v>7.1634587662350353E-69</c:v>
                      </c:pt>
                      <c:pt idx="11">
                        <c:v>5.5949683949047257E-67</c:v>
                      </c:pt>
                      <c:pt idx="12">
                        <c:v>4.1059962020987901E-65</c:v>
                      </c:pt>
                      <c:pt idx="13">
                        <c:v>2.8313142815439691E-63</c:v>
                      </c:pt>
                      <c:pt idx="14">
                        <c:v>1.8344630031647307E-61</c:v>
                      </c:pt>
                      <c:pt idx="15">
                        <c:v>1.1168221242476203E-59</c:v>
                      </c:pt>
                      <c:pt idx="16">
                        <c:v>6.3887544005379043E-58</c:v>
                      </c:pt>
                      <c:pt idx="17">
                        <c:v>3.434065749272041E-56</c:v>
                      </c:pt>
                      <c:pt idx="18">
                        <c:v>1.7344607917938206E-54</c:v>
                      </c:pt>
                      <c:pt idx="19">
                        <c:v>8.2316562905314124E-53</c:v>
                      </c:pt>
                      <c:pt idx="20">
                        <c:v>3.6709661993126968E-51</c:v>
                      </c:pt>
                      <c:pt idx="21">
                        <c:v>1.5383235465068222E-49</c:v>
                      </c:pt>
                      <c:pt idx="22">
                        <c:v>6.0574947644150487E-48</c:v>
                      </c:pt>
                      <c:pt idx="23">
                        <c:v>2.2414062326935756E-46</c:v>
                      </c:pt>
                      <c:pt idx="24">
                        <c:v>7.7935368191928013E-45</c:v>
                      </c:pt>
                      <c:pt idx="25">
                        <c:v>2.5464763159739575E-43</c:v>
                      </c:pt>
                      <c:pt idx="26">
                        <c:v>7.8188073056577831E-42</c:v>
                      </c:pt>
                      <c:pt idx="27">
                        <c:v>2.2560163396857573E-40</c:v>
                      </c:pt>
                      <c:pt idx="28">
                        <c:v>6.1171643995497067E-39</c:v>
                      </c:pt>
                      <c:pt idx="29">
                        <c:v>1.5587262888812E-37</c:v>
                      </c:pt>
                      <c:pt idx="30">
                        <c:v>3.7325642988777144E-36</c:v>
                      </c:pt>
                      <c:pt idx="31">
                        <c:v>8.3997960636332954E-35</c:v>
                      </c:pt>
                      <c:pt idx="32">
                        <c:v>1.7764821120776537E-33</c:v>
                      </c:pt>
                      <c:pt idx="33">
                        <c:v>3.5309423958858917E-32</c:v>
                      </c:pt>
                      <c:pt idx="34">
                        <c:v>6.595771446113675E-31</c:v>
                      </c:pt>
                      <c:pt idx="35">
                        <c:v>1.1579603185686336E-29</c:v>
                      </c:pt>
                      <c:pt idx="36">
                        <c:v>1.9106595744986622E-28</c:v>
                      </c:pt>
                      <c:pt idx="37">
                        <c:v>2.9630808780943598E-27</c:v>
                      </c:pt>
                      <c:pt idx="38">
                        <c:v>4.3190063178092006E-26</c:v>
                      </c:pt>
                      <c:pt idx="39">
                        <c:v>5.9171769073655357E-25</c:v>
                      </c:pt>
                      <c:pt idx="40">
                        <c:v>7.6198530241604755E-24</c:v>
                      </c:pt>
                      <c:pt idx="41">
                        <c:v>9.2234135249393585E-23</c:v>
                      </c:pt>
                      <c:pt idx="42">
                        <c:v>1.0494515075362608E-21</c:v>
                      </c:pt>
                      <c:pt idx="43">
                        <c:v>1.1224633591327901E-20</c:v>
                      </c:pt>
                      <c:pt idx="44">
                        <c:v>1.1285884059538324E-19</c:v>
                      </c:pt>
                      <c:pt idx="45">
                        <c:v>1.0667637375474852E-18</c:v>
                      </c:pt>
                      <c:pt idx="46">
                        <c:v>9.4795348222032468E-18</c:v>
                      </c:pt>
                      <c:pt idx="47">
                        <c:v>7.9197263146424757E-17</c:v>
                      </c:pt>
                      <c:pt idx="48">
                        <c:v>6.2209605742717375E-16</c:v>
                      </c:pt>
                      <c:pt idx="49">
                        <c:v>4.5946274357785631E-15</c:v>
                      </c:pt>
                      <c:pt idx="50">
                        <c:v>3.190891672910885E-14</c:v>
                      </c:pt>
                      <c:pt idx="51">
                        <c:v>2.0838581586720541E-13</c:v>
                      </c:pt>
                      <c:pt idx="52">
                        <c:v>1.2798125438858352E-12</c:v>
                      </c:pt>
                      <c:pt idx="53">
                        <c:v>7.3922577780177942E-12</c:v>
                      </c:pt>
                      <c:pt idx="54">
                        <c:v>4.0160005838590881E-11</c:v>
                      </c:pt>
                      <c:pt idx="55">
                        <c:v>2.0522634252189383E-10</c:v>
                      </c:pt>
                      <c:pt idx="56">
                        <c:v>9.8658764503769437E-10</c:v>
                      </c:pt>
                      <c:pt idx="57">
                        <c:v>4.4621724539016125E-9</c:v>
                      </c:pt>
                      <c:pt idx="58">
                        <c:v>1.8989562465887691E-8</c:v>
                      </c:pt>
                      <c:pt idx="59">
                        <c:v>7.6049605164887013E-8</c:v>
                      </c:pt>
                      <c:pt idx="60">
                        <c:v>2.8665157187919333E-7</c:v>
                      </c:pt>
                      <c:pt idx="61">
                        <c:v>1.0170832425687034E-6</c:v>
                      </c:pt>
                      <c:pt idx="62">
                        <c:v>3.3976731247300535E-6</c:v>
                      </c:pt>
                      <c:pt idx="63">
                        <c:v>1.06885257749344E-5</c:v>
                      </c:pt>
                      <c:pt idx="64">
                        <c:v>3.1671241833119857E-5</c:v>
                      </c:pt>
                      <c:pt idx="65">
                        <c:v>8.841728520080376E-5</c:v>
                      </c:pt>
                      <c:pt idx="66">
                        <c:v>2.3262907903552504E-4</c:v>
                      </c:pt>
                      <c:pt idx="67">
                        <c:v>5.7702504239076603E-4</c:v>
                      </c:pt>
                      <c:pt idx="68">
                        <c:v>1.3498980316300933E-3</c:v>
                      </c:pt>
                      <c:pt idx="69">
                        <c:v>2.9797632350545551E-3</c:v>
                      </c:pt>
                      <c:pt idx="70">
                        <c:v>6.2096653257761331E-3</c:v>
                      </c:pt>
                      <c:pt idx="71">
                        <c:v>1.2224472655044696E-2</c:v>
                      </c:pt>
                      <c:pt idx="72">
                        <c:v>2.2750131948179191E-2</c:v>
                      </c:pt>
                      <c:pt idx="73">
                        <c:v>4.00591568638171E-2</c:v>
                      </c:pt>
                      <c:pt idx="74">
                        <c:v>6.6807201268858057E-2</c:v>
                      </c:pt>
                      <c:pt idx="75">
                        <c:v>0.10564977366685525</c:v>
                      </c:pt>
                      <c:pt idx="76">
                        <c:v>0.15865525393145699</c:v>
                      </c:pt>
                      <c:pt idx="77">
                        <c:v>0.22662735237686821</c:v>
                      </c:pt>
                      <c:pt idx="78">
                        <c:v>0.30853753872598688</c:v>
                      </c:pt>
                      <c:pt idx="79">
                        <c:v>0.4012936743170763</c:v>
                      </c:pt>
                      <c:pt idx="80">
                        <c:v>0.5</c:v>
                      </c:pt>
                      <c:pt idx="81">
                        <c:v>0.5987063256829237</c:v>
                      </c:pt>
                      <c:pt idx="82">
                        <c:v>0.69146246127401312</c:v>
                      </c:pt>
                      <c:pt idx="83">
                        <c:v>0.77337264762313174</c:v>
                      </c:pt>
                      <c:pt idx="84">
                        <c:v>0.84134474606854304</c:v>
                      </c:pt>
                      <c:pt idx="85">
                        <c:v>0.89435022633314476</c:v>
                      </c:pt>
                      <c:pt idx="86">
                        <c:v>0.93319279873114191</c:v>
                      </c:pt>
                      <c:pt idx="87">
                        <c:v>0.95994084313618289</c:v>
                      </c:pt>
                      <c:pt idx="88">
                        <c:v>0.97724986805182079</c:v>
                      </c:pt>
                      <c:pt idx="89">
                        <c:v>0.98777552734495533</c:v>
                      </c:pt>
                      <c:pt idx="90">
                        <c:v>0.99379033467422384</c:v>
                      </c:pt>
                      <c:pt idx="91">
                        <c:v>0.99702023676494544</c:v>
                      </c:pt>
                      <c:pt idx="92">
                        <c:v>0.9986501019683699</c:v>
                      </c:pt>
                      <c:pt idx="93">
                        <c:v>0.99942297495760923</c:v>
                      </c:pt>
                      <c:pt idx="94">
                        <c:v>0.99976737092096446</c:v>
                      </c:pt>
                      <c:pt idx="95">
                        <c:v>0.99991158271479919</c:v>
                      </c:pt>
                      <c:pt idx="96">
                        <c:v>0.99996832875816688</c:v>
                      </c:pt>
                      <c:pt idx="97">
                        <c:v>0.9999893114742251</c:v>
                      </c:pt>
                      <c:pt idx="98">
                        <c:v>0.99999660232687526</c:v>
                      </c:pt>
                      <c:pt idx="99">
                        <c:v>0.99999898291675748</c:v>
                      </c:pt>
                      <c:pt idx="100">
                        <c:v>0.99999971334842808</c:v>
                      </c:pt>
                    </c:numCache>
                  </c:numRef>
                </c: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3E0-4287-8FF9-E7211DD3C595}"/>
                  </c:ext>
                </c:extLst>
              </c15:ser>
            </c15:filteredLineSeries>
          </c:ext>
        </c:extLst>
      </c:lineChart>
      <c:catAx>
        <c:axId val="684338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684339072"/>
        <c:crosses val="autoZero"/>
        <c:auto val="1"/>
        <c:lblAlgn val="ctr"/>
        <c:lblOffset val="100"/>
        <c:noMultiLvlLbl val="0"/>
      </c:catAx>
      <c:valAx>
        <c:axId val="6843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68433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5"/>
          <c:order val="1"/>
          <c:tx>
            <c:strRef>
              <c:f>'Aproximácia BI NR'!$F$2</c:f>
              <c:strCache>
                <c:ptCount val="1"/>
                <c:pt idx="0">
                  <c:v>F(x) BI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'Aproximácia BI NR'!$D$3:$D$103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'Aproximácia BI NR'!$F$3:$F$103</c:f>
              <c:numCache>
                <c:formatCode>0.000000</c:formatCode>
                <c:ptCount val="101"/>
                <c:pt idx="0">
                  <c:v>1.2676506002281995E-70</c:v>
                </c:pt>
                <c:pt idx="1">
                  <c:v>5.0832789069151727E-68</c:v>
                </c:pt>
                <c:pt idx="2">
                  <c:v>1.0090625542876545E-65</c:v>
                </c:pt>
                <c:pt idx="3">
                  <c:v>1.3219568787070503E-63</c:v>
                </c:pt>
                <c:pt idx="4">
                  <c:v>1.2857298343563047E-61</c:v>
                </c:pt>
                <c:pt idx="5">
                  <c:v>9.9014518230075159E-60</c:v>
                </c:pt>
                <c:pt idx="6">
                  <c:v>6.2885044499588628E-58</c:v>
                </c:pt>
                <c:pt idx="7">
                  <c:v>3.3875253506853966E-56</c:v>
                </c:pt>
                <c:pt idx="8">
                  <c:v>1.5798329958832366E-54</c:v>
                </c:pt>
                <c:pt idx="9">
                  <c:v>6.4792327350827895E-53</c:v>
                </c:pt>
                <c:pt idx="10">
                  <c:v>2.3657271218708559E-51</c:v>
                </c:pt>
                <c:pt idx="11">
                  <c:v>7.7669047669798105E-50</c:v>
                </c:pt>
                <c:pt idx="12">
                  <c:v>2.3116675572583476E-48</c:v>
                </c:pt>
                <c:pt idx="13">
                  <c:v>6.2801473355347512E-47</c:v>
                </c:pt>
                <c:pt idx="14">
                  <c:v>1.5664052174792607E-45</c:v>
                </c:pt>
                <c:pt idx="15">
                  <c:v>3.6049051082721662E-44</c:v>
                </c:pt>
                <c:pt idx="16">
                  <c:v>7.6880527571911335E-43</c:v>
                </c:pt>
                <c:pt idx="17">
                  <c:v>1.5251516539120999E-41</c:v>
                </c:pt>
                <c:pt idx="18">
                  <c:v>2.8237707984186353E-40</c:v>
                </c:pt>
                <c:pt idx="19">
                  <c:v>4.8938078568577174E-39</c:v>
                </c:pt>
                <c:pt idx="20">
                  <c:v>7.9598986444513495E-38</c:v>
                </c:pt>
                <c:pt idx="21">
                  <c:v>1.2179636125421308E-36</c:v>
                </c:pt>
                <c:pt idx="22">
                  <c:v>1.7569019151034969E-35</c:v>
                </c:pt>
                <c:pt idx="23">
                  <c:v>2.3937464210798207E-34</c:v>
                </c:pt>
                <c:pt idx="24">
                  <c:v>3.085880136722146E-33</c:v>
                </c:pt>
                <c:pt idx="25">
                  <c:v>3.7699386951230442E-32</c:v>
                </c:pt>
                <c:pt idx="26">
                  <c:v>4.370860040417124E-31</c:v>
                </c:pt>
                <c:pt idx="27">
                  <c:v>4.8155466951077453E-30</c:v>
                </c:pt>
                <c:pt idx="28">
                  <c:v>5.0476636759081545E-29</c:v>
                </c:pt>
                <c:pt idx="29">
                  <c:v>5.039384967047544E-28</c:v>
                </c:pt>
                <c:pt idx="30">
                  <c:v>4.796710770857136E-27</c:v>
                </c:pt>
                <c:pt idx="31">
                  <c:v>4.3570137763201312E-26</c:v>
                </c:pt>
                <c:pt idx="32">
                  <c:v>3.7799094557217099E-25</c:v>
                </c:pt>
                <c:pt idx="33">
                  <c:v>3.1344291190278849E-24</c:v>
                </c:pt>
                <c:pt idx="34">
                  <c:v>2.4861647662737711E-23</c:v>
                </c:pt>
                <c:pt idx="35">
                  <c:v>1.8874695324957795E-22</c:v>
                </c:pt>
                <c:pt idx="36">
                  <c:v>1.3723630491545399E-21</c:v>
                </c:pt>
                <c:pt idx="37">
                  <c:v>9.5617068478483622E-21</c:v>
                </c:pt>
                <c:pt idx="38">
                  <c:v>6.3869986776027643E-20</c:v>
                </c:pt>
                <c:pt idx="39">
                  <c:v>4.0921494631932089E-19</c:v>
                </c:pt>
                <c:pt idx="40">
                  <c:v>2.5158191995334163E-18</c:v>
                </c:pt>
                <c:pt idx="41">
                  <c:v>1.4847161169567455E-17</c:v>
                </c:pt>
                <c:pt idx="42">
                  <c:v>8.4137558905947699E-17</c:v>
                </c:pt>
                <c:pt idx="43">
                  <c:v>4.5798342576269604E-16</c:v>
                </c:pt>
                <c:pt idx="44">
                  <c:v>2.3951847358385859E-15</c:v>
                </c:pt>
                <c:pt idx="45">
                  <c:v>1.2038142368216359E-14</c:v>
                </c:pt>
                <c:pt idx="46">
                  <c:v>5.8156635392631681E-14</c:v>
                </c:pt>
                <c:pt idx="47">
                  <c:v>2.7010545439845344E-13</c:v>
                </c:pt>
                <c:pt idx="48">
                  <c:v>1.2062127383408401E-12</c:v>
                </c:pt>
                <c:pt idx="49">
                  <c:v>5.1798926375248962E-12</c:v>
                </c:pt>
                <c:pt idx="50">
                  <c:v>2.1392506626195649E-11</c:v>
                </c:pt>
                <c:pt idx="51">
                  <c:v>8.4971385013139101E-11</c:v>
                </c:pt>
                <c:pt idx="52">
                  <c:v>3.2461484970239156E-10</c:v>
                </c:pt>
                <c:pt idx="53">
                  <c:v>1.1927572123502469E-9</c:v>
                </c:pt>
                <c:pt idx="54">
                  <c:v>4.2151787711983577E-9</c:v>
                </c:pt>
                <c:pt idx="55">
                  <c:v>1.4326552713526489E-8</c:v>
                </c:pt>
                <c:pt idx="56">
                  <c:v>4.6827397528152694E-8</c:v>
                </c:pt>
                <c:pt idx="57">
                  <c:v>1.4718088327156003E-7</c:v>
                </c:pt>
                <c:pt idx="58">
                  <c:v>4.4478087547614897E-7</c:v>
                </c:pt>
                <c:pt idx="59">
                  <c:v>1.2921842431095497E-6</c:v>
                </c:pt>
                <c:pt idx="60">
                  <c:v>3.6084201146408401E-6</c:v>
                </c:pt>
                <c:pt idx="61">
                  <c:v>9.6837928924278588E-6</c:v>
                </c:pt>
                <c:pt idx="62">
                  <c:v>2.4970214720408012E-5</c:v>
                </c:pt>
                <c:pt idx="63">
                  <c:v>6.1851740400614409E-5</c:v>
                </c:pt>
                <c:pt idx="64">
                  <c:v>1.4714026853609107E-4</c:v>
                </c:pt>
                <c:pt idx="65">
                  <c:v>3.3608716163622529E-4</c:v>
                </c:pt>
                <c:pt idx="66">
                  <c:v>7.3688360154559862E-4</c:v>
                </c:pt>
                <c:pt idx="67">
                  <c:v>1.5504405541974632E-3</c:v>
                </c:pt>
                <c:pt idx="68">
                  <c:v>3.1296981681687196E-3</c:v>
                </c:pt>
                <c:pt idx="69">
                  <c:v>6.0593354810429744E-3</c:v>
                </c:pt>
                <c:pt idx="70">
                  <c:v>1.1248978720991608E-2</c:v>
                </c:pt>
                <c:pt idx="71">
                  <c:v>2.0020206732172412E-2</c:v>
                </c:pt>
                <c:pt idx="72">
                  <c:v>3.4151629639074844E-2</c:v>
                </c:pt>
                <c:pt idx="73">
                  <c:v>5.5832716838706019E-2</c:v>
                </c:pt>
                <c:pt idx="74">
                  <c:v>8.747538464357299E-2</c:v>
                </c:pt>
                <c:pt idx="75">
                  <c:v>0.13135321733298877</c:v>
                </c:pt>
                <c:pt idx="76">
                  <c:v>0.18908720771379869</c:v>
                </c:pt>
                <c:pt idx="77">
                  <c:v>0.2610672476690945</c:v>
                </c:pt>
                <c:pt idx="78">
                  <c:v>0.34596678197534042</c:v>
                </c:pt>
                <c:pt idx="79">
                  <c:v>0.44053841512660202</c:v>
                </c:pt>
                <c:pt idx="80">
                  <c:v>0.53983862993542475</c:v>
                </c:pt>
                <c:pt idx="81">
                  <c:v>0.63791291616636436</c:v>
                </c:pt>
                <c:pt idx="82">
                  <c:v>0.72881103511211165</c:v>
                </c:pt>
                <c:pt idx="83">
                  <c:v>0.80766241540239858</c:v>
                </c:pt>
                <c:pt idx="84">
                  <c:v>0.87149448516120243</c:v>
                </c:pt>
                <c:pt idx="85">
                  <c:v>0.91955627886194913</c:v>
                </c:pt>
                <c:pt idx="86">
                  <c:v>0.95308776283921404</c:v>
                </c:pt>
                <c:pt idx="87">
                  <c:v>0.97467124677860295</c:v>
                </c:pt>
                <c:pt idx="88">
                  <c:v>0.98742512365187818</c:v>
                </c:pt>
                <c:pt idx="89">
                  <c:v>0.9943036190442065</c:v>
                </c:pt>
                <c:pt idx="90">
                  <c:v>0.99766643901378915</c:v>
                </c:pt>
                <c:pt idx="91">
                  <c:v>0.99914460163778163</c:v>
                </c:pt>
                <c:pt idx="92">
                  <c:v>0.99972301309934375</c:v>
                </c:pt>
                <c:pt idx="93">
                  <c:v>0.99992203639794586</c:v>
                </c:pt>
                <c:pt idx="94">
                  <c:v>0.99998131993369965</c:v>
                </c:pt>
                <c:pt idx="95">
                  <c:v>0.99999629682694269</c:v>
                </c:pt>
                <c:pt idx="96">
                  <c:v>0.99999941701303507</c:v>
                </c:pt>
                <c:pt idx="97">
                  <c:v>0.99999993168290602</c:v>
                </c:pt>
                <c:pt idx="98">
                  <c:v>0.99999999470370649</c:v>
                </c:pt>
                <c:pt idx="99">
                  <c:v>0.99999999979629639</c:v>
                </c:pt>
                <c:pt idx="100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D3E0-4287-8FF9-E7211DD3C595}"/>
            </c:ext>
          </c:extLst>
        </c:ser>
        <c:ser>
          <c:idx val="7"/>
          <c:order val="3"/>
          <c:tx>
            <c:strRef>
              <c:f>'Aproximácia BI NR'!$H$2</c:f>
              <c:strCache>
                <c:ptCount val="1"/>
                <c:pt idx="0">
                  <c:v>F(x) NR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'Aproximácia BI NR'!$D$3:$D$103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'Aproximácia BI NR'!$H$3:$H$103</c:f>
              <c:numCache>
                <c:formatCode>0.000000</c:formatCode>
                <c:ptCount val="101"/>
                <c:pt idx="0">
                  <c:v>2.753624118606156E-89</c:v>
                </c:pt>
                <c:pt idx="1">
                  <c:v>4.0108917631135899E-87</c:v>
                </c:pt>
                <c:pt idx="2">
                  <c:v>5.4891154756602573E-85</c:v>
                </c:pt>
                <c:pt idx="3">
                  <c:v>7.0581465785830808E-83</c:v>
                </c:pt>
                <c:pt idx="4">
                  <c:v>8.5272239526309754E-81</c:v>
                </c:pt>
                <c:pt idx="5">
                  <c:v>9.6795514791342025E-79</c:v>
                </c:pt>
                <c:pt idx="6">
                  <c:v>1.0323698689563001E-76</c:v>
                </c:pt>
                <c:pt idx="7">
                  <c:v>1.0345463677569806E-74</c:v>
                </c:pt>
                <c:pt idx="8">
                  <c:v>9.7409489189368705E-73</c:v>
                </c:pt>
                <c:pt idx="9">
                  <c:v>8.6177013091948133E-71</c:v>
                </c:pt>
                <c:pt idx="10">
                  <c:v>7.1634587662350353E-69</c:v>
                </c:pt>
                <c:pt idx="11">
                  <c:v>5.5949683949047257E-67</c:v>
                </c:pt>
                <c:pt idx="12">
                  <c:v>4.1059962020987901E-65</c:v>
                </c:pt>
                <c:pt idx="13">
                  <c:v>2.8313142815439691E-63</c:v>
                </c:pt>
                <c:pt idx="14">
                  <c:v>1.8344630031647307E-61</c:v>
                </c:pt>
                <c:pt idx="15">
                  <c:v>1.1168221242476203E-59</c:v>
                </c:pt>
                <c:pt idx="16">
                  <c:v>6.3887544005379043E-58</c:v>
                </c:pt>
                <c:pt idx="17">
                  <c:v>3.434065749272041E-56</c:v>
                </c:pt>
                <c:pt idx="18">
                  <c:v>1.7344607917938206E-54</c:v>
                </c:pt>
                <c:pt idx="19">
                  <c:v>8.2316562905314124E-53</c:v>
                </c:pt>
                <c:pt idx="20">
                  <c:v>3.6709661993126968E-51</c:v>
                </c:pt>
                <c:pt idx="21">
                  <c:v>1.5383235465068222E-49</c:v>
                </c:pt>
                <c:pt idx="22">
                  <c:v>6.0574947644150487E-48</c:v>
                </c:pt>
                <c:pt idx="23">
                  <c:v>2.2414062326935756E-46</c:v>
                </c:pt>
                <c:pt idx="24">
                  <c:v>7.7935368191928013E-45</c:v>
                </c:pt>
                <c:pt idx="25">
                  <c:v>2.5464763159739575E-43</c:v>
                </c:pt>
                <c:pt idx="26">
                  <c:v>7.8188073056577831E-42</c:v>
                </c:pt>
                <c:pt idx="27">
                  <c:v>2.2560163396857573E-40</c:v>
                </c:pt>
                <c:pt idx="28">
                  <c:v>6.1171643995497067E-39</c:v>
                </c:pt>
                <c:pt idx="29">
                  <c:v>1.5587262888812E-37</c:v>
                </c:pt>
                <c:pt idx="30">
                  <c:v>3.7325642988777144E-36</c:v>
                </c:pt>
                <c:pt idx="31">
                  <c:v>8.3997960636332954E-35</c:v>
                </c:pt>
                <c:pt idx="32">
                  <c:v>1.7764821120776537E-33</c:v>
                </c:pt>
                <c:pt idx="33">
                  <c:v>3.5309423958858917E-32</c:v>
                </c:pt>
                <c:pt idx="34">
                  <c:v>6.595771446113675E-31</c:v>
                </c:pt>
                <c:pt idx="35">
                  <c:v>1.1579603185686336E-29</c:v>
                </c:pt>
                <c:pt idx="36">
                  <c:v>1.9106595744986622E-28</c:v>
                </c:pt>
                <c:pt idx="37">
                  <c:v>2.9630808780943598E-27</c:v>
                </c:pt>
                <c:pt idx="38">
                  <c:v>4.3190063178092006E-26</c:v>
                </c:pt>
                <c:pt idx="39">
                  <c:v>5.9171769073655357E-25</c:v>
                </c:pt>
                <c:pt idx="40">
                  <c:v>7.6198530241604755E-24</c:v>
                </c:pt>
                <c:pt idx="41">
                  <c:v>9.2234135249393585E-23</c:v>
                </c:pt>
                <c:pt idx="42">
                  <c:v>1.0494515075362608E-21</c:v>
                </c:pt>
                <c:pt idx="43">
                  <c:v>1.1224633591327901E-20</c:v>
                </c:pt>
                <c:pt idx="44">
                  <c:v>1.1285884059538324E-19</c:v>
                </c:pt>
                <c:pt idx="45">
                  <c:v>1.0667637375474852E-18</c:v>
                </c:pt>
                <c:pt idx="46">
                  <c:v>9.4795348222032468E-18</c:v>
                </c:pt>
                <c:pt idx="47">
                  <c:v>7.9197263146424757E-17</c:v>
                </c:pt>
                <c:pt idx="48">
                  <c:v>6.2209605742717375E-16</c:v>
                </c:pt>
                <c:pt idx="49">
                  <c:v>4.5946274357785631E-15</c:v>
                </c:pt>
                <c:pt idx="50">
                  <c:v>3.190891672910885E-14</c:v>
                </c:pt>
                <c:pt idx="51">
                  <c:v>2.0838581586720541E-13</c:v>
                </c:pt>
                <c:pt idx="52">
                  <c:v>1.2798125438858352E-12</c:v>
                </c:pt>
                <c:pt idx="53">
                  <c:v>7.3922577780177942E-12</c:v>
                </c:pt>
                <c:pt idx="54">
                  <c:v>4.0160005838590881E-11</c:v>
                </c:pt>
                <c:pt idx="55">
                  <c:v>2.0522634252189383E-10</c:v>
                </c:pt>
                <c:pt idx="56">
                  <c:v>9.8658764503769437E-10</c:v>
                </c:pt>
                <c:pt idx="57">
                  <c:v>4.4621724539016125E-9</c:v>
                </c:pt>
                <c:pt idx="58">
                  <c:v>1.8989562465887691E-8</c:v>
                </c:pt>
                <c:pt idx="59">
                  <c:v>7.6049605164887013E-8</c:v>
                </c:pt>
                <c:pt idx="60">
                  <c:v>2.8665157187919333E-7</c:v>
                </c:pt>
                <c:pt idx="61">
                  <c:v>1.0170832425687034E-6</c:v>
                </c:pt>
                <c:pt idx="62">
                  <c:v>3.3976731247300535E-6</c:v>
                </c:pt>
                <c:pt idx="63">
                  <c:v>1.06885257749344E-5</c:v>
                </c:pt>
                <c:pt idx="64">
                  <c:v>3.1671241833119857E-5</c:v>
                </c:pt>
                <c:pt idx="65">
                  <c:v>8.841728520080376E-5</c:v>
                </c:pt>
                <c:pt idx="66">
                  <c:v>2.3262907903552504E-4</c:v>
                </c:pt>
                <c:pt idx="67">
                  <c:v>5.7702504239076603E-4</c:v>
                </c:pt>
                <c:pt idx="68">
                  <c:v>1.3498980316300933E-3</c:v>
                </c:pt>
                <c:pt idx="69">
                  <c:v>2.9797632350545551E-3</c:v>
                </c:pt>
                <c:pt idx="70">
                  <c:v>6.2096653257761331E-3</c:v>
                </c:pt>
                <c:pt idx="71">
                  <c:v>1.2224472655044696E-2</c:v>
                </c:pt>
                <c:pt idx="72">
                  <c:v>2.2750131948179191E-2</c:v>
                </c:pt>
                <c:pt idx="73">
                  <c:v>4.00591568638171E-2</c:v>
                </c:pt>
                <c:pt idx="74">
                  <c:v>6.6807201268858057E-2</c:v>
                </c:pt>
                <c:pt idx="75">
                  <c:v>0.10564977366685525</c:v>
                </c:pt>
                <c:pt idx="76">
                  <c:v>0.15865525393145699</c:v>
                </c:pt>
                <c:pt idx="77">
                  <c:v>0.22662735237686821</c:v>
                </c:pt>
                <c:pt idx="78">
                  <c:v>0.30853753872598688</c:v>
                </c:pt>
                <c:pt idx="79">
                  <c:v>0.4012936743170763</c:v>
                </c:pt>
                <c:pt idx="80">
                  <c:v>0.5</c:v>
                </c:pt>
                <c:pt idx="81">
                  <c:v>0.5987063256829237</c:v>
                </c:pt>
                <c:pt idx="82">
                  <c:v>0.69146246127401312</c:v>
                </c:pt>
                <c:pt idx="83">
                  <c:v>0.77337264762313174</c:v>
                </c:pt>
                <c:pt idx="84">
                  <c:v>0.84134474606854304</c:v>
                </c:pt>
                <c:pt idx="85">
                  <c:v>0.89435022633314476</c:v>
                </c:pt>
                <c:pt idx="86">
                  <c:v>0.93319279873114191</c:v>
                </c:pt>
                <c:pt idx="87">
                  <c:v>0.95994084313618289</c:v>
                </c:pt>
                <c:pt idx="88">
                  <c:v>0.97724986805182079</c:v>
                </c:pt>
                <c:pt idx="89">
                  <c:v>0.98777552734495533</c:v>
                </c:pt>
                <c:pt idx="90">
                  <c:v>0.99379033467422384</c:v>
                </c:pt>
                <c:pt idx="91">
                  <c:v>0.99702023676494544</c:v>
                </c:pt>
                <c:pt idx="92">
                  <c:v>0.9986501019683699</c:v>
                </c:pt>
                <c:pt idx="93">
                  <c:v>0.99942297495760923</c:v>
                </c:pt>
                <c:pt idx="94">
                  <c:v>0.99976737092096446</c:v>
                </c:pt>
                <c:pt idx="95">
                  <c:v>0.99991158271479919</c:v>
                </c:pt>
                <c:pt idx="96">
                  <c:v>0.99996832875816688</c:v>
                </c:pt>
                <c:pt idx="97">
                  <c:v>0.9999893114742251</c:v>
                </c:pt>
                <c:pt idx="98">
                  <c:v>0.99999660232687526</c:v>
                </c:pt>
                <c:pt idx="99">
                  <c:v>0.99999898291675748</c:v>
                </c:pt>
                <c:pt idx="100">
                  <c:v>0.99999971334842808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D3E0-4287-8FF9-E7211DD3C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338744"/>
        <c:axId val="684339072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'Aproximácia BI NR'!$E$2</c15:sqref>
                        </c15:formulaRef>
                      </c:ext>
                    </c:extLst>
                    <c:strCache>
                      <c:ptCount val="1"/>
                      <c:pt idx="0">
                        <c:v>pi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'Aproximácia BI NR'!$D$3:$D$103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'Aproximácia BI NR'!$E$3:$E$103</c15:sqref>
                        </c15:formulaRef>
                      </c:ext>
                    </c:extLst>
                    <c:numCache>
                      <c:formatCode>0.000000</c:formatCode>
                      <c:ptCount val="101"/>
                      <c:pt idx="0">
                        <c:v>1.2676506002281995E-70</c:v>
                      </c:pt>
                      <c:pt idx="1">
                        <c:v>5.0706024009127163E-68</c:v>
                      </c:pt>
                      <c:pt idx="2">
                        <c:v>1.0039792753807395E-65</c:v>
                      </c:pt>
                      <c:pt idx="3">
                        <c:v>1.3118662531641892E-63</c:v>
                      </c:pt>
                      <c:pt idx="4">
                        <c:v>1.2725102655692404E-61</c:v>
                      </c:pt>
                      <c:pt idx="5">
                        <c:v>9.7728788395717222E-60</c:v>
                      </c:pt>
                      <c:pt idx="6">
                        <c:v>6.1894899317288268E-58</c:v>
                      </c:pt>
                      <c:pt idx="7">
                        <c:v>3.324640306185708E-56</c:v>
                      </c:pt>
                      <c:pt idx="8">
                        <c:v>1.5459577423763904E-54</c:v>
                      </c:pt>
                      <c:pt idx="9">
                        <c:v>6.3212494354945442E-53</c:v>
                      </c:pt>
                      <c:pt idx="10">
                        <c:v>2.3009347945200567E-51</c:v>
                      </c:pt>
                      <c:pt idx="11">
                        <c:v>7.5303320547928692E-50</c:v>
                      </c:pt>
                      <c:pt idx="12">
                        <c:v>2.2339985095885734E-48</c:v>
                      </c:pt>
                      <c:pt idx="13">
                        <c:v>6.0489805798088843E-47</c:v>
                      </c:pt>
                      <c:pt idx="14">
                        <c:v>1.5036037441239525E-45</c:v>
                      </c:pt>
                      <c:pt idx="15">
                        <c:v>3.4482645865242069E-44</c:v>
                      </c:pt>
                      <c:pt idx="16">
                        <c:v>7.3275622463638934E-43</c:v>
                      </c:pt>
                      <c:pt idx="17">
                        <c:v>1.4482711263401825E-41</c:v>
                      </c:pt>
                      <c:pt idx="18">
                        <c:v>2.6712556330274129E-40</c:v>
                      </c:pt>
                      <c:pt idx="19">
                        <c:v>4.6114307770157161E-39</c:v>
                      </c:pt>
                      <c:pt idx="20">
                        <c:v>7.4705178587655428E-38</c:v>
                      </c:pt>
                      <c:pt idx="21">
                        <c:v>1.1383646260975993E-36</c:v>
                      </c:pt>
                      <c:pt idx="22">
                        <c:v>1.6351055538493085E-35</c:v>
                      </c:pt>
                      <c:pt idx="23">
                        <c:v>2.2180562295694644E-34</c:v>
                      </c:pt>
                      <c:pt idx="24">
                        <c:v>2.8465054946141651E-33</c:v>
                      </c:pt>
                      <c:pt idx="25">
                        <c:v>3.4613506814508011E-32</c:v>
                      </c:pt>
                      <c:pt idx="26">
                        <c:v>3.9938661709047964E-31</c:v>
                      </c:pt>
                      <c:pt idx="27">
                        <c:v>4.3784606910659768E-30</c:v>
                      </c:pt>
                      <c:pt idx="28">
                        <c:v>4.5661090063974346E-29</c:v>
                      </c:pt>
                      <c:pt idx="29">
                        <c:v>4.5346185994566999E-28</c:v>
                      </c:pt>
                      <c:pt idx="30">
                        <c:v>4.2927722741523951E-27</c:v>
                      </c:pt>
                      <c:pt idx="31">
                        <c:v>3.8773426992343521E-26</c:v>
                      </c:pt>
                      <c:pt idx="32">
                        <c:v>3.344208078089663E-25</c:v>
                      </c:pt>
                      <c:pt idx="33">
                        <c:v>2.7564381734557039E-24</c:v>
                      </c:pt>
                      <c:pt idx="34">
                        <c:v>2.172721854370959E-23</c:v>
                      </c:pt>
                      <c:pt idx="35">
                        <c:v>1.6388530558683996E-22</c:v>
                      </c:pt>
                      <c:pt idx="36">
                        <c:v>1.1836160959049489E-21</c:v>
                      </c:pt>
                      <c:pt idx="37">
                        <c:v>8.18934379869379E-21</c:v>
                      </c:pt>
                      <c:pt idx="38">
                        <c:v>5.4308279928179232E-20</c:v>
                      </c:pt>
                      <c:pt idx="39">
                        <c:v>3.4534495954329355E-19</c:v>
                      </c:pt>
                      <c:pt idx="40">
                        <c:v>2.1066042532141223E-18</c:v>
                      </c:pt>
                      <c:pt idx="41">
                        <c:v>1.2331341970033807E-17</c:v>
                      </c:pt>
                      <c:pt idx="42">
                        <c:v>6.9290397736380423E-17</c:v>
                      </c:pt>
                      <c:pt idx="43">
                        <c:v>3.7384586685674779E-16</c:v>
                      </c:pt>
                      <c:pt idx="44">
                        <c:v>1.9372013100758558E-15</c:v>
                      </c:pt>
                      <c:pt idx="45">
                        <c:v>9.6429576323777069E-15</c:v>
                      </c:pt>
                      <c:pt idx="46">
                        <c:v>4.6118493024415116E-14</c:v>
                      </c:pt>
                      <c:pt idx="47">
                        <c:v>2.1194881900582322E-13</c:v>
                      </c:pt>
                      <c:pt idx="48">
                        <c:v>9.3610728394238765E-13</c:v>
                      </c:pt>
                      <c:pt idx="49">
                        <c:v>3.9736798991840041E-12</c:v>
                      </c:pt>
                      <c:pt idx="50">
                        <c:v>1.6212613988670768E-11</c:v>
                      </c:pt>
                      <c:pt idx="51">
                        <c:v>6.3578878386944531E-11</c:v>
                      </c:pt>
                      <c:pt idx="52">
                        <c:v>2.396434646892531E-10</c:v>
                      </c:pt>
                      <c:pt idx="53">
                        <c:v>8.6814236264785594E-10</c:v>
                      </c:pt>
                      <c:pt idx="54">
                        <c:v>3.0224215588480947E-9</c:v>
                      </c:pt>
                      <c:pt idx="55">
                        <c:v>1.0111373942328141E-8</c:v>
                      </c:pt>
                      <c:pt idx="56">
                        <c:v>3.2500844814626371E-8</c:v>
                      </c:pt>
                      <c:pt idx="57">
                        <c:v>1.0035348574340715E-7</c:v>
                      </c:pt>
                      <c:pt idx="58">
                        <c:v>2.9759999220458724E-7</c:v>
                      </c:pt>
                      <c:pt idx="59">
                        <c:v>8.4740336763340114E-7</c:v>
                      </c:pt>
                      <c:pt idx="60">
                        <c:v>2.3162358715312965E-6</c:v>
                      </c:pt>
                      <c:pt idx="61">
                        <c:v>6.0753727777869818E-6</c:v>
                      </c:pt>
                      <c:pt idx="62">
                        <c:v>1.5286421827980233E-5</c:v>
                      </c:pt>
                      <c:pt idx="63">
                        <c:v>3.6881525680206275E-5</c:v>
                      </c:pt>
                      <c:pt idx="64">
                        <c:v>8.5288528135476935E-5</c:v>
                      </c:pt>
                      <c:pt idx="65">
                        <c:v>1.8894689310013394E-4</c:v>
                      </c:pt>
                      <c:pt idx="66">
                        <c:v>4.0079643990937447E-4</c:v>
                      </c:pt>
                      <c:pt idx="67">
                        <c:v>8.1355695265186419E-4</c:v>
                      </c:pt>
                      <c:pt idx="68">
                        <c:v>1.5792576139712659E-3</c:v>
                      </c:pt>
                      <c:pt idx="69">
                        <c:v>2.9296373128742371E-3</c:v>
                      </c:pt>
                      <c:pt idx="70">
                        <c:v>5.1896432399486485E-3</c:v>
                      </c:pt>
                      <c:pt idx="71">
                        <c:v>8.7712280111808157E-3</c:v>
                      </c:pt>
                      <c:pt idx="72">
                        <c:v>1.4131422906902429E-2</c:v>
                      </c:pt>
                      <c:pt idx="73">
                        <c:v>2.168108719963116E-2</c:v>
                      </c:pt>
                      <c:pt idx="74">
                        <c:v>3.1642667804867075E-2</c:v>
                      </c:pt>
                      <c:pt idx="75">
                        <c:v>4.3877832689415669E-2</c:v>
                      </c:pt>
                      <c:pt idx="76">
                        <c:v>5.7733990380810063E-2</c:v>
                      </c:pt>
                      <c:pt idx="77">
                        <c:v>7.1980039955295658E-2</c:v>
                      </c:pt>
                      <c:pt idx="78">
                        <c:v>8.4899534306246208E-2</c:v>
                      </c:pt>
                      <c:pt idx="79">
                        <c:v>9.4571633151261603E-2</c:v>
                      </c:pt>
                      <c:pt idx="80">
                        <c:v>9.9300214808824727E-2</c:v>
                      </c:pt>
                      <c:pt idx="81">
                        <c:v>9.8074286230937988E-2</c:v>
                      </c:pt>
                      <c:pt idx="82">
                        <c:v>9.0898118945747466E-2</c:v>
                      </c:pt>
                      <c:pt idx="83">
                        <c:v>7.8851380290286918E-2</c:v>
                      </c:pt>
                      <c:pt idx="84">
                        <c:v>6.3832069758803692E-2</c:v>
                      </c:pt>
                      <c:pt idx="85">
                        <c:v>4.8061793700746307E-2</c:v>
                      </c:pt>
                      <c:pt idx="86">
                        <c:v>3.3531483977264902E-2</c:v>
                      </c:pt>
                      <c:pt idx="87">
                        <c:v>2.1583483939388894E-2</c:v>
                      </c:pt>
                      <c:pt idx="88">
                        <c:v>1.2753876873275253E-2</c:v>
                      </c:pt>
                      <c:pt idx="89">
                        <c:v>6.878495392328242E-3</c:v>
                      </c:pt>
                      <c:pt idx="90">
                        <c:v>3.3628199695826867E-3</c:v>
                      </c:pt>
                      <c:pt idx="91">
                        <c:v>1.4781626239923913E-3</c:v>
                      </c:pt>
                      <c:pt idx="92">
                        <c:v>5.7841146156224093E-4</c:v>
                      </c:pt>
                      <c:pt idx="93">
                        <c:v>1.9902329860206126E-4</c:v>
                      </c:pt>
                      <c:pt idx="94">
                        <c:v>5.9283535753805565E-5</c:v>
                      </c:pt>
                      <c:pt idx="95">
                        <c:v>1.4976893243066663E-5</c:v>
                      </c:pt>
                      <c:pt idx="96">
                        <c:v>3.1201860923055643E-6</c:v>
                      </c:pt>
                      <c:pt idx="97">
                        <c:v>5.1466987089576095E-7</c:v>
                      </c:pt>
                      <c:pt idx="98">
                        <c:v>6.3020800517848304E-8</c:v>
                      </c:pt>
                      <c:pt idx="99">
                        <c:v>5.0925899408362083E-9</c:v>
                      </c:pt>
                      <c:pt idx="100">
                        <c:v>2.0370359763344954E-10</c:v>
                      </c:pt>
                    </c:numCache>
                  </c:numRef>
                </c:val>
                <c:smooth val="1"/>
                <c:extLst>
                  <c:ext xmlns:c16="http://schemas.microsoft.com/office/drawing/2014/chart" uri="{C3380CC4-5D6E-409C-BE32-E72D297353CC}">
                    <c16:uniqueId val="{0000000D-D3E0-4287-8FF9-E7211DD3C595}"/>
                  </c:ext>
                </c:extLst>
              </c15:ser>
            </c15:filteredLineSeries>
            <c15:filteredLineSeries>
              <c15:ser>
                <c:idx val="6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NR'!$G$2</c15:sqref>
                        </c15:formulaRef>
                      </c:ext>
                    </c:extLst>
                    <c:strCache>
                      <c:ptCount val="1"/>
                      <c:pt idx="0">
                        <c:v>f(x)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NR'!$D$3:$D$103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NR'!$G$3:$G$103</c15:sqref>
                        </c15:formulaRef>
                      </c:ext>
                    </c:extLst>
                    <c:numCache>
                      <c:formatCode>0.000000</c:formatCode>
                      <c:ptCount val="101"/>
                      <c:pt idx="0">
                        <c:v>1.3802370905399409E-88</c:v>
                      </c:pt>
                      <c:pt idx="1">
                        <c:v>1.9854291816035647E-86</c:v>
                      </c:pt>
                      <c:pt idx="2">
                        <c:v>2.682944585170663E-84</c:v>
                      </c:pt>
                      <c:pt idx="3">
                        <c:v>3.4058506465870896E-82</c:v>
                      </c:pt>
                      <c:pt idx="4">
                        <c:v>4.0615900919340203E-80</c:v>
                      </c:pt>
                      <c:pt idx="5">
                        <c:v>4.5501234261030773E-78</c:v>
                      </c:pt>
                      <c:pt idx="6">
                        <c:v>4.7885812291798387E-76</c:v>
                      </c:pt>
                      <c:pt idx="7">
                        <c:v>4.7342058205351898E-74</c:v>
                      </c:pt>
                      <c:pt idx="8">
                        <c:v>4.3968738564877599E-72</c:v>
                      </c:pt>
                      <c:pt idx="9">
                        <c:v>3.8361667094212532E-70</c:v>
                      </c:pt>
                      <c:pt idx="10">
                        <c:v>3.1441809571954839E-68</c:v>
                      </c:pt>
                      <c:pt idx="11">
                        <c:v>2.4208851633791706E-66</c:v>
                      </c:pt>
                      <c:pt idx="12">
                        <c:v>1.7510455335796456E-64</c:v>
                      </c:pt>
                      <c:pt idx="13">
                        <c:v>1.1898090966918427E-62</c:v>
                      </c:pt>
                      <c:pt idx="14">
                        <c:v>7.5947542469748079E-61</c:v>
                      </c:pt>
                      <c:pt idx="15">
                        <c:v>4.5541440210817873E-59</c:v>
                      </c:pt>
                      <c:pt idx="16">
                        <c:v>2.565407681979759E-57</c:v>
                      </c:pt>
                      <c:pt idx="17">
                        <c:v>1.3575711993782086E-55</c:v>
                      </c:pt>
                      <c:pt idx="18">
                        <c:v>6.7487825614714692E-54</c:v>
                      </c:pt>
                      <c:pt idx="19">
                        <c:v>3.151699847346896E-52</c:v>
                      </c:pt>
                      <c:pt idx="20">
                        <c:v>1.3826773874611041E-50</c:v>
                      </c:pt>
                      <c:pt idx="21">
                        <c:v>5.6984070016378879E-49</c:v>
                      </c:pt>
                      <c:pt idx="22">
                        <c:v>2.2061887436487062E-47</c:v>
                      </c:pt>
                      <c:pt idx="23">
                        <c:v>8.0239545260498925E-46</c:v>
                      </c:pt>
                      <c:pt idx="24">
                        <c:v>2.7415163984724282E-44</c:v>
                      </c:pt>
                      <c:pt idx="25">
                        <c:v>8.7993345949884189E-43</c:v>
                      </c:pt>
                      <c:pt idx="26">
                        <c:v>2.6531720347880401E-41</c:v>
                      </c:pt>
                      <c:pt idx="27">
                        <c:v>7.5151488152493637E-40</c:v>
                      </c:pt>
                      <c:pt idx="28">
                        <c:v>1.9997069392517032E-38</c:v>
                      </c:pt>
                      <c:pt idx="29">
                        <c:v>4.9986383555463633E-37</c:v>
                      </c:pt>
                      <c:pt idx="30">
                        <c:v>1.1737988394937866E-35</c:v>
                      </c:pt>
                      <c:pt idx="31">
                        <c:v>2.5893587740520877E-34</c:v>
                      </c:pt>
                      <c:pt idx="32">
                        <c:v>5.3659593391576512E-33</c:v>
                      </c:pt>
                      <c:pt idx="33">
                        <c:v>1.0446218861356616E-31</c:v>
                      </c:pt>
                      <c:pt idx="34">
                        <c:v>1.9104138528968008E-30</c:v>
                      </c:pt>
                      <c:pt idx="35">
                        <c:v>3.2821044015385071E-29</c:v>
                      </c:pt>
                      <c:pt idx="36">
                        <c:v>5.2970481337733844E-28</c:v>
                      </c:pt>
                      <c:pt idx="37">
                        <c:v>8.0310446790535997E-27</c:v>
                      </c:pt>
                      <c:pt idx="38">
                        <c:v>1.1438438976302014E-25</c:v>
                      </c:pt>
                      <c:pt idx="39">
                        <c:v>1.5304462163117805E-24</c:v>
                      </c:pt>
                      <c:pt idx="40">
                        <c:v>1.923649656676605E-23</c:v>
                      </c:pt>
                      <c:pt idx="41">
                        <c:v>2.2713835779941663E-22</c:v>
                      </c:pt>
                      <c:pt idx="42">
                        <c:v>2.5194838485750025E-21</c:v>
                      </c:pt>
                      <c:pt idx="43">
                        <c:v>2.6253624574925924E-20</c:v>
                      </c:pt>
                      <c:pt idx="44">
                        <c:v>2.5699433929172291E-19</c:v>
                      </c:pt>
                      <c:pt idx="45">
                        <c:v>2.3632759704757133E-18</c:v>
                      </c:pt>
                      <c:pt idx="46">
                        <c:v>2.0415589079173875E-17</c:v>
                      </c:pt>
                      <c:pt idx="47">
                        <c:v>1.6567843639921881E-16</c:v>
                      </c:pt>
                      <c:pt idx="48">
                        <c:v>1.2630677708842232E-15</c:v>
                      </c:pt>
                      <c:pt idx="49">
                        <c:v>9.0457361277812933E-15</c:v>
                      </c:pt>
                      <c:pt idx="50">
                        <c:v>6.085801332572524E-14</c:v>
                      </c:pt>
                      <c:pt idx="51">
                        <c:v>3.8463448764031875E-13</c:v>
                      </c:pt>
                      <c:pt idx="52">
                        <c:v>2.2836801020911484E-12</c:v>
                      </c:pt>
                      <c:pt idx="53">
                        <c:v>1.273734489710921E-11</c:v>
                      </c:pt>
                      <c:pt idx="54">
                        <c:v>6.6738915369071298E-11</c:v>
                      </c:pt>
                      <c:pt idx="55">
                        <c:v>3.28500454538971E-10</c:v>
                      </c:pt>
                      <c:pt idx="56">
                        <c:v>1.5189707124558215E-9</c:v>
                      </c:pt>
                      <c:pt idx="57">
                        <c:v>6.5981080089264338E-9</c:v>
                      </c:pt>
                      <c:pt idx="58">
                        <c:v>2.692440010635819E-8</c:v>
                      </c:pt>
                      <c:pt idx="59">
                        <c:v>1.0321177471574996E-7</c:v>
                      </c:pt>
                      <c:pt idx="60">
                        <c:v>3.7167987868357442E-7</c:v>
                      </c:pt>
                      <c:pt idx="61">
                        <c:v>1.2573768221481113E-6</c:v>
                      </c:pt>
                      <c:pt idx="62">
                        <c:v>3.9959352767263687E-6</c:v>
                      </c:pt>
                      <c:pt idx="63">
                        <c:v>1.1929659135301238E-5</c:v>
                      </c:pt>
                      <c:pt idx="64">
                        <c:v>3.3457556441221342E-5</c:v>
                      </c:pt>
                      <c:pt idx="65">
                        <c:v>8.8148920591861352E-5</c:v>
                      </c:pt>
                      <c:pt idx="66">
                        <c:v>2.1817067376144004E-4</c:v>
                      </c:pt>
                      <c:pt idx="67">
                        <c:v>5.0726201432494203E-4</c:v>
                      </c:pt>
                      <c:pt idx="68">
                        <c:v>1.1079621029845019E-3</c:v>
                      </c:pt>
                      <c:pt idx="69">
                        <c:v>2.2733906253977632E-3</c:v>
                      </c:pt>
                      <c:pt idx="70">
                        <c:v>4.3820751233921351E-3</c:v>
                      </c:pt>
                      <c:pt idx="71">
                        <c:v>7.9349129589168545E-3</c:v>
                      </c:pt>
                      <c:pt idx="72">
                        <c:v>1.3497741628297016E-2</c:v>
                      </c:pt>
                      <c:pt idx="73">
                        <c:v>2.1569329706627883E-2</c:v>
                      </c:pt>
                      <c:pt idx="74">
                        <c:v>3.2379398916472936E-2</c:v>
                      </c:pt>
                      <c:pt idx="75">
                        <c:v>4.5662271347255479E-2</c:v>
                      </c:pt>
                      <c:pt idx="76">
                        <c:v>6.0492681129785841E-2</c:v>
                      </c:pt>
                      <c:pt idx="77">
                        <c:v>7.5284358038701107E-2</c:v>
                      </c:pt>
                      <c:pt idx="78">
                        <c:v>8.8016331691074881E-2</c:v>
                      </c:pt>
                      <c:pt idx="79">
                        <c:v>9.6667029200712309E-2</c:v>
                      </c:pt>
                      <c:pt idx="80">
                        <c:v>9.9735570100358176E-2</c:v>
                      </c:pt>
                      <c:pt idx="81">
                        <c:v>9.6667029200712309E-2</c:v>
                      </c:pt>
                      <c:pt idx="82">
                        <c:v>8.8016331691074881E-2</c:v>
                      </c:pt>
                      <c:pt idx="83">
                        <c:v>7.5284358038701107E-2</c:v>
                      </c:pt>
                      <c:pt idx="84">
                        <c:v>6.0492681129785841E-2</c:v>
                      </c:pt>
                      <c:pt idx="85">
                        <c:v>4.5662271347255479E-2</c:v>
                      </c:pt>
                      <c:pt idx="86">
                        <c:v>3.2379398916472936E-2</c:v>
                      </c:pt>
                      <c:pt idx="87">
                        <c:v>2.1569329706627883E-2</c:v>
                      </c:pt>
                      <c:pt idx="88">
                        <c:v>1.3497741628297016E-2</c:v>
                      </c:pt>
                      <c:pt idx="89">
                        <c:v>7.9349129589168545E-3</c:v>
                      </c:pt>
                      <c:pt idx="90">
                        <c:v>4.3820751233921351E-3</c:v>
                      </c:pt>
                      <c:pt idx="91">
                        <c:v>2.2733906253977632E-3</c:v>
                      </c:pt>
                      <c:pt idx="92">
                        <c:v>1.1079621029845019E-3</c:v>
                      </c:pt>
                      <c:pt idx="93">
                        <c:v>5.0726201432494203E-4</c:v>
                      </c:pt>
                      <c:pt idx="94">
                        <c:v>2.1817067376144004E-4</c:v>
                      </c:pt>
                      <c:pt idx="95">
                        <c:v>8.8148920591861352E-5</c:v>
                      </c:pt>
                      <c:pt idx="96">
                        <c:v>3.3457556441221342E-5</c:v>
                      </c:pt>
                      <c:pt idx="97">
                        <c:v>1.1929659135301238E-5</c:v>
                      </c:pt>
                      <c:pt idx="98">
                        <c:v>3.9959352767263687E-6</c:v>
                      </c:pt>
                      <c:pt idx="99">
                        <c:v>1.2573768221481113E-6</c:v>
                      </c:pt>
                      <c:pt idx="100">
                        <c:v>3.7167987868357442E-7</c:v>
                      </c:pt>
                    </c:numCache>
                  </c:numRef>
                </c: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3E0-4287-8FF9-E7211DD3C595}"/>
                  </c:ext>
                </c:extLst>
              </c15:ser>
            </c15:filteredLineSeries>
            <c15:filteredLine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NR'!$E$2</c15:sqref>
                        </c15:formulaRef>
                      </c:ext>
                    </c:extLst>
                    <c:strCache>
                      <c:ptCount val="1"/>
                      <c:pt idx="0">
                        <c:v>pi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NR'!$D$3:$D$103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NR'!$E$3:$E$103</c15:sqref>
                        </c15:formulaRef>
                      </c:ext>
                    </c:extLst>
                    <c:numCache>
                      <c:formatCode>0.000000</c:formatCode>
                      <c:ptCount val="101"/>
                      <c:pt idx="0">
                        <c:v>1.2676506002281995E-70</c:v>
                      </c:pt>
                      <c:pt idx="1">
                        <c:v>5.0706024009127163E-68</c:v>
                      </c:pt>
                      <c:pt idx="2">
                        <c:v>1.0039792753807395E-65</c:v>
                      </c:pt>
                      <c:pt idx="3">
                        <c:v>1.3118662531641892E-63</c:v>
                      </c:pt>
                      <c:pt idx="4">
                        <c:v>1.2725102655692404E-61</c:v>
                      </c:pt>
                      <c:pt idx="5">
                        <c:v>9.7728788395717222E-60</c:v>
                      </c:pt>
                      <c:pt idx="6">
                        <c:v>6.1894899317288268E-58</c:v>
                      </c:pt>
                      <c:pt idx="7">
                        <c:v>3.324640306185708E-56</c:v>
                      </c:pt>
                      <c:pt idx="8">
                        <c:v>1.5459577423763904E-54</c:v>
                      </c:pt>
                      <c:pt idx="9">
                        <c:v>6.3212494354945442E-53</c:v>
                      </c:pt>
                      <c:pt idx="10">
                        <c:v>2.3009347945200567E-51</c:v>
                      </c:pt>
                      <c:pt idx="11">
                        <c:v>7.5303320547928692E-50</c:v>
                      </c:pt>
                      <c:pt idx="12">
                        <c:v>2.2339985095885734E-48</c:v>
                      </c:pt>
                      <c:pt idx="13">
                        <c:v>6.0489805798088843E-47</c:v>
                      </c:pt>
                      <c:pt idx="14">
                        <c:v>1.5036037441239525E-45</c:v>
                      </c:pt>
                      <c:pt idx="15">
                        <c:v>3.4482645865242069E-44</c:v>
                      </c:pt>
                      <c:pt idx="16">
                        <c:v>7.3275622463638934E-43</c:v>
                      </c:pt>
                      <c:pt idx="17">
                        <c:v>1.4482711263401825E-41</c:v>
                      </c:pt>
                      <c:pt idx="18">
                        <c:v>2.6712556330274129E-40</c:v>
                      </c:pt>
                      <c:pt idx="19">
                        <c:v>4.6114307770157161E-39</c:v>
                      </c:pt>
                      <c:pt idx="20">
                        <c:v>7.4705178587655428E-38</c:v>
                      </c:pt>
                      <c:pt idx="21">
                        <c:v>1.1383646260975993E-36</c:v>
                      </c:pt>
                      <c:pt idx="22">
                        <c:v>1.6351055538493085E-35</c:v>
                      </c:pt>
                      <c:pt idx="23">
                        <c:v>2.2180562295694644E-34</c:v>
                      </c:pt>
                      <c:pt idx="24">
                        <c:v>2.8465054946141651E-33</c:v>
                      </c:pt>
                      <c:pt idx="25">
                        <c:v>3.4613506814508011E-32</c:v>
                      </c:pt>
                      <c:pt idx="26">
                        <c:v>3.9938661709047964E-31</c:v>
                      </c:pt>
                      <c:pt idx="27">
                        <c:v>4.3784606910659768E-30</c:v>
                      </c:pt>
                      <c:pt idx="28">
                        <c:v>4.5661090063974346E-29</c:v>
                      </c:pt>
                      <c:pt idx="29">
                        <c:v>4.5346185994566999E-28</c:v>
                      </c:pt>
                      <c:pt idx="30">
                        <c:v>4.2927722741523951E-27</c:v>
                      </c:pt>
                      <c:pt idx="31">
                        <c:v>3.8773426992343521E-26</c:v>
                      </c:pt>
                      <c:pt idx="32">
                        <c:v>3.344208078089663E-25</c:v>
                      </c:pt>
                      <c:pt idx="33">
                        <c:v>2.7564381734557039E-24</c:v>
                      </c:pt>
                      <c:pt idx="34">
                        <c:v>2.172721854370959E-23</c:v>
                      </c:pt>
                      <c:pt idx="35">
                        <c:v>1.6388530558683996E-22</c:v>
                      </c:pt>
                      <c:pt idx="36">
                        <c:v>1.1836160959049489E-21</c:v>
                      </c:pt>
                      <c:pt idx="37">
                        <c:v>8.18934379869379E-21</c:v>
                      </c:pt>
                      <c:pt idx="38">
                        <c:v>5.4308279928179232E-20</c:v>
                      </c:pt>
                      <c:pt idx="39">
                        <c:v>3.4534495954329355E-19</c:v>
                      </c:pt>
                      <c:pt idx="40">
                        <c:v>2.1066042532141223E-18</c:v>
                      </c:pt>
                      <c:pt idx="41">
                        <c:v>1.2331341970033807E-17</c:v>
                      </c:pt>
                      <c:pt idx="42">
                        <c:v>6.9290397736380423E-17</c:v>
                      </c:pt>
                      <c:pt idx="43">
                        <c:v>3.7384586685674779E-16</c:v>
                      </c:pt>
                      <c:pt idx="44">
                        <c:v>1.9372013100758558E-15</c:v>
                      </c:pt>
                      <c:pt idx="45">
                        <c:v>9.6429576323777069E-15</c:v>
                      </c:pt>
                      <c:pt idx="46">
                        <c:v>4.6118493024415116E-14</c:v>
                      </c:pt>
                      <c:pt idx="47">
                        <c:v>2.1194881900582322E-13</c:v>
                      </c:pt>
                      <c:pt idx="48">
                        <c:v>9.3610728394238765E-13</c:v>
                      </c:pt>
                      <c:pt idx="49">
                        <c:v>3.9736798991840041E-12</c:v>
                      </c:pt>
                      <c:pt idx="50">
                        <c:v>1.6212613988670768E-11</c:v>
                      </c:pt>
                      <c:pt idx="51">
                        <c:v>6.3578878386944531E-11</c:v>
                      </c:pt>
                      <c:pt idx="52">
                        <c:v>2.396434646892531E-10</c:v>
                      </c:pt>
                      <c:pt idx="53">
                        <c:v>8.6814236264785594E-10</c:v>
                      </c:pt>
                      <c:pt idx="54">
                        <c:v>3.0224215588480947E-9</c:v>
                      </c:pt>
                      <c:pt idx="55">
                        <c:v>1.0111373942328141E-8</c:v>
                      </c:pt>
                      <c:pt idx="56">
                        <c:v>3.2500844814626371E-8</c:v>
                      </c:pt>
                      <c:pt idx="57">
                        <c:v>1.0035348574340715E-7</c:v>
                      </c:pt>
                      <c:pt idx="58">
                        <c:v>2.9759999220458724E-7</c:v>
                      </c:pt>
                      <c:pt idx="59">
                        <c:v>8.4740336763340114E-7</c:v>
                      </c:pt>
                      <c:pt idx="60">
                        <c:v>2.3162358715312965E-6</c:v>
                      </c:pt>
                      <c:pt idx="61">
                        <c:v>6.0753727777869818E-6</c:v>
                      </c:pt>
                      <c:pt idx="62">
                        <c:v>1.5286421827980233E-5</c:v>
                      </c:pt>
                      <c:pt idx="63">
                        <c:v>3.6881525680206275E-5</c:v>
                      </c:pt>
                      <c:pt idx="64">
                        <c:v>8.5288528135476935E-5</c:v>
                      </c:pt>
                      <c:pt idx="65">
                        <c:v>1.8894689310013394E-4</c:v>
                      </c:pt>
                      <c:pt idx="66">
                        <c:v>4.0079643990937447E-4</c:v>
                      </c:pt>
                      <c:pt idx="67">
                        <c:v>8.1355695265186419E-4</c:v>
                      </c:pt>
                      <c:pt idx="68">
                        <c:v>1.5792576139712659E-3</c:v>
                      </c:pt>
                      <c:pt idx="69">
                        <c:v>2.9296373128742371E-3</c:v>
                      </c:pt>
                      <c:pt idx="70">
                        <c:v>5.1896432399486485E-3</c:v>
                      </c:pt>
                      <c:pt idx="71">
                        <c:v>8.7712280111808157E-3</c:v>
                      </c:pt>
                      <c:pt idx="72">
                        <c:v>1.4131422906902429E-2</c:v>
                      </c:pt>
                      <c:pt idx="73">
                        <c:v>2.168108719963116E-2</c:v>
                      </c:pt>
                      <c:pt idx="74">
                        <c:v>3.1642667804867075E-2</c:v>
                      </c:pt>
                      <c:pt idx="75">
                        <c:v>4.3877832689415669E-2</c:v>
                      </c:pt>
                      <c:pt idx="76">
                        <c:v>5.7733990380810063E-2</c:v>
                      </c:pt>
                      <c:pt idx="77">
                        <c:v>7.1980039955295658E-2</c:v>
                      </c:pt>
                      <c:pt idx="78">
                        <c:v>8.4899534306246208E-2</c:v>
                      </c:pt>
                      <c:pt idx="79">
                        <c:v>9.4571633151261603E-2</c:v>
                      </c:pt>
                      <c:pt idx="80">
                        <c:v>9.9300214808824727E-2</c:v>
                      </c:pt>
                      <c:pt idx="81">
                        <c:v>9.8074286230937988E-2</c:v>
                      </c:pt>
                      <c:pt idx="82">
                        <c:v>9.0898118945747466E-2</c:v>
                      </c:pt>
                      <c:pt idx="83">
                        <c:v>7.8851380290286918E-2</c:v>
                      </c:pt>
                      <c:pt idx="84">
                        <c:v>6.3832069758803692E-2</c:v>
                      </c:pt>
                      <c:pt idx="85">
                        <c:v>4.8061793700746307E-2</c:v>
                      </c:pt>
                      <c:pt idx="86">
                        <c:v>3.3531483977264902E-2</c:v>
                      </c:pt>
                      <c:pt idx="87">
                        <c:v>2.1583483939388894E-2</c:v>
                      </c:pt>
                      <c:pt idx="88">
                        <c:v>1.2753876873275253E-2</c:v>
                      </c:pt>
                      <c:pt idx="89">
                        <c:v>6.878495392328242E-3</c:v>
                      </c:pt>
                      <c:pt idx="90">
                        <c:v>3.3628199695826867E-3</c:v>
                      </c:pt>
                      <c:pt idx="91">
                        <c:v>1.4781626239923913E-3</c:v>
                      </c:pt>
                      <c:pt idx="92">
                        <c:v>5.7841146156224093E-4</c:v>
                      </c:pt>
                      <c:pt idx="93">
                        <c:v>1.9902329860206126E-4</c:v>
                      </c:pt>
                      <c:pt idx="94">
                        <c:v>5.9283535753805565E-5</c:v>
                      </c:pt>
                      <c:pt idx="95">
                        <c:v>1.4976893243066663E-5</c:v>
                      </c:pt>
                      <c:pt idx="96">
                        <c:v>3.1201860923055643E-6</c:v>
                      </c:pt>
                      <c:pt idx="97">
                        <c:v>5.1466987089576095E-7</c:v>
                      </c:pt>
                      <c:pt idx="98">
                        <c:v>6.3020800517848304E-8</c:v>
                      </c:pt>
                      <c:pt idx="99">
                        <c:v>5.0925899408362083E-9</c:v>
                      </c:pt>
                      <c:pt idx="100">
                        <c:v>2.0370359763344954E-10</c:v>
                      </c:pt>
                    </c:numCache>
                  </c:numRef>
                </c: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3E0-4287-8FF9-E7211DD3C595}"/>
                  </c:ext>
                </c:extLst>
              </c15:ser>
            </c15:filteredLineSeries>
            <c15:filteredLineSeries>
              <c15:ser>
                <c:idx val="1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NR'!$F$2</c15:sqref>
                        </c15:formulaRef>
                      </c:ext>
                    </c:extLst>
                    <c:strCache>
                      <c:ptCount val="1"/>
                      <c:pt idx="0">
                        <c:v>F(x) BI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NR'!$D$3:$D$103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NR'!$F$3:$F$103</c15:sqref>
                        </c15:formulaRef>
                      </c:ext>
                    </c:extLst>
                    <c:numCache>
                      <c:formatCode>0.000000</c:formatCode>
                      <c:ptCount val="101"/>
                      <c:pt idx="0">
                        <c:v>1.2676506002281995E-70</c:v>
                      </c:pt>
                      <c:pt idx="1">
                        <c:v>5.0832789069151727E-68</c:v>
                      </c:pt>
                      <c:pt idx="2">
                        <c:v>1.0090625542876545E-65</c:v>
                      </c:pt>
                      <c:pt idx="3">
                        <c:v>1.3219568787070503E-63</c:v>
                      </c:pt>
                      <c:pt idx="4">
                        <c:v>1.2857298343563047E-61</c:v>
                      </c:pt>
                      <c:pt idx="5">
                        <c:v>9.9014518230075159E-60</c:v>
                      </c:pt>
                      <c:pt idx="6">
                        <c:v>6.2885044499588628E-58</c:v>
                      </c:pt>
                      <c:pt idx="7">
                        <c:v>3.3875253506853966E-56</c:v>
                      </c:pt>
                      <c:pt idx="8">
                        <c:v>1.5798329958832366E-54</c:v>
                      </c:pt>
                      <c:pt idx="9">
                        <c:v>6.4792327350827895E-53</c:v>
                      </c:pt>
                      <c:pt idx="10">
                        <c:v>2.3657271218708559E-51</c:v>
                      </c:pt>
                      <c:pt idx="11">
                        <c:v>7.7669047669798105E-50</c:v>
                      </c:pt>
                      <c:pt idx="12">
                        <c:v>2.3116675572583476E-48</c:v>
                      </c:pt>
                      <c:pt idx="13">
                        <c:v>6.2801473355347512E-47</c:v>
                      </c:pt>
                      <c:pt idx="14">
                        <c:v>1.5664052174792607E-45</c:v>
                      </c:pt>
                      <c:pt idx="15">
                        <c:v>3.6049051082721662E-44</c:v>
                      </c:pt>
                      <c:pt idx="16">
                        <c:v>7.6880527571911335E-43</c:v>
                      </c:pt>
                      <c:pt idx="17">
                        <c:v>1.5251516539120999E-41</c:v>
                      </c:pt>
                      <c:pt idx="18">
                        <c:v>2.8237707984186353E-40</c:v>
                      </c:pt>
                      <c:pt idx="19">
                        <c:v>4.8938078568577174E-39</c:v>
                      </c:pt>
                      <c:pt idx="20">
                        <c:v>7.9598986444513495E-38</c:v>
                      </c:pt>
                      <c:pt idx="21">
                        <c:v>1.2179636125421308E-36</c:v>
                      </c:pt>
                      <c:pt idx="22">
                        <c:v>1.7569019151034969E-35</c:v>
                      </c:pt>
                      <c:pt idx="23">
                        <c:v>2.3937464210798207E-34</c:v>
                      </c:pt>
                      <c:pt idx="24">
                        <c:v>3.085880136722146E-33</c:v>
                      </c:pt>
                      <c:pt idx="25">
                        <c:v>3.7699386951230442E-32</c:v>
                      </c:pt>
                      <c:pt idx="26">
                        <c:v>4.370860040417124E-31</c:v>
                      </c:pt>
                      <c:pt idx="27">
                        <c:v>4.8155466951077453E-30</c:v>
                      </c:pt>
                      <c:pt idx="28">
                        <c:v>5.0476636759081545E-29</c:v>
                      </c:pt>
                      <c:pt idx="29">
                        <c:v>5.039384967047544E-28</c:v>
                      </c:pt>
                      <c:pt idx="30">
                        <c:v>4.796710770857136E-27</c:v>
                      </c:pt>
                      <c:pt idx="31">
                        <c:v>4.3570137763201312E-26</c:v>
                      </c:pt>
                      <c:pt idx="32">
                        <c:v>3.7799094557217099E-25</c:v>
                      </c:pt>
                      <c:pt idx="33">
                        <c:v>3.1344291190278849E-24</c:v>
                      </c:pt>
                      <c:pt idx="34">
                        <c:v>2.4861647662737711E-23</c:v>
                      </c:pt>
                      <c:pt idx="35">
                        <c:v>1.8874695324957795E-22</c:v>
                      </c:pt>
                      <c:pt idx="36">
                        <c:v>1.3723630491545399E-21</c:v>
                      </c:pt>
                      <c:pt idx="37">
                        <c:v>9.5617068478483622E-21</c:v>
                      </c:pt>
                      <c:pt idx="38">
                        <c:v>6.3869986776027643E-20</c:v>
                      </c:pt>
                      <c:pt idx="39">
                        <c:v>4.0921494631932089E-19</c:v>
                      </c:pt>
                      <c:pt idx="40">
                        <c:v>2.5158191995334163E-18</c:v>
                      </c:pt>
                      <c:pt idx="41">
                        <c:v>1.4847161169567455E-17</c:v>
                      </c:pt>
                      <c:pt idx="42">
                        <c:v>8.4137558905947699E-17</c:v>
                      </c:pt>
                      <c:pt idx="43">
                        <c:v>4.5798342576269604E-16</c:v>
                      </c:pt>
                      <c:pt idx="44">
                        <c:v>2.3951847358385859E-15</c:v>
                      </c:pt>
                      <c:pt idx="45">
                        <c:v>1.2038142368216359E-14</c:v>
                      </c:pt>
                      <c:pt idx="46">
                        <c:v>5.8156635392631681E-14</c:v>
                      </c:pt>
                      <c:pt idx="47">
                        <c:v>2.7010545439845344E-13</c:v>
                      </c:pt>
                      <c:pt idx="48">
                        <c:v>1.2062127383408401E-12</c:v>
                      </c:pt>
                      <c:pt idx="49">
                        <c:v>5.1798926375248962E-12</c:v>
                      </c:pt>
                      <c:pt idx="50">
                        <c:v>2.1392506626195649E-11</c:v>
                      </c:pt>
                      <c:pt idx="51">
                        <c:v>8.4971385013139101E-11</c:v>
                      </c:pt>
                      <c:pt idx="52">
                        <c:v>3.2461484970239156E-10</c:v>
                      </c:pt>
                      <c:pt idx="53">
                        <c:v>1.1927572123502469E-9</c:v>
                      </c:pt>
                      <c:pt idx="54">
                        <c:v>4.2151787711983577E-9</c:v>
                      </c:pt>
                      <c:pt idx="55">
                        <c:v>1.4326552713526489E-8</c:v>
                      </c:pt>
                      <c:pt idx="56">
                        <c:v>4.6827397528152694E-8</c:v>
                      </c:pt>
                      <c:pt idx="57">
                        <c:v>1.4718088327156003E-7</c:v>
                      </c:pt>
                      <c:pt idx="58">
                        <c:v>4.4478087547614897E-7</c:v>
                      </c:pt>
                      <c:pt idx="59">
                        <c:v>1.2921842431095497E-6</c:v>
                      </c:pt>
                      <c:pt idx="60">
                        <c:v>3.6084201146408401E-6</c:v>
                      </c:pt>
                      <c:pt idx="61">
                        <c:v>9.6837928924278588E-6</c:v>
                      </c:pt>
                      <c:pt idx="62">
                        <c:v>2.4970214720408012E-5</c:v>
                      </c:pt>
                      <c:pt idx="63">
                        <c:v>6.1851740400614409E-5</c:v>
                      </c:pt>
                      <c:pt idx="64">
                        <c:v>1.4714026853609107E-4</c:v>
                      </c:pt>
                      <c:pt idx="65">
                        <c:v>3.3608716163622529E-4</c:v>
                      </c:pt>
                      <c:pt idx="66">
                        <c:v>7.3688360154559862E-4</c:v>
                      </c:pt>
                      <c:pt idx="67">
                        <c:v>1.5504405541974632E-3</c:v>
                      </c:pt>
                      <c:pt idx="68">
                        <c:v>3.1296981681687196E-3</c:v>
                      </c:pt>
                      <c:pt idx="69">
                        <c:v>6.0593354810429744E-3</c:v>
                      </c:pt>
                      <c:pt idx="70">
                        <c:v>1.1248978720991608E-2</c:v>
                      </c:pt>
                      <c:pt idx="71">
                        <c:v>2.0020206732172412E-2</c:v>
                      </c:pt>
                      <c:pt idx="72">
                        <c:v>3.4151629639074844E-2</c:v>
                      </c:pt>
                      <c:pt idx="73">
                        <c:v>5.5832716838706019E-2</c:v>
                      </c:pt>
                      <c:pt idx="74">
                        <c:v>8.747538464357299E-2</c:v>
                      </c:pt>
                      <c:pt idx="75">
                        <c:v>0.13135321733298877</c:v>
                      </c:pt>
                      <c:pt idx="76">
                        <c:v>0.18908720771379869</c:v>
                      </c:pt>
                      <c:pt idx="77">
                        <c:v>0.2610672476690945</c:v>
                      </c:pt>
                      <c:pt idx="78">
                        <c:v>0.34596678197534042</c:v>
                      </c:pt>
                      <c:pt idx="79">
                        <c:v>0.44053841512660202</c:v>
                      </c:pt>
                      <c:pt idx="80">
                        <c:v>0.53983862993542475</c:v>
                      </c:pt>
                      <c:pt idx="81">
                        <c:v>0.63791291616636436</c:v>
                      </c:pt>
                      <c:pt idx="82">
                        <c:v>0.72881103511211165</c:v>
                      </c:pt>
                      <c:pt idx="83">
                        <c:v>0.80766241540239858</c:v>
                      </c:pt>
                      <c:pt idx="84">
                        <c:v>0.87149448516120243</c:v>
                      </c:pt>
                      <c:pt idx="85">
                        <c:v>0.91955627886194913</c:v>
                      </c:pt>
                      <c:pt idx="86">
                        <c:v>0.95308776283921404</c:v>
                      </c:pt>
                      <c:pt idx="87">
                        <c:v>0.97467124677860295</c:v>
                      </c:pt>
                      <c:pt idx="88">
                        <c:v>0.98742512365187818</c:v>
                      </c:pt>
                      <c:pt idx="89">
                        <c:v>0.9943036190442065</c:v>
                      </c:pt>
                      <c:pt idx="90">
                        <c:v>0.99766643901378915</c:v>
                      </c:pt>
                      <c:pt idx="91">
                        <c:v>0.99914460163778163</c:v>
                      </c:pt>
                      <c:pt idx="92">
                        <c:v>0.99972301309934375</c:v>
                      </c:pt>
                      <c:pt idx="93">
                        <c:v>0.99992203639794586</c:v>
                      </c:pt>
                      <c:pt idx="94">
                        <c:v>0.99998131993369965</c:v>
                      </c:pt>
                      <c:pt idx="95">
                        <c:v>0.99999629682694269</c:v>
                      </c:pt>
                      <c:pt idx="96">
                        <c:v>0.99999941701303507</c:v>
                      </c:pt>
                      <c:pt idx="97">
                        <c:v>0.99999993168290602</c:v>
                      </c:pt>
                      <c:pt idx="98">
                        <c:v>0.99999999470370649</c:v>
                      </c:pt>
                      <c:pt idx="99">
                        <c:v>0.99999999979629639</c:v>
                      </c:pt>
                      <c:pt idx="100">
                        <c:v>1</c:v>
                      </c:pt>
                    </c:numCache>
                  </c:numRef>
                </c: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3E0-4287-8FF9-E7211DD3C595}"/>
                  </c:ext>
                </c:extLst>
              </c15:ser>
            </c15:filteredLineSeries>
            <c15:filteredLineSeries>
              <c15:ser>
                <c:idx val="2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NR'!$G$2</c15:sqref>
                        </c15:formulaRef>
                      </c:ext>
                    </c:extLst>
                    <c:strCache>
                      <c:ptCount val="1"/>
                      <c:pt idx="0">
                        <c:v>f(x)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NR'!$D$3:$D$103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NR'!$G$3:$G$103</c15:sqref>
                        </c15:formulaRef>
                      </c:ext>
                    </c:extLst>
                    <c:numCache>
                      <c:formatCode>0.000000</c:formatCode>
                      <c:ptCount val="101"/>
                      <c:pt idx="0">
                        <c:v>1.3802370905399409E-88</c:v>
                      </c:pt>
                      <c:pt idx="1">
                        <c:v>1.9854291816035647E-86</c:v>
                      </c:pt>
                      <c:pt idx="2">
                        <c:v>2.682944585170663E-84</c:v>
                      </c:pt>
                      <c:pt idx="3">
                        <c:v>3.4058506465870896E-82</c:v>
                      </c:pt>
                      <c:pt idx="4">
                        <c:v>4.0615900919340203E-80</c:v>
                      </c:pt>
                      <c:pt idx="5">
                        <c:v>4.5501234261030773E-78</c:v>
                      </c:pt>
                      <c:pt idx="6">
                        <c:v>4.7885812291798387E-76</c:v>
                      </c:pt>
                      <c:pt idx="7">
                        <c:v>4.7342058205351898E-74</c:v>
                      </c:pt>
                      <c:pt idx="8">
                        <c:v>4.3968738564877599E-72</c:v>
                      </c:pt>
                      <c:pt idx="9">
                        <c:v>3.8361667094212532E-70</c:v>
                      </c:pt>
                      <c:pt idx="10">
                        <c:v>3.1441809571954839E-68</c:v>
                      </c:pt>
                      <c:pt idx="11">
                        <c:v>2.4208851633791706E-66</c:v>
                      </c:pt>
                      <c:pt idx="12">
                        <c:v>1.7510455335796456E-64</c:v>
                      </c:pt>
                      <c:pt idx="13">
                        <c:v>1.1898090966918427E-62</c:v>
                      </c:pt>
                      <c:pt idx="14">
                        <c:v>7.5947542469748079E-61</c:v>
                      </c:pt>
                      <c:pt idx="15">
                        <c:v>4.5541440210817873E-59</c:v>
                      </c:pt>
                      <c:pt idx="16">
                        <c:v>2.565407681979759E-57</c:v>
                      </c:pt>
                      <c:pt idx="17">
                        <c:v>1.3575711993782086E-55</c:v>
                      </c:pt>
                      <c:pt idx="18">
                        <c:v>6.7487825614714692E-54</c:v>
                      </c:pt>
                      <c:pt idx="19">
                        <c:v>3.151699847346896E-52</c:v>
                      </c:pt>
                      <c:pt idx="20">
                        <c:v>1.3826773874611041E-50</c:v>
                      </c:pt>
                      <c:pt idx="21">
                        <c:v>5.6984070016378879E-49</c:v>
                      </c:pt>
                      <c:pt idx="22">
                        <c:v>2.2061887436487062E-47</c:v>
                      </c:pt>
                      <c:pt idx="23">
                        <c:v>8.0239545260498925E-46</c:v>
                      </c:pt>
                      <c:pt idx="24">
                        <c:v>2.7415163984724282E-44</c:v>
                      </c:pt>
                      <c:pt idx="25">
                        <c:v>8.7993345949884189E-43</c:v>
                      </c:pt>
                      <c:pt idx="26">
                        <c:v>2.6531720347880401E-41</c:v>
                      </c:pt>
                      <c:pt idx="27">
                        <c:v>7.5151488152493637E-40</c:v>
                      </c:pt>
                      <c:pt idx="28">
                        <c:v>1.9997069392517032E-38</c:v>
                      </c:pt>
                      <c:pt idx="29">
                        <c:v>4.9986383555463633E-37</c:v>
                      </c:pt>
                      <c:pt idx="30">
                        <c:v>1.1737988394937866E-35</c:v>
                      </c:pt>
                      <c:pt idx="31">
                        <c:v>2.5893587740520877E-34</c:v>
                      </c:pt>
                      <c:pt idx="32">
                        <c:v>5.3659593391576512E-33</c:v>
                      </c:pt>
                      <c:pt idx="33">
                        <c:v>1.0446218861356616E-31</c:v>
                      </c:pt>
                      <c:pt idx="34">
                        <c:v>1.9104138528968008E-30</c:v>
                      </c:pt>
                      <c:pt idx="35">
                        <c:v>3.2821044015385071E-29</c:v>
                      </c:pt>
                      <c:pt idx="36">
                        <c:v>5.2970481337733844E-28</c:v>
                      </c:pt>
                      <c:pt idx="37">
                        <c:v>8.0310446790535997E-27</c:v>
                      </c:pt>
                      <c:pt idx="38">
                        <c:v>1.1438438976302014E-25</c:v>
                      </c:pt>
                      <c:pt idx="39">
                        <c:v>1.5304462163117805E-24</c:v>
                      </c:pt>
                      <c:pt idx="40">
                        <c:v>1.923649656676605E-23</c:v>
                      </c:pt>
                      <c:pt idx="41">
                        <c:v>2.2713835779941663E-22</c:v>
                      </c:pt>
                      <c:pt idx="42">
                        <c:v>2.5194838485750025E-21</c:v>
                      </c:pt>
                      <c:pt idx="43">
                        <c:v>2.6253624574925924E-20</c:v>
                      </c:pt>
                      <c:pt idx="44">
                        <c:v>2.5699433929172291E-19</c:v>
                      </c:pt>
                      <c:pt idx="45">
                        <c:v>2.3632759704757133E-18</c:v>
                      </c:pt>
                      <c:pt idx="46">
                        <c:v>2.0415589079173875E-17</c:v>
                      </c:pt>
                      <c:pt idx="47">
                        <c:v>1.6567843639921881E-16</c:v>
                      </c:pt>
                      <c:pt idx="48">
                        <c:v>1.2630677708842232E-15</c:v>
                      </c:pt>
                      <c:pt idx="49">
                        <c:v>9.0457361277812933E-15</c:v>
                      </c:pt>
                      <c:pt idx="50">
                        <c:v>6.085801332572524E-14</c:v>
                      </c:pt>
                      <c:pt idx="51">
                        <c:v>3.8463448764031875E-13</c:v>
                      </c:pt>
                      <c:pt idx="52">
                        <c:v>2.2836801020911484E-12</c:v>
                      </c:pt>
                      <c:pt idx="53">
                        <c:v>1.273734489710921E-11</c:v>
                      </c:pt>
                      <c:pt idx="54">
                        <c:v>6.6738915369071298E-11</c:v>
                      </c:pt>
                      <c:pt idx="55">
                        <c:v>3.28500454538971E-10</c:v>
                      </c:pt>
                      <c:pt idx="56">
                        <c:v>1.5189707124558215E-9</c:v>
                      </c:pt>
                      <c:pt idx="57">
                        <c:v>6.5981080089264338E-9</c:v>
                      </c:pt>
                      <c:pt idx="58">
                        <c:v>2.692440010635819E-8</c:v>
                      </c:pt>
                      <c:pt idx="59">
                        <c:v>1.0321177471574996E-7</c:v>
                      </c:pt>
                      <c:pt idx="60">
                        <c:v>3.7167987868357442E-7</c:v>
                      </c:pt>
                      <c:pt idx="61">
                        <c:v>1.2573768221481113E-6</c:v>
                      </c:pt>
                      <c:pt idx="62">
                        <c:v>3.9959352767263687E-6</c:v>
                      </c:pt>
                      <c:pt idx="63">
                        <c:v>1.1929659135301238E-5</c:v>
                      </c:pt>
                      <c:pt idx="64">
                        <c:v>3.3457556441221342E-5</c:v>
                      </c:pt>
                      <c:pt idx="65">
                        <c:v>8.8148920591861352E-5</c:v>
                      </c:pt>
                      <c:pt idx="66">
                        <c:v>2.1817067376144004E-4</c:v>
                      </c:pt>
                      <c:pt idx="67">
                        <c:v>5.0726201432494203E-4</c:v>
                      </c:pt>
                      <c:pt idx="68">
                        <c:v>1.1079621029845019E-3</c:v>
                      </c:pt>
                      <c:pt idx="69">
                        <c:v>2.2733906253977632E-3</c:v>
                      </c:pt>
                      <c:pt idx="70">
                        <c:v>4.3820751233921351E-3</c:v>
                      </c:pt>
                      <c:pt idx="71">
                        <c:v>7.9349129589168545E-3</c:v>
                      </c:pt>
                      <c:pt idx="72">
                        <c:v>1.3497741628297016E-2</c:v>
                      </c:pt>
                      <c:pt idx="73">
                        <c:v>2.1569329706627883E-2</c:v>
                      </c:pt>
                      <c:pt idx="74">
                        <c:v>3.2379398916472936E-2</c:v>
                      </c:pt>
                      <c:pt idx="75">
                        <c:v>4.5662271347255479E-2</c:v>
                      </c:pt>
                      <c:pt idx="76">
                        <c:v>6.0492681129785841E-2</c:v>
                      </c:pt>
                      <c:pt idx="77">
                        <c:v>7.5284358038701107E-2</c:v>
                      </c:pt>
                      <c:pt idx="78">
                        <c:v>8.8016331691074881E-2</c:v>
                      </c:pt>
                      <c:pt idx="79">
                        <c:v>9.6667029200712309E-2</c:v>
                      </c:pt>
                      <c:pt idx="80">
                        <c:v>9.9735570100358176E-2</c:v>
                      </c:pt>
                      <c:pt idx="81">
                        <c:v>9.6667029200712309E-2</c:v>
                      </c:pt>
                      <c:pt idx="82">
                        <c:v>8.8016331691074881E-2</c:v>
                      </c:pt>
                      <c:pt idx="83">
                        <c:v>7.5284358038701107E-2</c:v>
                      </c:pt>
                      <c:pt idx="84">
                        <c:v>6.0492681129785841E-2</c:v>
                      </c:pt>
                      <c:pt idx="85">
                        <c:v>4.5662271347255479E-2</c:v>
                      </c:pt>
                      <c:pt idx="86">
                        <c:v>3.2379398916472936E-2</c:v>
                      </c:pt>
                      <c:pt idx="87">
                        <c:v>2.1569329706627883E-2</c:v>
                      </c:pt>
                      <c:pt idx="88">
                        <c:v>1.3497741628297016E-2</c:v>
                      </c:pt>
                      <c:pt idx="89">
                        <c:v>7.9349129589168545E-3</c:v>
                      </c:pt>
                      <c:pt idx="90">
                        <c:v>4.3820751233921351E-3</c:v>
                      </c:pt>
                      <c:pt idx="91">
                        <c:v>2.2733906253977632E-3</c:v>
                      </c:pt>
                      <c:pt idx="92">
                        <c:v>1.1079621029845019E-3</c:v>
                      </c:pt>
                      <c:pt idx="93">
                        <c:v>5.0726201432494203E-4</c:v>
                      </c:pt>
                      <c:pt idx="94">
                        <c:v>2.1817067376144004E-4</c:v>
                      </c:pt>
                      <c:pt idx="95">
                        <c:v>8.8148920591861352E-5</c:v>
                      </c:pt>
                      <c:pt idx="96">
                        <c:v>3.3457556441221342E-5</c:v>
                      </c:pt>
                      <c:pt idx="97">
                        <c:v>1.1929659135301238E-5</c:v>
                      </c:pt>
                      <c:pt idx="98">
                        <c:v>3.9959352767263687E-6</c:v>
                      </c:pt>
                      <c:pt idx="99">
                        <c:v>1.2573768221481113E-6</c:v>
                      </c:pt>
                      <c:pt idx="100">
                        <c:v>3.7167987868357442E-7</c:v>
                      </c:pt>
                    </c:numCache>
                  </c:numRef>
                </c: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3E0-4287-8FF9-E7211DD3C595}"/>
                  </c:ext>
                </c:extLst>
              </c15:ser>
            </c15:filteredLineSeries>
            <c15:filteredLineSeries>
              <c15:ser>
                <c:idx val="3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NR'!$H$2</c15:sqref>
                        </c15:formulaRef>
                      </c:ext>
                    </c:extLst>
                    <c:strCache>
                      <c:ptCount val="1"/>
                      <c:pt idx="0">
                        <c:v>F(x) NR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NR'!$D$3:$D$103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'Aproximácia BI NR'!$H$3:$H$103</c15:sqref>
                        </c15:formulaRef>
                      </c:ext>
                    </c:extLst>
                    <c:numCache>
                      <c:formatCode>0.000000</c:formatCode>
                      <c:ptCount val="101"/>
                      <c:pt idx="0">
                        <c:v>2.753624118606156E-89</c:v>
                      </c:pt>
                      <c:pt idx="1">
                        <c:v>4.0108917631135899E-87</c:v>
                      </c:pt>
                      <c:pt idx="2">
                        <c:v>5.4891154756602573E-85</c:v>
                      </c:pt>
                      <c:pt idx="3">
                        <c:v>7.0581465785830808E-83</c:v>
                      </c:pt>
                      <c:pt idx="4">
                        <c:v>8.5272239526309754E-81</c:v>
                      </c:pt>
                      <c:pt idx="5">
                        <c:v>9.6795514791342025E-79</c:v>
                      </c:pt>
                      <c:pt idx="6">
                        <c:v>1.0323698689563001E-76</c:v>
                      </c:pt>
                      <c:pt idx="7">
                        <c:v>1.0345463677569806E-74</c:v>
                      </c:pt>
                      <c:pt idx="8">
                        <c:v>9.7409489189368705E-73</c:v>
                      </c:pt>
                      <c:pt idx="9">
                        <c:v>8.6177013091948133E-71</c:v>
                      </c:pt>
                      <c:pt idx="10">
                        <c:v>7.1634587662350353E-69</c:v>
                      </c:pt>
                      <c:pt idx="11">
                        <c:v>5.5949683949047257E-67</c:v>
                      </c:pt>
                      <c:pt idx="12">
                        <c:v>4.1059962020987901E-65</c:v>
                      </c:pt>
                      <c:pt idx="13">
                        <c:v>2.8313142815439691E-63</c:v>
                      </c:pt>
                      <c:pt idx="14">
                        <c:v>1.8344630031647307E-61</c:v>
                      </c:pt>
                      <c:pt idx="15">
                        <c:v>1.1168221242476203E-59</c:v>
                      </c:pt>
                      <c:pt idx="16">
                        <c:v>6.3887544005379043E-58</c:v>
                      </c:pt>
                      <c:pt idx="17">
                        <c:v>3.434065749272041E-56</c:v>
                      </c:pt>
                      <c:pt idx="18">
                        <c:v>1.7344607917938206E-54</c:v>
                      </c:pt>
                      <c:pt idx="19">
                        <c:v>8.2316562905314124E-53</c:v>
                      </c:pt>
                      <c:pt idx="20">
                        <c:v>3.6709661993126968E-51</c:v>
                      </c:pt>
                      <c:pt idx="21">
                        <c:v>1.5383235465068222E-49</c:v>
                      </c:pt>
                      <c:pt idx="22">
                        <c:v>6.0574947644150487E-48</c:v>
                      </c:pt>
                      <c:pt idx="23">
                        <c:v>2.2414062326935756E-46</c:v>
                      </c:pt>
                      <c:pt idx="24">
                        <c:v>7.7935368191928013E-45</c:v>
                      </c:pt>
                      <c:pt idx="25">
                        <c:v>2.5464763159739575E-43</c:v>
                      </c:pt>
                      <c:pt idx="26">
                        <c:v>7.8188073056577831E-42</c:v>
                      </c:pt>
                      <c:pt idx="27">
                        <c:v>2.2560163396857573E-40</c:v>
                      </c:pt>
                      <c:pt idx="28">
                        <c:v>6.1171643995497067E-39</c:v>
                      </c:pt>
                      <c:pt idx="29">
                        <c:v>1.5587262888812E-37</c:v>
                      </c:pt>
                      <c:pt idx="30">
                        <c:v>3.7325642988777144E-36</c:v>
                      </c:pt>
                      <c:pt idx="31">
                        <c:v>8.3997960636332954E-35</c:v>
                      </c:pt>
                      <c:pt idx="32">
                        <c:v>1.7764821120776537E-33</c:v>
                      </c:pt>
                      <c:pt idx="33">
                        <c:v>3.5309423958858917E-32</c:v>
                      </c:pt>
                      <c:pt idx="34">
                        <c:v>6.595771446113675E-31</c:v>
                      </c:pt>
                      <c:pt idx="35">
                        <c:v>1.1579603185686336E-29</c:v>
                      </c:pt>
                      <c:pt idx="36">
                        <c:v>1.9106595744986622E-28</c:v>
                      </c:pt>
                      <c:pt idx="37">
                        <c:v>2.9630808780943598E-27</c:v>
                      </c:pt>
                      <c:pt idx="38">
                        <c:v>4.3190063178092006E-26</c:v>
                      </c:pt>
                      <c:pt idx="39">
                        <c:v>5.9171769073655357E-25</c:v>
                      </c:pt>
                      <c:pt idx="40">
                        <c:v>7.6198530241604755E-24</c:v>
                      </c:pt>
                      <c:pt idx="41">
                        <c:v>9.2234135249393585E-23</c:v>
                      </c:pt>
                      <c:pt idx="42">
                        <c:v>1.0494515075362608E-21</c:v>
                      </c:pt>
                      <c:pt idx="43">
                        <c:v>1.1224633591327901E-20</c:v>
                      </c:pt>
                      <c:pt idx="44">
                        <c:v>1.1285884059538324E-19</c:v>
                      </c:pt>
                      <c:pt idx="45">
                        <c:v>1.0667637375474852E-18</c:v>
                      </c:pt>
                      <c:pt idx="46">
                        <c:v>9.4795348222032468E-18</c:v>
                      </c:pt>
                      <c:pt idx="47">
                        <c:v>7.9197263146424757E-17</c:v>
                      </c:pt>
                      <c:pt idx="48">
                        <c:v>6.2209605742717375E-16</c:v>
                      </c:pt>
                      <c:pt idx="49">
                        <c:v>4.5946274357785631E-15</c:v>
                      </c:pt>
                      <c:pt idx="50">
                        <c:v>3.190891672910885E-14</c:v>
                      </c:pt>
                      <c:pt idx="51">
                        <c:v>2.0838581586720541E-13</c:v>
                      </c:pt>
                      <c:pt idx="52">
                        <c:v>1.2798125438858352E-12</c:v>
                      </c:pt>
                      <c:pt idx="53">
                        <c:v>7.3922577780177942E-12</c:v>
                      </c:pt>
                      <c:pt idx="54">
                        <c:v>4.0160005838590881E-11</c:v>
                      </c:pt>
                      <c:pt idx="55">
                        <c:v>2.0522634252189383E-10</c:v>
                      </c:pt>
                      <c:pt idx="56">
                        <c:v>9.8658764503769437E-10</c:v>
                      </c:pt>
                      <c:pt idx="57">
                        <c:v>4.4621724539016125E-9</c:v>
                      </c:pt>
                      <c:pt idx="58">
                        <c:v>1.8989562465887691E-8</c:v>
                      </c:pt>
                      <c:pt idx="59">
                        <c:v>7.6049605164887013E-8</c:v>
                      </c:pt>
                      <c:pt idx="60">
                        <c:v>2.8665157187919333E-7</c:v>
                      </c:pt>
                      <c:pt idx="61">
                        <c:v>1.0170832425687034E-6</c:v>
                      </c:pt>
                      <c:pt idx="62">
                        <c:v>3.3976731247300535E-6</c:v>
                      </c:pt>
                      <c:pt idx="63">
                        <c:v>1.06885257749344E-5</c:v>
                      </c:pt>
                      <c:pt idx="64">
                        <c:v>3.1671241833119857E-5</c:v>
                      </c:pt>
                      <c:pt idx="65">
                        <c:v>8.841728520080376E-5</c:v>
                      </c:pt>
                      <c:pt idx="66">
                        <c:v>2.3262907903552504E-4</c:v>
                      </c:pt>
                      <c:pt idx="67">
                        <c:v>5.7702504239076603E-4</c:v>
                      </c:pt>
                      <c:pt idx="68">
                        <c:v>1.3498980316300933E-3</c:v>
                      </c:pt>
                      <c:pt idx="69">
                        <c:v>2.9797632350545551E-3</c:v>
                      </c:pt>
                      <c:pt idx="70">
                        <c:v>6.2096653257761331E-3</c:v>
                      </c:pt>
                      <c:pt idx="71">
                        <c:v>1.2224472655044696E-2</c:v>
                      </c:pt>
                      <c:pt idx="72">
                        <c:v>2.2750131948179191E-2</c:v>
                      </c:pt>
                      <c:pt idx="73">
                        <c:v>4.00591568638171E-2</c:v>
                      </c:pt>
                      <c:pt idx="74">
                        <c:v>6.6807201268858057E-2</c:v>
                      </c:pt>
                      <c:pt idx="75">
                        <c:v>0.10564977366685525</c:v>
                      </c:pt>
                      <c:pt idx="76">
                        <c:v>0.15865525393145699</c:v>
                      </c:pt>
                      <c:pt idx="77">
                        <c:v>0.22662735237686821</c:v>
                      </c:pt>
                      <c:pt idx="78">
                        <c:v>0.30853753872598688</c:v>
                      </c:pt>
                      <c:pt idx="79">
                        <c:v>0.4012936743170763</c:v>
                      </c:pt>
                      <c:pt idx="80">
                        <c:v>0.5</c:v>
                      </c:pt>
                      <c:pt idx="81">
                        <c:v>0.5987063256829237</c:v>
                      </c:pt>
                      <c:pt idx="82">
                        <c:v>0.69146246127401312</c:v>
                      </c:pt>
                      <c:pt idx="83">
                        <c:v>0.77337264762313174</c:v>
                      </c:pt>
                      <c:pt idx="84">
                        <c:v>0.84134474606854304</c:v>
                      </c:pt>
                      <c:pt idx="85">
                        <c:v>0.89435022633314476</c:v>
                      </c:pt>
                      <c:pt idx="86">
                        <c:v>0.93319279873114191</c:v>
                      </c:pt>
                      <c:pt idx="87">
                        <c:v>0.95994084313618289</c:v>
                      </c:pt>
                      <c:pt idx="88">
                        <c:v>0.97724986805182079</c:v>
                      </c:pt>
                      <c:pt idx="89">
                        <c:v>0.98777552734495533</c:v>
                      </c:pt>
                      <c:pt idx="90">
                        <c:v>0.99379033467422384</c:v>
                      </c:pt>
                      <c:pt idx="91">
                        <c:v>0.99702023676494544</c:v>
                      </c:pt>
                      <c:pt idx="92">
                        <c:v>0.9986501019683699</c:v>
                      </c:pt>
                      <c:pt idx="93">
                        <c:v>0.99942297495760923</c:v>
                      </c:pt>
                      <c:pt idx="94">
                        <c:v>0.99976737092096446</c:v>
                      </c:pt>
                      <c:pt idx="95">
                        <c:v>0.99991158271479919</c:v>
                      </c:pt>
                      <c:pt idx="96">
                        <c:v>0.99996832875816688</c:v>
                      </c:pt>
                      <c:pt idx="97">
                        <c:v>0.9999893114742251</c:v>
                      </c:pt>
                      <c:pt idx="98">
                        <c:v>0.99999660232687526</c:v>
                      </c:pt>
                      <c:pt idx="99">
                        <c:v>0.99999898291675748</c:v>
                      </c:pt>
                      <c:pt idx="100">
                        <c:v>0.99999971334842808</c:v>
                      </c:pt>
                    </c:numCache>
                  </c:numRef>
                </c: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3E0-4287-8FF9-E7211DD3C595}"/>
                  </c:ext>
                </c:extLst>
              </c15:ser>
            </c15:filteredLineSeries>
          </c:ext>
        </c:extLst>
      </c:lineChart>
      <c:catAx>
        <c:axId val="684338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684339072"/>
        <c:crosses val="autoZero"/>
        <c:auto val="1"/>
        <c:lblAlgn val="ctr"/>
        <c:lblOffset val="100"/>
        <c:noMultiLvlLbl val="1"/>
      </c:catAx>
      <c:valAx>
        <c:axId val="6843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68433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'Normálne Rozdelenie'!$B$2</c:f>
              <c:strCache>
                <c:ptCount val="1"/>
                <c:pt idx="0">
                  <c:v>f(x)= N(170, 102)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'Normálne Rozdelenie'!$A$3:$A$85</c:f>
              <c:numCache>
                <c:formatCode>General</c:formatCode>
                <c:ptCount val="83"/>
                <c:pt idx="0">
                  <c:v>134</c:v>
                </c:pt>
                <c:pt idx="1">
                  <c:v>135</c:v>
                </c:pt>
                <c:pt idx="2">
                  <c:v>136</c:v>
                </c:pt>
                <c:pt idx="3">
                  <c:v>137</c:v>
                </c:pt>
                <c:pt idx="4">
                  <c:v>138</c:v>
                </c:pt>
                <c:pt idx="5">
                  <c:v>139</c:v>
                </c:pt>
                <c:pt idx="6">
                  <c:v>140</c:v>
                </c:pt>
                <c:pt idx="7">
                  <c:v>141</c:v>
                </c:pt>
                <c:pt idx="8">
                  <c:v>142</c:v>
                </c:pt>
                <c:pt idx="9">
                  <c:v>143</c:v>
                </c:pt>
                <c:pt idx="10">
                  <c:v>144</c:v>
                </c:pt>
                <c:pt idx="11">
                  <c:v>145</c:v>
                </c:pt>
                <c:pt idx="12">
                  <c:v>146</c:v>
                </c:pt>
                <c:pt idx="13">
                  <c:v>147</c:v>
                </c:pt>
                <c:pt idx="14">
                  <c:v>148</c:v>
                </c:pt>
                <c:pt idx="15">
                  <c:v>149</c:v>
                </c:pt>
                <c:pt idx="16">
                  <c:v>150</c:v>
                </c:pt>
                <c:pt idx="17">
                  <c:v>151</c:v>
                </c:pt>
                <c:pt idx="18">
                  <c:v>152</c:v>
                </c:pt>
                <c:pt idx="19">
                  <c:v>153</c:v>
                </c:pt>
                <c:pt idx="20">
                  <c:v>154</c:v>
                </c:pt>
                <c:pt idx="21">
                  <c:v>155</c:v>
                </c:pt>
                <c:pt idx="22">
                  <c:v>156</c:v>
                </c:pt>
                <c:pt idx="23">
                  <c:v>157</c:v>
                </c:pt>
                <c:pt idx="24">
                  <c:v>158</c:v>
                </c:pt>
                <c:pt idx="25">
                  <c:v>159</c:v>
                </c:pt>
                <c:pt idx="26">
                  <c:v>160</c:v>
                </c:pt>
                <c:pt idx="27">
                  <c:v>161</c:v>
                </c:pt>
                <c:pt idx="28">
                  <c:v>162</c:v>
                </c:pt>
                <c:pt idx="29">
                  <c:v>163</c:v>
                </c:pt>
                <c:pt idx="30">
                  <c:v>164</c:v>
                </c:pt>
                <c:pt idx="31">
                  <c:v>165</c:v>
                </c:pt>
                <c:pt idx="32">
                  <c:v>166</c:v>
                </c:pt>
                <c:pt idx="33">
                  <c:v>167</c:v>
                </c:pt>
                <c:pt idx="34">
                  <c:v>168</c:v>
                </c:pt>
                <c:pt idx="35">
                  <c:v>169</c:v>
                </c:pt>
                <c:pt idx="36">
                  <c:v>170</c:v>
                </c:pt>
                <c:pt idx="37">
                  <c:v>171</c:v>
                </c:pt>
                <c:pt idx="38">
                  <c:v>172</c:v>
                </c:pt>
                <c:pt idx="39">
                  <c:v>173</c:v>
                </c:pt>
                <c:pt idx="40">
                  <c:v>174</c:v>
                </c:pt>
                <c:pt idx="41">
                  <c:v>175</c:v>
                </c:pt>
                <c:pt idx="42">
                  <c:v>176</c:v>
                </c:pt>
                <c:pt idx="43">
                  <c:v>177</c:v>
                </c:pt>
                <c:pt idx="44">
                  <c:v>178</c:v>
                </c:pt>
                <c:pt idx="45">
                  <c:v>179</c:v>
                </c:pt>
                <c:pt idx="46">
                  <c:v>180</c:v>
                </c:pt>
                <c:pt idx="47">
                  <c:v>181</c:v>
                </c:pt>
                <c:pt idx="48">
                  <c:v>182</c:v>
                </c:pt>
                <c:pt idx="49">
                  <c:v>183</c:v>
                </c:pt>
                <c:pt idx="50">
                  <c:v>184</c:v>
                </c:pt>
                <c:pt idx="51">
                  <c:v>185</c:v>
                </c:pt>
                <c:pt idx="52">
                  <c:v>186</c:v>
                </c:pt>
                <c:pt idx="53">
                  <c:v>187</c:v>
                </c:pt>
                <c:pt idx="54">
                  <c:v>188</c:v>
                </c:pt>
                <c:pt idx="55">
                  <c:v>189</c:v>
                </c:pt>
                <c:pt idx="56">
                  <c:v>190</c:v>
                </c:pt>
                <c:pt idx="57">
                  <c:v>191</c:v>
                </c:pt>
                <c:pt idx="58">
                  <c:v>192</c:v>
                </c:pt>
                <c:pt idx="59">
                  <c:v>193</c:v>
                </c:pt>
                <c:pt idx="60">
                  <c:v>194</c:v>
                </c:pt>
                <c:pt idx="61">
                  <c:v>195</c:v>
                </c:pt>
                <c:pt idx="62">
                  <c:v>196</c:v>
                </c:pt>
                <c:pt idx="63">
                  <c:v>197</c:v>
                </c:pt>
                <c:pt idx="64">
                  <c:v>198</c:v>
                </c:pt>
                <c:pt idx="65">
                  <c:v>199</c:v>
                </c:pt>
                <c:pt idx="66">
                  <c:v>200</c:v>
                </c:pt>
                <c:pt idx="67">
                  <c:v>201</c:v>
                </c:pt>
                <c:pt idx="68">
                  <c:v>202</c:v>
                </c:pt>
                <c:pt idx="69">
                  <c:v>203</c:v>
                </c:pt>
                <c:pt idx="70">
                  <c:v>204</c:v>
                </c:pt>
                <c:pt idx="71">
                  <c:v>205</c:v>
                </c:pt>
                <c:pt idx="72">
                  <c:v>206</c:v>
                </c:pt>
                <c:pt idx="73">
                  <c:v>207</c:v>
                </c:pt>
                <c:pt idx="74">
                  <c:v>208</c:v>
                </c:pt>
                <c:pt idx="75">
                  <c:v>209</c:v>
                </c:pt>
                <c:pt idx="76">
                  <c:v>210</c:v>
                </c:pt>
                <c:pt idx="77">
                  <c:v>211</c:v>
                </c:pt>
                <c:pt idx="78">
                  <c:v>212</c:v>
                </c:pt>
                <c:pt idx="79">
                  <c:v>213</c:v>
                </c:pt>
                <c:pt idx="80">
                  <c:v>214</c:v>
                </c:pt>
                <c:pt idx="81">
                  <c:v>215</c:v>
                </c:pt>
                <c:pt idx="82">
                  <c:v>216</c:v>
                </c:pt>
              </c:numCache>
            </c:numRef>
          </c:xVal>
          <c:yVal>
            <c:numRef>
              <c:f>'Normálne Rozdelenie'!$B$3:$B$85</c:f>
              <c:numCache>
                <c:formatCode>0.0000</c:formatCode>
                <c:ptCount val="83"/>
                <c:pt idx="0">
                  <c:v>6.1190193011377187E-5</c:v>
                </c:pt>
                <c:pt idx="1">
                  <c:v>8.726826950457601E-5</c:v>
                </c:pt>
                <c:pt idx="2">
                  <c:v>1.2322191684730198E-4</c:v>
                </c:pt>
                <c:pt idx="3">
                  <c:v>1.722568939053681E-4</c:v>
                </c:pt>
                <c:pt idx="4">
                  <c:v>2.3840882014648405E-4</c:v>
                </c:pt>
                <c:pt idx="5">
                  <c:v>3.2668190561999186E-4</c:v>
                </c:pt>
                <c:pt idx="6">
                  <c:v>4.4318484119380076E-4</c:v>
                </c:pt>
                <c:pt idx="7">
                  <c:v>5.9525324197758534E-4</c:v>
                </c:pt>
                <c:pt idx="8">
                  <c:v>7.9154515829799694E-4</c:v>
                </c:pt>
                <c:pt idx="9">
                  <c:v>1.0420934814422591E-3</c:v>
                </c:pt>
                <c:pt idx="10">
                  <c:v>1.3582969233685612E-3</c:v>
                </c:pt>
                <c:pt idx="11">
                  <c:v>1.752830049356854E-3</c:v>
                </c:pt>
                <c:pt idx="12">
                  <c:v>2.2394530294842902E-3</c:v>
                </c:pt>
                <c:pt idx="13">
                  <c:v>2.8327037741601186E-3</c:v>
                </c:pt>
                <c:pt idx="14">
                  <c:v>3.5474592846231421E-3</c:v>
                </c:pt>
                <c:pt idx="15">
                  <c:v>4.3983595980427196E-3</c:v>
                </c:pt>
                <c:pt idx="16">
                  <c:v>5.3990966513188061E-3</c:v>
                </c:pt>
                <c:pt idx="17">
                  <c:v>6.5615814774676604E-3</c:v>
                </c:pt>
                <c:pt idx="18">
                  <c:v>7.8950158300894139E-3</c:v>
                </c:pt>
                <c:pt idx="19">
                  <c:v>9.4049077376886937E-3</c:v>
                </c:pt>
                <c:pt idx="20">
                  <c:v>1.1092083467945555E-2</c:v>
                </c:pt>
                <c:pt idx="21">
                  <c:v>1.2951759566589173E-2</c:v>
                </c:pt>
                <c:pt idx="22">
                  <c:v>1.4972746563574486E-2</c:v>
                </c:pt>
                <c:pt idx="23">
                  <c:v>1.7136859204780735E-2</c:v>
                </c:pt>
                <c:pt idx="24">
                  <c:v>1.9418605498321296E-2</c:v>
                </c:pt>
                <c:pt idx="25">
                  <c:v>2.1785217703255054E-2</c:v>
                </c:pt>
                <c:pt idx="26">
                  <c:v>2.4197072451914336E-2</c:v>
                </c:pt>
                <c:pt idx="27">
                  <c:v>2.6608524989875482E-2</c:v>
                </c:pt>
                <c:pt idx="28">
                  <c:v>2.8969155276148274E-2</c:v>
                </c:pt>
                <c:pt idx="29">
                  <c:v>3.1225393336676129E-2</c:v>
                </c:pt>
                <c:pt idx="30">
                  <c:v>3.3322460289179963E-2</c:v>
                </c:pt>
                <c:pt idx="31">
                  <c:v>3.5206532676429952E-2</c:v>
                </c:pt>
                <c:pt idx="32">
                  <c:v>3.6827014030332332E-2</c:v>
                </c:pt>
                <c:pt idx="33">
                  <c:v>3.8138781546052408E-2</c:v>
                </c:pt>
                <c:pt idx="34">
                  <c:v>3.9104269397545591E-2</c:v>
                </c:pt>
                <c:pt idx="35">
                  <c:v>3.9695254747701178E-2</c:v>
                </c:pt>
                <c:pt idx="36">
                  <c:v>3.9894228040143274E-2</c:v>
                </c:pt>
                <c:pt idx="37">
                  <c:v>3.9695254747701178E-2</c:v>
                </c:pt>
                <c:pt idx="38">
                  <c:v>3.9104269397545591E-2</c:v>
                </c:pt>
                <c:pt idx="39">
                  <c:v>3.8138781546052408E-2</c:v>
                </c:pt>
                <c:pt idx="40">
                  <c:v>3.6827014030332332E-2</c:v>
                </c:pt>
                <c:pt idx="41">
                  <c:v>3.5206532676429952E-2</c:v>
                </c:pt>
                <c:pt idx="42">
                  <c:v>3.3322460289179963E-2</c:v>
                </c:pt>
                <c:pt idx="43">
                  <c:v>3.1225393336676129E-2</c:v>
                </c:pt>
                <c:pt idx="44">
                  <c:v>2.8969155276148274E-2</c:v>
                </c:pt>
                <c:pt idx="45">
                  <c:v>2.6608524989875482E-2</c:v>
                </c:pt>
                <c:pt idx="46">
                  <c:v>2.4197072451914336E-2</c:v>
                </c:pt>
                <c:pt idx="47">
                  <c:v>2.1785217703255054E-2</c:v>
                </c:pt>
                <c:pt idx="48">
                  <c:v>1.9418605498321296E-2</c:v>
                </c:pt>
                <c:pt idx="49">
                  <c:v>1.7136859204780735E-2</c:v>
                </c:pt>
                <c:pt idx="50">
                  <c:v>1.4972746563574486E-2</c:v>
                </c:pt>
                <c:pt idx="51">
                  <c:v>1.2951759566589173E-2</c:v>
                </c:pt>
                <c:pt idx="52">
                  <c:v>1.1092083467945555E-2</c:v>
                </c:pt>
                <c:pt idx="53">
                  <c:v>9.4049077376886937E-3</c:v>
                </c:pt>
                <c:pt idx="54">
                  <c:v>7.8950158300894139E-3</c:v>
                </c:pt>
                <c:pt idx="55">
                  <c:v>6.5615814774676604E-3</c:v>
                </c:pt>
                <c:pt idx="56">
                  <c:v>5.3990966513188061E-3</c:v>
                </c:pt>
                <c:pt idx="57">
                  <c:v>4.3983595980427196E-3</c:v>
                </c:pt>
                <c:pt idx="58">
                  <c:v>3.5474592846231421E-3</c:v>
                </c:pt>
                <c:pt idx="59">
                  <c:v>2.8327037741601186E-3</c:v>
                </c:pt>
                <c:pt idx="60">
                  <c:v>2.2394530294842902E-3</c:v>
                </c:pt>
                <c:pt idx="61">
                  <c:v>1.752830049356854E-3</c:v>
                </c:pt>
                <c:pt idx="62">
                  <c:v>1.3582969233685612E-3</c:v>
                </c:pt>
                <c:pt idx="63">
                  <c:v>1.0420934814422591E-3</c:v>
                </c:pt>
                <c:pt idx="64">
                  <c:v>7.9154515829799694E-4</c:v>
                </c:pt>
                <c:pt idx="65">
                  <c:v>5.9525324197758534E-4</c:v>
                </c:pt>
                <c:pt idx="66">
                  <c:v>4.4318484119380076E-4</c:v>
                </c:pt>
                <c:pt idx="67">
                  <c:v>3.2668190561999186E-4</c:v>
                </c:pt>
                <c:pt idx="68">
                  <c:v>2.3840882014648405E-4</c:v>
                </c:pt>
                <c:pt idx="69">
                  <c:v>1.722568939053681E-4</c:v>
                </c:pt>
                <c:pt idx="70">
                  <c:v>1.2322191684730198E-4</c:v>
                </c:pt>
                <c:pt idx="71">
                  <c:v>8.726826950457601E-5</c:v>
                </c:pt>
                <c:pt idx="72">
                  <c:v>6.1190193011377187E-5</c:v>
                </c:pt>
                <c:pt idx="73">
                  <c:v>4.2478027055075142E-5</c:v>
                </c:pt>
                <c:pt idx="74">
                  <c:v>2.9194692579146026E-5</c:v>
                </c:pt>
                <c:pt idx="75">
                  <c:v>1.9865547139277272E-5</c:v>
                </c:pt>
                <c:pt idx="76">
                  <c:v>1.3383022576488536E-5</c:v>
                </c:pt>
                <c:pt idx="77">
                  <c:v>8.9261657177132918E-6</c:v>
                </c:pt>
                <c:pt idx="78">
                  <c:v>5.8943067756539858E-6</c:v>
                </c:pt>
                <c:pt idx="79">
                  <c:v>3.8535196742087128E-6</c:v>
                </c:pt>
                <c:pt idx="80">
                  <c:v>2.4942471290053532E-6</c:v>
                </c:pt>
                <c:pt idx="81">
                  <c:v>1.5983741106905478E-6</c:v>
                </c:pt>
                <c:pt idx="82">
                  <c:v>1.014085206548676E-6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73-4E79-8DA1-F1FFF67B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335264"/>
        <c:axId val="355325752"/>
      </c:scatterChart>
      <c:valAx>
        <c:axId val="355335264"/>
        <c:scaling>
          <c:orientation val="minMax"/>
          <c:min val="1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355325752"/>
        <c:crosses val="autoZero"/>
        <c:crossBetween val="midCat"/>
      </c:valAx>
      <c:valAx>
        <c:axId val="35532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35533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'Normálne Rozdelenie'!$G$2</c:f>
              <c:strCache>
                <c:ptCount val="1"/>
                <c:pt idx="0">
                  <c:v>f(z)= N(0, 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'Normálne Rozdelenie'!$F$3:$F$85</c:f>
              <c:numCache>
                <c:formatCode>General</c:formatCode>
                <c:ptCount val="83"/>
                <c:pt idx="0">
                  <c:v>-3.6</c:v>
                </c:pt>
                <c:pt idx="1">
                  <c:v>-3.5</c:v>
                </c:pt>
                <c:pt idx="2">
                  <c:v>-3.4</c:v>
                </c:pt>
                <c:pt idx="3">
                  <c:v>-3.3</c:v>
                </c:pt>
                <c:pt idx="4">
                  <c:v>-3.2</c:v>
                </c:pt>
                <c:pt idx="5">
                  <c:v>-3.1</c:v>
                </c:pt>
                <c:pt idx="6">
                  <c:v>-3</c:v>
                </c:pt>
                <c:pt idx="7">
                  <c:v>-2.9</c:v>
                </c:pt>
                <c:pt idx="8">
                  <c:v>-2.8</c:v>
                </c:pt>
                <c:pt idx="9">
                  <c:v>-2.7</c:v>
                </c:pt>
                <c:pt idx="10">
                  <c:v>-2.6</c:v>
                </c:pt>
                <c:pt idx="11">
                  <c:v>-2.5</c:v>
                </c:pt>
                <c:pt idx="12">
                  <c:v>-2.4</c:v>
                </c:pt>
                <c:pt idx="13">
                  <c:v>-2.2999999999999998</c:v>
                </c:pt>
                <c:pt idx="14">
                  <c:v>-2.2000000000000002</c:v>
                </c:pt>
                <c:pt idx="15">
                  <c:v>-2.1</c:v>
                </c:pt>
                <c:pt idx="16">
                  <c:v>-2</c:v>
                </c:pt>
                <c:pt idx="17">
                  <c:v>-1.9</c:v>
                </c:pt>
                <c:pt idx="18">
                  <c:v>-1.8</c:v>
                </c:pt>
                <c:pt idx="19">
                  <c:v>-1.7</c:v>
                </c:pt>
                <c:pt idx="20">
                  <c:v>-1.6</c:v>
                </c:pt>
                <c:pt idx="21">
                  <c:v>-1.5</c:v>
                </c:pt>
                <c:pt idx="22">
                  <c:v>-1.4</c:v>
                </c:pt>
                <c:pt idx="23">
                  <c:v>-1.3</c:v>
                </c:pt>
                <c:pt idx="24">
                  <c:v>-1.2</c:v>
                </c:pt>
                <c:pt idx="25">
                  <c:v>-1.1000000000000001</c:v>
                </c:pt>
                <c:pt idx="26">
                  <c:v>-1</c:v>
                </c:pt>
                <c:pt idx="27">
                  <c:v>-0.9</c:v>
                </c:pt>
                <c:pt idx="28">
                  <c:v>-0.8</c:v>
                </c:pt>
                <c:pt idx="29">
                  <c:v>-0.7</c:v>
                </c:pt>
                <c:pt idx="30">
                  <c:v>-0.6</c:v>
                </c:pt>
                <c:pt idx="31">
                  <c:v>-0.5</c:v>
                </c:pt>
                <c:pt idx="32">
                  <c:v>-0.4</c:v>
                </c:pt>
                <c:pt idx="33">
                  <c:v>-0.3</c:v>
                </c:pt>
                <c:pt idx="34">
                  <c:v>-0.2</c:v>
                </c:pt>
                <c:pt idx="35">
                  <c:v>-0.1</c:v>
                </c:pt>
                <c:pt idx="36">
                  <c:v>0</c:v>
                </c:pt>
                <c:pt idx="37">
                  <c:v>0.1</c:v>
                </c:pt>
                <c:pt idx="38">
                  <c:v>0.2</c:v>
                </c:pt>
                <c:pt idx="39">
                  <c:v>0.3</c:v>
                </c:pt>
                <c:pt idx="40">
                  <c:v>0.4</c:v>
                </c:pt>
                <c:pt idx="41">
                  <c:v>0.5</c:v>
                </c:pt>
                <c:pt idx="42">
                  <c:v>0.6</c:v>
                </c:pt>
                <c:pt idx="43">
                  <c:v>0.7</c:v>
                </c:pt>
                <c:pt idx="44">
                  <c:v>0.8</c:v>
                </c:pt>
                <c:pt idx="45">
                  <c:v>0.9</c:v>
                </c:pt>
                <c:pt idx="46">
                  <c:v>1</c:v>
                </c:pt>
                <c:pt idx="47">
                  <c:v>1.1000000000000001</c:v>
                </c:pt>
                <c:pt idx="48">
                  <c:v>1.2</c:v>
                </c:pt>
                <c:pt idx="49">
                  <c:v>1.3</c:v>
                </c:pt>
                <c:pt idx="50">
                  <c:v>1.4</c:v>
                </c:pt>
                <c:pt idx="51">
                  <c:v>1.5</c:v>
                </c:pt>
                <c:pt idx="52">
                  <c:v>1.6</c:v>
                </c:pt>
                <c:pt idx="53">
                  <c:v>1.7</c:v>
                </c:pt>
                <c:pt idx="54">
                  <c:v>1.8</c:v>
                </c:pt>
                <c:pt idx="55">
                  <c:v>1.9</c:v>
                </c:pt>
                <c:pt idx="56">
                  <c:v>2</c:v>
                </c:pt>
                <c:pt idx="57">
                  <c:v>2.1</c:v>
                </c:pt>
                <c:pt idx="58">
                  <c:v>2.2000000000000002</c:v>
                </c:pt>
                <c:pt idx="59">
                  <c:v>2.2999999999999998</c:v>
                </c:pt>
                <c:pt idx="60">
                  <c:v>2.4</c:v>
                </c:pt>
                <c:pt idx="61">
                  <c:v>2.5</c:v>
                </c:pt>
                <c:pt idx="62">
                  <c:v>2.6</c:v>
                </c:pt>
                <c:pt idx="63">
                  <c:v>2.7</c:v>
                </c:pt>
                <c:pt idx="64">
                  <c:v>2.8</c:v>
                </c:pt>
                <c:pt idx="65">
                  <c:v>2.9</c:v>
                </c:pt>
                <c:pt idx="66">
                  <c:v>3</c:v>
                </c:pt>
                <c:pt idx="67">
                  <c:v>3.1</c:v>
                </c:pt>
                <c:pt idx="68">
                  <c:v>3.2</c:v>
                </c:pt>
                <c:pt idx="69">
                  <c:v>3.3</c:v>
                </c:pt>
                <c:pt idx="70">
                  <c:v>3.4</c:v>
                </c:pt>
                <c:pt idx="71">
                  <c:v>3.5</c:v>
                </c:pt>
                <c:pt idx="72">
                  <c:v>3.6</c:v>
                </c:pt>
                <c:pt idx="73">
                  <c:v>3.7</c:v>
                </c:pt>
                <c:pt idx="74">
                  <c:v>3.8</c:v>
                </c:pt>
                <c:pt idx="75">
                  <c:v>3.9</c:v>
                </c:pt>
                <c:pt idx="76">
                  <c:v>4</c:v>
                </c:pt>
                <c:pt idx="77">
                  <c:v>4.0999999999999996</c:v>
                </c:pt>
                <c:pt idx="78">
                  <c:v>4.2</c:v>
                </c:pt>
                <c:pt idx="79">
                  <c:v>4.3</c:v>
                </c:pt>
                <c:pt idx="80">
                  <c:v>4.4000000000000004</c:v>
                </c:pt>
                <c:pt idx="81">
                  <c:v>4.5</c:v>
                </c:pt>
                <c:pt idx="82">
                  <c:v>4.5999999999999996</c:v>
                </c:pt>
              </c:numCache>
            </c:numRef>
          </c:xVal>
          <c:yVal>
            <c:numRef>
              <c:f>'Normálne Rozdelenie'!$G$3:$G$85</c:f>
              <c:numCache>
                <c:formatCode>0.0000</c:formatCode>
                <c:ptCount val="83"/>
                <c:pt idx="0">
                  <c:v>6.119019301137719E-4</c:v>
                </c:pt>
                <c:pt idx="1">
                  <c:v>8.7268269504576015E-4</c:v>
                </c:pt>
                <c:pt idx="2">
                  <c:v>1.2322191684730199E-3</c:v>
                </c:pt>
                <c:pt idx="3">
                  <c:v>1.7225689390536812E-3</c:v>
                </c:pt>
                <c:pt idx="4">
                  <c:v>2.3840882014648404E-3</c:v>
                </c:pt>
                <c:pt idx="5">
                  <c:v>3.2668190561999182E-3</c:v>
                </c:pt>
                <c:pt idx="6">
                  <c:v>4.4318484119380075E-3</c:v>
                </c:pt>
                <c:pt idx="7">
                  <c:v>5.9525324197758538E-3</c:v>
                </c:pt>
                <c:pt idx="8">
                  <c:v>7.9154515829799686E-3</c:v>
                </c:pt>
                <c:pt idx="9">
                  <c:v>1.0420934814422592E-2</c:v>
                </c:pt>
                <c:pt idx="10">
                  <c:v>1.3582969233685613E-2</c:v>
                </c:pt>
                <c:pt idx="11">
                  <c:v>1.752830049356854E-2</c:v>
                </c:pt>
                <c:pt idx="12">
                  <c:v>2.2394530294842899E-2</c:v>
                </c:pt>
                <c:pt idx="13">
                  <c:v>2.8327037741601186E-2</c:v>
                </c:pt>
                <c:pt idx="14">
                  <c:v>3.5474592846231424E-2</c:v>
                </c:pt>
                <c:pt idx="15">
                  <c:v>4.3983595980427191E-2</c:v>
                </c:pt>
                <c:pt idx="16">
                  <c:v>5.3990966513188063E-2</c:v>
                </c:pt>
                <c:pt idx="17">
                  <c:v>6.5615814774676595E-2</c:v>
                </c:pt>
                <c:pt idx="18">
                  <c:v>7.8950158300894149E-2</c:v>
                </c:pt>
                <c:pt idx="19">
                  <c:v>9.4049077376886947E-2</c:v>
                </c:pt>
                <c:pt idx="20">
                  <c:v>0.11092083467945554</c:v>
                </c:pt>
                <c:pt idx="21">
                  <c:v>0.12951759566589174</c:v>
                </c:pt>
                <c:pt idx="22">
                  <c:v>0.14972746563574488</c:v>
                </c:pt>
                <c:pt idx="23">
                  <c:v>0.17136859204780736</c:v>
                </c:pt>
                <c:pt idx="24">
                  <c:v>0.19418605498321295</c:v>
                </c:pt>
                <c:pt idx="25">
                  <c:v>0.21785217703255053</c:v>
                </c:pt>
                <c:pt idx="26">
                  <c:v>0.24197072451914337</c:v>
                </c:pt>
                <c:pt idx="27">
                  <c:v>0.26608524989875482</c:v>
                </c:pt>
                <c:pt idx="28">
                  <c:v>0.28969155276148273</c:v>
                </c:pt>
                <c:pt idx="29">
                  <c:v>0.31225393336676127</c:v>
                </c:pt>
                <c:pt idx="30">
                  <c:v>0.33322460289179967</c:v>
                </c:pt>
                <c:pt idx="31">
                  <c:v>0.35206532676429952</c:v>
                </c:pt>
                <c:pt idx="32">
                  <c:v>0.36827014030332333</c:v>
                </c:pt>
                <c:pt idx="33">
                  <c:v>0.38138781546052414</c:v>
                </c:pt>
                <c:pt idx="34">
                  <c:v>0.39104269397545588</c:v>
                </c:pt>
                <c:pt idx="35">
                  <c:v>0.39695254747701181</c:v>
                </c:pt>
                <c:pt idx="36">
                  <c:v>0.3989422804014327</c:v>
                </c:pt>
                <c:pt idx="37">
                  <c:v>0.39695254747701181</c:v>
                </c:pt>
                <c:pt idx="38">
                  <c:v>0.39104269397545588</c:v>
                </c:pt>
                <c:pt idx="39">
                  <c:v>0.38138781546052414</c:v>
                </c:pt>
                <c:pt idx="40">
                  <c:v>0.36827014030332333</c:v>
                </c:pt>
                <c:pt idx="41">
                  <c:v>0.35206532676429952</c:v>
                </c:pt>
                <c:pt idx="42">
                  <c:v>0.33322460289179967</c:v>
                </c:pt>
                <c:pt idx="43">
                  <c:v>0.31225393336676127</c:v>
                </c:pt>
                <c:pt idx="44">
                  <c:v>0.28969155276148273</c:v>
                </c:pt>
                <c:pt idx="45">
                  <c:v>0.26608524989875482</c:v>
                </c:pt>
                <c:pt idx="46">
                  <c:v>0.24197072451914337</c:v>
                </c:pt>
                <c:pt idx="47">
                  <c:v>0.21785217703255053</c:v>
                </c:pt>
                <c:pt idx="48">
                  <c:v>0.19418605498321295</c:v>
                </c:pt>
                <c:pt idx="49">
                  <c:v>0.17136859204780736</c:v>
                </c:pt>
                <c:pt idx="50">
                  <c:v>0.14972746563574488</c:v>
                </c:pt>
                <c:pt idx="51">
                  <c:v>0.12951759566589174</c:v>
                </c:pt>
                <c:pt idx="52">
                  <c:v>0.11092083467945554</c:v>
                </c:pt>
                <c:pt idx="53">
                  <c:v>9.4049077376886947E-2</c:v>
                </c:pt>
                <c:pt idx="54">
                  <c:v>7.8950158300894149E-2</c:v>
                </c:pt>
                <c:pt idx="55">
                  <c:v>6.5615814774676595E-2</c:v>
                </c:pt>
                <c:pt idx="56">
                  <c:v>5.3990966513188063E-2</c:v>
                </c:pt>
                <c:pt idx="57">
                  <c:v>4.3983595980427191E-2</c:v>
                </c:pt>
                <c:pt idx="58">
                  <c:v>3.5474592846231424E-2</c:v>
                </c:pt>
                <c:pt idx="59">
                  <c:v>2.8327037741601186E-2</c:v>
                </c:pt>
                <c:pt idx="60">
                  <c:v>2.2394530294842899E-2</c:v>
                </c:pt>
                <c:pt idx="61">
                  <c:v>1.752830049356854E-2</c:v>
                </c:pt>
                <c:pt idx="62">
                  <c:v>1.3582969233685613E-2</c:v>
                </c:pt>
                <c:pt idx="63">
                  <c:v>1.0420934814422592E-2</c:v>
                </c:pt>
                <c:pt idx="64">
                  <c:v>7.9154515829799686E-3</c:v>
                </c:pt>
                <c:pt idx="65">
                  <c:v>5.9525324197758538E-3</c:v>
                </c:pt>
                <c:pt idx="66">
                  <c:v>4.4318484119380075E-3</c:v>
                </c:pt>
                <c:pt idx="67">
                  <c:v>3.2668190561999182E-3</c:v>
                </c:pt>
                <c:pt idx="68">
                  <c:v>2.3840882014648404E-3</c:v>
                </c:pt>
                <c:pt idx="69">
                  <c:v>1.7225689390536812E-3</c:v>
                </c:pt>
                <c:pt idx="70">
                  <c:v>1.2322191684730199E-3</c:v>
                </c:pt>
                <c:pt idx="71">
                  <c:v>8.7268269504576015E-4</c:v>
                </c:pt>
                <c:pt idx="72">
                  <c:v>6.119019301137719E-4</c:v>
                </c:pt>
                <c:pt idx="73">
                  <c:v>4.2478027055075143E-4</c:v>
                </c:pt>
                <c:pt idx="74">
                  <c:v>2.9194692579146027E-4</c:v>
                </c:pt>
                <c:pt idx="75">
                  <c:v>1.9865547139277272E-4</c:v>
                </c:pt>
                <c:pt idx="76">
                  <c:v>1.3383022576488537E-4</c:v>
                </c:pt>
                <c:pt idx="77">
                  <c:v>8.9261657177132928E-5</c:v>
                </c:pt>
                <c:pt idx="78">
                  <c:v>5.8943067756539855E-5</c:v>
                </c:pt>
                <c:pt idx="79">
                  <c:v>3.8535196742087129E-5</c:v>
                </c:pt>
                <c:pt idx="80">
                  <c:v>2.4942471290053535E-5</c:v>
                </c:pt>
                <c:pt idx="81">
                  <c:v>1.5983741106905475E-5</c:v>
                </c:pt>
                <c:pt idx="82">
                  <c:v>1.0140852065486758E-5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BE-4717-A25A-989BEC079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865528"/>
        <c:axId val="562861920"/>
      </c:scatterChart>
      <c:valAx>
        <c:axId val="562865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562861920"/>
        <c:crosses val="autoZero"/>
        <c:crossBetween val="midCat"/>
      </c:valAx>
      <c:valAx>
        <c:axId val="5628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562865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'Normálne Rozdelenie'!$D$2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'Normálne Rozdelenie'!$A$3:$A$85</c:f>
              <c:numCache>
                <c:formatCode>General</c:formatCode>
                <c:ptCount val="83"/>
                <c:pt idx="0">
                  <c:v>134</c:v>
                </c:pt>
                <c:pt idx="1">
                  <c:v>135</c:v>
                </c:pt>
                <c:pt idx="2">
                  <c:v>136</c:v>
                </c:pt>
                <c:pt idx="3">
                  <c:v>137</c:v>
                </c:pt>
                <c:pt idx="4">
                  <c:v>138</c:v>
                </c:pt>
                <c:pt idx="5">
                  <c:v>139</c:v>
                </c:pt>
                <c:pt idx="6">
                  <c:v>140</c:v>
                </c:pt>
                <c:pt idx="7">
                  <c:v>141</c:v>
                </c:pt>
                <c:pt idx="8">
                  <c:v>142</c:v>
                </c:pt>
                <c:pt idx="9">
                  <c:v>143</c:v>
                </c:pt>
                <c:pt idx="10">
                  <c:v>144</c:v>
                </c:pt>
                <c:pt idx="11">
                  <c:v>145</c:v>
                </c:pt>
                <c:pt idx="12">
                  <c:v>146</c:v>
                </c:pt>
                <c:pt idx="13">
                  <c:v>147</c:v>
                </c:pt>
                <c:pt idx="14">
                  <c:v>148</c:v>
                </c:pt>
                <c:pt idx="15">
                  <c:v>149</c:v>
                </c:pt>
                <c:pt idx="16">
                  <c:v>150</c:v>
                </c:pt>
                <c:pt idx="17">
                  <c:v>151</c:v>
                </c:pt>
                <c:pt idx="18">
                  <c:v>152</c:v>
                </c:pt>
                <c:pt idx="19">
                  <c:v>153</c:v>
                </c:pt>
                <c:pt idx="20">
                  <c:v>154</c:v>
                </c:pt>
                <c:pt idx="21">
                  <c:v>155</c:v>
                </c:pt>
                <c:pt idx="22">
                  <c:v>156</c:v>
                </c:pt>
                <c:pt idx="23">
                  <c:v>157</c:v>
                </c:pt>
                <c:pt idx="24">
                  <c:v>158</c:v>
                </c:pt>
                <c:pt idx="25">
                  <c:v>159</c:v>
                </c:pt>
                <c:pt idx="26">
                  <c:v>160</c:v>
                </c:pt>
                <c:pt idx="27">
                  <c:v>161</c:v>
                </c:pt>
                <c:pt idx="28">
                  <c:v>162</c:v>
                </c:pt>
                <c:pt idx="29">
                  <c:v>163</c:v>
                </c:pt>
                <c:pt idx="30">
                  <c:v>164</c:v>
                </c:pt>
                <c:pt idx="31">
                  <c:v>165</c:v>
                </c:pt>
                <c:pt idx="32">
                  <c:v>166</c:v>
                </c:pt>
                <c:pt idx="33">
                  <c:v>167</c:v>
                </c:pt>
                <c:pt idx="34">
                  <c:v>168</c:v>
                </c:pt>
                <c:pt idx="35">
                  <c:v>169</c:v>
                </c:pt>
                <c:pt idx="36">
                  <c:v>170</c:v>
                </c:pt>
                <c:pt idx="37">
                  <c:v>171</c:v>
                </c:pt>
                <c:pt idx="38">
                  <c:v>172</c:v>
                </c:pt>
                <c:pt idx="39">
                  <c:v>173</c:v>
                </c:pt>
                <c:pt idx="40">
                  <c:v>174</c:v>
                </c:pt>
                <c:pt idx="41">
                  <c:v>175</c:v>
                </c:pt>
                <c:pt idx="42">
                  <c:v>176</c:v>
                </c:pt>
                <c:pt idx="43">
                  <c:v>177</c:v>
                </c:pt>
                <c:pt idx="44">
                  <c:v>178</c:v>
                </c:pt>
                <c:pt idx="45">
                  <c:v>179</c:v>
                </c:pt>
                <c:pt idx="46">
                  <c:v>180</c:v>
                </c:pt>
                <c:pt idx="47">
                  <c:v>181</c:v>
                </c:pt>
                <c:pt idx="48">
                  <c:v>182</c:v>
                </c:pt>
                <c:pt idx="49">
                  <c:v>183</c:v>
                </c:pt>
                <c:pt idx="50">
                  <c:v>184</c:v>
                </c:pt>
                <c:pt idx="51">
                  <c:v>185</c:v>
                </c:pt>
                <c:pt idx="52">
                  <c:v>186</c:v>
                </c:pt>
                <c:pt idx="53">
                  <c:v>187</c:v>
                </c:pt>
                <c:pt idx="54">
                  <c:v>188</c:v>
                </c:pt>
                <c:pt idx="55">
                  <c:v>189</c:v>
                </c:pt>
                <c:pt idx="56">
                  <c:v>190</c:v>
                </c:pt>
                <c:pt idx="57">
                  <c:v>191</c:v>
                </c:pt>
                <c:pt idx="58">
                  <c:v>192</c:v>
                </c:pt>
                <c:pt idx="59">
                  <c:v>193</c:v>
                </c:pt>
                <c:pt idx="60">
                  <c:v>194</c:v>
                </c:pt>
                <c:pt idx="61">
                  <c:v>195</c:v>
                </c:pt>
                <c:pt idx="62">
                  <c:v>196</c:v>
                </c:pt>
                <c:pt idx="63">
                  <c:v>197</c:v>
                </c:pt>
                <c:pt idx="64">
                  <c:v>198</c:v>
                </c:pt>
                <c:pt idx="65">
                  <c:v>199</c:v>
                </c:pt>
                <c:pt idx="66">
                  <c:v>200</c:v>
                </c:pt>
                <c:pt idx="67">
                  <c:v>201</c:v>
                </c:pt>
                <c:pt idx="68">
                  <c:v>202</c:v>
                </c:pt>
                <c:pt idx="69">
                  <c:v>203</c:v>
                </c:pt>
                <c:pt idx="70">
                  <c:v>204</c:v>
                </c:pt>
                <c:pt idx="71">
                  <c:v>205</c:v>
                </c:pt>
                <c:pt idx="72">
                  <c:v>206</c:v>
                </c:pt>
                <c:pt idx="73">
                  <c:v>207</c:v>
                </c:pt>
                <c:pt idx="74">
                  <c:v>208</c:v>
                </c:pt>
                <c:pt idx="75">
                  <c:v>209</c:v>
                </c:pt>
                <c:pt idx="76">
                  <c:v>210</c:v>
                </c:pt>
                <c:pt idx="77">
                  <c:v>211</c:v>
                </c:pt>
                <c:pt idx="78">
                  <c:v>212</c:v>
                </c:pt>
                <c:pt idx="79">
                  <c:v>213</c:v>
                </c:pt>
                <c:pt idx="80">
                  <c:v>214</c:v>
                </c:pt>
                <c:pt idx="81">
                  <c:v>215</c:v>
                </c:pt>
                <c:pt idx="82">
                  <c:v>216</c:v>
                </c:pt>
              </c:numCache>
            </c:numRef>
          </c:xVal>
          <c:yVal>
            <c:numRef>
              <c:f>'Normálne Rozdelenie'!$D$3:$D$85</c:f>
              <c:numCache>
                <c:formatCode>0.0000</c:formatCode>
                <c:ptCount val="83"/>
                <c:pt idx="0">
                  <c:v>1.5910859015753364E-4</c:v>
                </c:pt>
                <c:pt idx="1">
                  <c:v>2.3262907903552504E-4</c:v>
                </c:pt>
                <c:pt idx="2">
                  <c:v>3.369292656768808E-4</c:v>
                </c:pt>
                <c:pt idx="3">
                  <c:v>4.8342414238377744E-4</c:v>
                </c:pt>
                <c:pt idx="4">
                  <c:v>6.8713793791584719E-4</c:v>
                </c:pt>
                <c:pt idx="5">
                  <c:v>9.676032132183561E-4</c:v>
                </c:pt>
                <c:pt idx="6">
                  <c:v>1.3498980316300933E-3</c:v>
                </c:pt>
                <c:pt idx="7">
                  <c:v>1.8658133003840378E-3</c:v>
                </c:pt>
                <c:pt idx="8">
                  <c:v>2.5551303304279312E-3</c:v>
                </c:pt>
                <c:pt idx="9">
                  <c:v>3.4669738030406643E-3</c:v>
                </c:pt>
                <c:pt idx="10">
                  <c:v>4.6611880237187476E-3</c:v>
                </c:pt>
                <c:pt idx="11">
                  <c:v>6.2096653257761331E-3</c:v>
                </c:pt>
                <c:pt idx="12">
                  <c:v>8.1975359245961311E-3</c:v>
                </c:pt>
                <c:pt idx="13">
                  <c:v>1.0724110021675811E-2</c:v>
                </c:pt>
                <c:pt idx="14">
                  <c:v>1.3903447513498597E-2</c:v>
                </c:pt>
                <c:pt idx="15">
                  <c:v>1.7864420562816546E-2</c:v>
                </c:pt>
                <c:pt idx="16">
                  <c:v>2.2750131948179191E-2</c:v>
                </c:pt>
                <c:pt idx="17">
                  <c:v>2.87165598160018E-2</c:v>
                </c:pt>
                <c:pt idx="18">
                  <c:v>3.5930319112925789E-2</c:v>
                </c:pt>
                <c:pt idx="19">
                  <c:v>4.4565462758543041E-2</c:v>
                </c:pt>
                <c:pt idx="20">
                  <c:v>5.4799291699557967E-2</c:v>
                </c:pt>
                <c:pt idx="21">
                  <c:v>6.6807201268858057E-2</c:v>
                </c:pt>
                <c:pt idx="22">
                  <c:v>8.0756659233771053E-2</c:v>
                </c:pt>
                <c:pt idx="23">
                  <c:v>9.6800484585610316E-2</c:v>
                </c:pt>
                <c:pt idx="24">
                  <c:v>0.11506967022170828</c:v>
                </c:pt>
                <c:pt idx="25">
                  <c:v>0.13566606094638264</c:v>
                </c:pt>
                <c:pt idx="26">
                  <c:v>0.15865525393145699</c:v>
                </c:pt>
                <c:pt idx="27">
                  <c:v>0.1840601253467595</c:v>
                </c:pt>
                <c:pt idx="28">
                  <c:v>0.21185539858339661</c:v>
                </c:pt>
                <c:pt idx="29">
                  <c:v>0.24196365222307298</c:v>
                </c:pt>
                <c:pt idx="30">
                  <c:v>0.27425311775007355</c:v>
                </c:pt>
                <c:pt idx="31">
                  <c:v>0.30853753872598688</c:v>
                </c:pt>
                <c:pt idx="32">
                  <c:v>0.34457825838967576</c:v>
                </c:pt>
                <c:pt idx="33">
                  <c:v>0.38208857781104733</c:v>
                </c:pt>
                <c:pt idx="34">
                  <c:v>0.42074029056089696</c:v>
                </c:pt>
                <c:pt idx="35">
                  <c:v>0.46017216272297101</c:v>
                </c:pt>
                <c:pt idx="36">
                  <c:v>0.5</c:v>
                </c:pt>
                <c:pt idx="37">
                  <c:v>0.53982783727702899</c:v>
                </c:pt>
                <c:pt idx="38">
                  <c:v>0.57925970943910299</c:v>
                </c:pt>
                <c:pt idx="39">
                  <c:v>0.61791142218895267</c:v>
                </c:pt>
                <c:pt idx="40">
                  <c:v>0.65542174161032429</c:v>
                </c:pt>
                <c:pt idx="41">
                  <c:v>0.69146246127401312</c:v>
                </c:pt>
                <c:pt idx="42">
                  <c:v>0.72574688224992645</c:v>
                </c:pt>
                <c:pt idx="43">
                  <c:v>0.75803634777692697</c:v>
                </c:pt>
                <c:pt idx="44">
                  <c:v>0.78814460141660336</c:v>
                </c:pt>
                <c:pt idx="45">
                  <c:v>0.81593987465324047</c:v>
                </c:pt>
                <c:pt idx="46">
                  <c:v>0.84134474606854304</c:v>
                </c:pt>
                <c:pt idx="47">
                  <c:v>0.86433393905361733</c:v>
                </c:pt>
                <c:pt idx="48">
                  <c:v>0.88493032977829178</c:v>
                </c:pt>
                <c:pt idx="49">
                  <c:v>0.9031995154143897</c:v>
                </c:pt>
                <c:pt idx="50">
                  <c:v>0.91924334076622893</c:v>
                </c:pt>
                <c:pt idx="51">
                  <c:v>0.93319279873114191</c:v>
                </c:pt>
                <c:pt idx="52">
                  <c:v>0.94520070830044201</c:v>
                </c:pt>
                <c:pt idx="53">
                  <c:v>0.95543453724145699</c:v>
                </c:pt>
                <c:pt idx="54">
                  <c:v>0.96406968088707423</c:v>
                </c:pt>
                <c:pt idx="55">
                  <c:v>0.97128344018399815</c:v>
                </c:pt>
                <c:pt idx="56">
                  <c:v>0.97724986805182079</c:v>
                </c:pt>
                <c:pt idx="57">
                  <c:v>0.98213557943718344</c:v>
                </c:pt>
                <c:pt idx="58">
                  <c:v>0.98609655248650141</c:v>
                </c:pt>
                <c:pt idx="59">
                  <c:v>0.98927588997832416</c:v>
                </c:pt>
                <c:pt idx="60">
                  <c:v>0.99180246407540384</c:v>
                </c:pt>
                <c:pt idx="61">
                  <c:v>0.99379033467422384</c:v>
                </c:pt>
                <c:pt idx="62">
                  <c:v>0.99533881197628127</c:v>
                </c:pt>
                <c:pt idx="63">
                  <c:v>0.99653302619695938</c:v>
                </c:pt>
                <c:pt idx="64">
                  <c:v>0.99744486966957202</c:v>
                </c:pt>
                <c:pt idx="65">
                  <c:v>0.99813418669961596</c:v>
                </c:pt>
                <c:pt idx="66">
                  <c:v>0.9986501019683699</c:v>
                </c:pt>
                <c:pt idx="67">
                  <c:v>0.99903239678678168</c:v>
                </c:pt>
                <c:pt idx="68">
                  <c:v>0.99931286206208414</c:v>
                </c:pt>
                <c:pt idx="69">
                  <c:v>0.99951657585761622</c:v>
                </c:pt>
                <c:pt idx="70">
                  <c:v>0.99966307073432314</c:v>
                </c:pt>
                <c:pt idx="71">
                  <c:v>0.99976737092096446</c:v>
                </c:pt>
                <c:pt idx="72">
                  <c:v>0.99984089140984245</c:v>
                </c:pt>
                <c:pt idx="73">
                  <c:v>0.99989220026652259</c:v>
                </c:pt>
                <c:pt idx="74">
                  <c:v>0.99992765195607491</c:v>
                </c:pt>
                <c:pt idx="75">
                  <c:v>0.99995190365598241</c:v>
                </c:pt>
                <c:pt idx="76">
                  <c:v>0.99996832875816688</c:v>
                </c:pt>
                <c:pt idx="77">
                  <c:v>0.99997934249308751</c:v>
                </c:pt>
                <c:pt idx="78">
                  <c:v>0.9999866542509841</c:v>
                </c:pt>
                <c:pt idx="79">
                  <c:v>0.99999146009452899</c:v>
                </c:pt>
                <c:pt idx="80">
                  <c:v>0.99999458745609227</c:v>
                </c:pt>
                <c:pt idx="81">
                  <c:v>0.99999660232687526</c:v>
                </c:pt>
                <c:pt idx="82">
                  <c:v>0.9999978875452975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F-4070-8377-759E1166A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4520"/>
        <c:axId val="656534848"/>
      </c:scatterChart>
      <c:valAx>
        <c:axId val="656534520"/>
        <c:scaling>
          <c:orientation val="minMax"/>
          <c:min val="1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656534848"/>
        <c:crosses val="autoZero"/>
        <c:crossBetween val="midCat"/>
        <c:majorUnit val="10"/>
      </c:valAx>
      <c:valAx>
        <c:axId val="65653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656534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'Normálne Rozdelenie'!$H$2</c:f>
              <c:strCache>
                <c:ptCount val="1"/>
                <c:pt idx="0">
                  <c:v>Fi(z)= fi f(z)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'Normálne Rozdelenie'!$F$3:$F$85</c:f>
              <c:numCache>
                <c:formatCode>General</c:formatCode>
                <c:ptCount val="83"/>
                <c:pt idx="0">
                  <c:v>-3.6</c:v>
                </c:pt>
                <c:pt idx="1">
                  <c:v>-3.5</c:v>
                </c:pt>
                <c:pt idx="2">
                  <c:v>-3.4</c:v>
                </c:pt>
                <c:pt idx="3">
                  <c:v>-3.3</c:v>
                </c:pt>
                <c:pt idx="4">
                  <c:v>-3.2</c:v>
                </c:pt>
                <c:pt idx="5">
                  <c:v>-3.1</c:v>
                </c:pt>
                <c:pt idx="6">
                  <c:v>-3</c:v>
                </c:pt>
                <c:pt idx="7">
                  <c:v>-2.9</c:v>
                </c:pt>
                <c:pt idx="8">
                  <c:v>-2.8</c:v>
                </c:pt>
                <c:pt idx="9">
                  <c:v>-2.7</c:v>
                </c:pt>
                <c:pt idx="10">
                  <c:v>-2.6</c:v>
                </c:pt>
                <c:pt idx="11">
                  <c:v>-2.5</c:v>
                </c:pt>
                <c:pt idx="12">
                  <c:v>-2.4</c:v>
                </c:pt>
                <c:pt idx="13">
                  <c:v>-2.2999999999999998</c:v>
                </c:pt>
                <c:pt idx="14">
                  <c:v>-2.2000000000000002</c:v>
                </c:pt>
                <c:pt idx="15">
                  <c:v>-2.1</c:v>
                </c:pt>
                <c:pt idx="16">
                  <c:v>-2</c:v>
                </c:pt>
                <c:pt idx="17">
                  <c:v>-1.9</c:v>
                </c:pt>
                <c:pt idx="18">
                  <c:v>-1.8</c:v>
                </c:pt>
                <c:pt idx="19">
                  <c:v>-1.7</c:v>
                </c:pt>
                <c:pt idx="20">
                  <c:v>-1.6</c:v>
                </c:pt>
                <c:pt idx="21">
                  <c:v>-1.5</c:v>
                </c:pt>
                <c:pt idx="22">
                  <c:v>-1.4</c:v>
                </c:pt>
                <c:pt idx="23">
                  <c:v>-1.3</c:v>
                </c:pt>
                <c:pt idx="24">
                  <c:v>-1.2</c:v>
                </c:pt>
                <c:pt idx="25">
                  <c:v>-1.1000000000000001</c:v>
                </c:pt>
                <c:pt idx="26">
                  <c:v>-1</c:v>
                </c:pt>
                <c:pt idx="27">
                  <c:v>-0.9</c:v>
                </c:pt>
                <c:pt idx="28">
                  <c:v>-0.8</c:v>
                </c:pt>
                <c:pt idx="29">
                  <c:v>-0.7</c:v>
                </c:pt>
                <c:pt idx="30">
                  <c:v>-0.6</c:v>
                </c:pt>
                <c:pt idx="31">
                  <c:v>-0.5</c:v>
                </c:pt>
                <c:pt idx="32">
                  <c:v>-0.4</c:v>
                </c:pt>
                <c:pt idx="33">
                  <c:v>-0.3</c:v>
                </c:pt>
                <c:pt idx="34">
                  <c:v>-0.2</c:v>
                </c:pt>
                <c:pt idx="35">
                  <c:v>-0.1</c:v>
                </c:pt>
                <c:pt idx="36">
                  <c:v>0</c:v>
                </c:pt>
                <c:pt idx="37">
                  <c:v>0.1</c:v>
                </c:pt>
                <c:pt idx="38">
                  <c:v>0.2</c:v>
                </c:pt>
                <c:pt idx="39">
                  <c:v>0.3</c:v>
                </c:pt>
                <c:pt idx="40">
                  <c:v>0.4</c:v>
                </c:pt>
                <c:pt idx="41">
                  <c:v>0.5</c:v>
                </c:pt>
                <c:pt idx="42">
                  <c:v>0.6</c:v>
                </c:pt>
                <c:pt idx="43">
                  <c:v>0.7</c:v>
                </c:pt>
                <c:pt idx="44">
                  <c:v>0.8</c:v>
                </c:pt>
                <c:pt idx="45">
                  <c:v>0.9</c:v>
                </c:pt>
                <c:pt idx="46">
                  <c:v>1</c:v>
                </c:pt>
                <c:pt idx="47">
                  <c:v>1.1000000000000001</c:v>
                </c:pt>
                <c:pt idx="48">
                  <c:v>1.2</c:v>
                </c:pt>
                <c:pt idx="49">
                  <c:v>1.3</c:v>
                </c:pt>
                <c:pt idx="50">
                  <c:v>1.4</c:v>
                </c:pt>
                <c:pt idx="51">
                  <c:v>1.5</c:v>
                </c:pt>
                <c:pt idx="52">
                  <c:v>1.6</c:v>
                </c:pt>
                <c:pt idx="53">
                  <c:v>1.7</c:v>
                </c:pt>
                <c:pt idx="54">
                  <c:v>1.8</c:v>
                </c:pt>
                <c:pt idx="55">
                  <c:v>1.9</c:v>
                </c:pt>
                <c:pt idx="56">
                  <c:v>2</c:v>
                </c:pt>
                <c:pt idx="57">
                  <c:v>2.1</c:v>
                </c:pt>
                <c:pt idx="58">
                  <c:v>2.2000000000000002</c:v>
                </c:pt>
                <c:pt idx="59">
                  <c:v>2.2999999999999998</c:v>
                </c:pt>
                <c:pt idx="60">
                  <c:v>2.4</c:v>
                </c:pt>
                <c:pt idx="61">
                  <c:v>2.5</c:v>
                </c:pt>
                <c:pt idx="62">
                  <c:v>2.6</c:v>
                </c:pt>
                <c:pt idx="63">
                  <c:v>2.7</c:v>
                </c:pt>
                <c:pt idx="64">
                  <c:v>2.8</c:v>
                </c:pt>
                <c:pt idx="65">
                  <c:v>2.9</c:v>
                </c:pt>
                <c:pt idx="66">
                  <c:v>3</c:v>
                </c:pt>
                <c:pt idx="67">
                  <c:v>3.1</c:v>
                </c:pt>
                <c:pt idx="68">
                  <c:v>3.2</c:v>
                </c:pt>
                <c:pt idx="69">
                  <c:v>3.3</c:v>
                </c:pt>
                <c:pt idx="70">
                  <c:v>3.4</c:v>
                </c:pt>
                <c:pt idx="71">
                  <c:v>3.5</c:v>
                </c:pt>
                <c:pt idx="72">
                  <c:v>3.6</c:v>
                </c:pt>
                <c:pt idx="73">
                  <c:v>3.7</c:v>
                </c:pt>
                <c:pt idx="74">
                  <c:v>3.8</c:v>
                </c:pt>
                <c:pt idx="75">
                  <c:v>3.9</c:v>
                </c:pt>
                <c:pt idx="76">
                  <c:v>4</c:v>
                </c:pt>
                <c:pt idx="77">
                  <c:v>4.0999999999999996</c:v>
                </c:pt>
                <c:pt idx="78">
                  <c:v>4.2</c:v>
                </c:pt>
                <c:pt idx="79">
                  <c:v>4.3</c:v>
                </c:pt>
                <c:pt idx="80">
                  <c:v>4.4000000000000004</c:v>
                </c:pt>
                <c:pt idx="81">
                  <c:v>4.5</c:v>
                </c:pt>
                <c:pt idx="82">
                  <c:v>4.5999999999999996</c:v>
                </c:pt>
              </c:numCache>
            </c:numRef>
          </c:xVal>
          <c:yVal>
            <c:numRef>
              <c:f>'Normálne Rozdelenie'!$H$3:$H$85</c:f>
              <c:numCache>
                <c:formatCode>0.0000</c:formatCode>
                <c:ptCount val="83"/>
                <c:pt idx="0">
                  <c:v>1.5910859015753364E-4</c:v>
                </c:pt>
                <c:pt idx="1">
                  <c:v>2.3262907903552504E-4</c:v>
                </c:pt>
                <c:pt idx="2">
                  <c:v>3.369292656768808E-4</c:v>
                </c:pt>
                <c:pt idx="3">
                  <c:v>4.8342414238377744E-4</c:v>
                </c:pt>
                <c:pt idx="4">
                  <c:v>6.8713793791584719E-4</c:v>
                </c:pt>
                <c:pt idx="5">
                  <c:v>9.676032132183561E-4</c:v>
                </c:pt>
                <c:pt idx="6">
                  <c:v>1.3498980316300933E-3</c:v>
                </c:pt>
                <c:pt idx="7">
                  <c:v>1.8658133003840378E-3</c:v>
                </c:pt>
                <c:pt idx="8">
                  <c:v>2.5551303304279312E-3</c:v>
                </c:pt>
                <c:pt idx="9">
                  <c:v>3.4669738030406643E-3</c:v>
                </c:pt>
                <c:pt idx="10">
                  <c:v>4.6611880237187476E-3</c:v>
                </c:pt>
                <c:pt idx="11">
                  <c:v>6.2096653257761331E-3</c:v>
                </c:pt>
                <c:pt idx="12">
                  <c:v>8.1975359245961311E-3</c:v>
                </c:pt>
                <c:pt idx="13">
                  <c:v>1.0724110021675811E-2</c:v>
                </c:pt>
                <c:pt idx="14">
                  <c:v>1.3903447513498597E-2</c:v>
                </c:pt>
                <c:pt idx="15">
                  <c:v>1.7864420562816546E-2</c:v>
                </c:pt>
                <c:pt idx="16">
                  <c:v>2.2750131948179191E-2</c:v>
                </c:pt>
                <c:pt idx="17">
                  <c:v>2.87165598160018E-2</c:v>
                </c:pt>
                <c:pt idx="18">
                  <c:v>3.5930319112925789E-2</c:v>
                </c:pt>
                <c:pt idx="19">
                  <c:v>4.4565462758543041E-2</c:v>
                </c:pt>
                <c:pt idx="20">
                  <c:v>5.4799291699557967E-2</c:v>
                </c:pt>
                <c:pt idx="21">
                  <c:v>6.6807201268858057E-2</c:v>
                </c:pt>
                <c:pt idx="22">
                  <c:v>8.0756659233771053E-2</c:v>
                </c:pt>
                <c:pt idx="23">
                  <c:v>9.6800484585610316E-2</c:v>
                </c:pt>
                <c:pt idx="24">
                  <c:v>0.11506967022170828</c:v>
                </c:pt>
                <c:pt idx="25">
                  <c:v>0.13566606094638264</c:v>
                </c:pt>
                <c:pt idx="26">
                  <c:v>0.15865525393145699</c:v>
                </c:pt>
                <c:pt idx="27">
                  <c:v>0.1840601253467595</c:v>
                </c:pt>
                <c:pt idx="28">
                  <c:v>0.21185539858339661</c:v>
                </c:pt>
                <c:pt idx="29">
                  <c:v>0.24196365222307298</c:v>
                </c:pt>
                <c:pt idx="30">
                  <c:v>0.27425311775007355</c:v>
                </c:pt>
                <c:pt idx="31">
                  <c:v>0.30853753872598688</c:v>
                </c:pt>
                <c:pt idx="32">
                  <c:v>0.34457825838967576</c:v>
                </c:pt>
                <c:pt idx="33">
                  <c:v>0.38208857781104733</c:v>
                </c:pt>
                <c:pt idx="34">
                  <c:v>0.42074029056089696</c:v>
                </c:pt>
                <c:pt idx="35">
                  <c:v>0.46017216272297101</c:v>
                </c:pt>
                <c:pt idx="36">
                  <c:v>0.5</c:v>
                </c:pt>
                <c:pt idx="37">
                  <c:v>0.53982783727702899</c:v>
                </c:pt>
                <c:pt idx="38">
                  <c:v>0.57925970943910299</c:v>
                </c:pt>
                <c:pt idx="39">
                  <c:v>0.61791142218895267</c:v>
                </c:pt>
                <c:pt idx="40">
                  <c:v>0.65542174161032429</c:v>
                </c:pt>
                <c:pt idx="41">
                  <c:v>0.69146246127401312</c:v>
                </c:pt>
                <c:pt idx="42">
                  <c:v>0.72574688224992645</c:v>
                </c:pt>
                <c:pt idx="43">
                  <c:v>0.75803634777692697</c:v>
                </c:pt>
                <c:pt idx="44">
                  <c:v>0.78814460141660336</c:v>
                </c:pt>
                <c:pt idx="45">
                  <c:v>0.81593987465324047</c:v>
                </c:pt>
                <c:pt idx="46">
                  <c:v>0.84134474606854304</c:v>
                </c:pt>
                <c:pt idx="47">
                  <c:v>0.86433393905361733</c:v>
                </c:pt>
                <c:pt idx="48">
                  <c:v>0.88493032977829178</c:v>
                </c:pt>
                <c:pt idx="49">
                  <c:v>0.9031995154143897</c:v>
                </c:pt>
                <c:pt idx="50">
                  <c:v>0.91924334076622893</c:v>
                </c:pt>
                <c:pt idx="51">
                  <c:v>0.93319279873114191</c:v>
                </c:pt>
                <c:pt idx="52">
                  <c:v>0.94520070830044201</c:v>
                </c:pt>
                <c:pt idx="53">
                  <c:v>0.95543453724145699</c:v>
                </c:pt>
                <c:pt idx="54">
                  <c:v>0.96406968088707423</c:v>
                </c:pt>
                <c:pt idx="55">
                  <c:v>0.97128344018399815</c:v>
                </c:pt>
                <c:pt idx="56">
                  <c:v>0.97724986805182079</c:v>
                </c:pt>
                <c:pt idx="57">
                  <c:v>0.98213557943718344</c:v>
                </c:pt>
                <c:pt idx="58">
                  <c:v>0.98609655248650141</c:v>
                </c:pt>
                <c:pt idx="59">
                  <c:v>0.98927588997832416</c:v>
                </c:pt>
                <c:pt idx="60">
                  <c:v>0.99180246407540384</c:v>
                </c:pt>
                <c:pt idx="61">
                  <c:v>0.99379033467422384</c:v>
                </c:pt>
                <c:pt idx="62">
                  <c:v>0.99533881197628127</c:v>
                </c:pt>
                <c:pt idx="63">
                  <c:v>0.99653302619695938</c:v>
                </c:pt>
                <c:pt idx="64">
                  <c:v>0.99744486966957202</c:v>
                </c:pt>
                <c:pt idx="65">
                  <c:v>0.99813418669961596</c:v>
                </c:pt>
                <c:pt idx="66">
                  <c:v>0.9986501019683699</c:v>
                </c:pt>
                <c:pt idx="67">
                  <c:v>0.99903239678678168</c:v>
                </c:pt>
                <c:pt idx="68">
                  <c:v>0.99931286206208414</c:v>
                </c:pt>
                <c:pt idx="69">
                  <c:v>0.99951657585761622</c:v>
                </c:pt>
                <c:pt idx="70">
                  <c:v>0.99966307073432314</c:v>
                </c:pt>
                <c:pt idx="71">
                  <c:v>0.99976737092096446</c:v>
                </c:pt>
                <c:pt idx="72">
                  <c:v>0.99984089140984245</c:v>
                </c:pt>
                <c:pt idx="73">
                  <c:v>0.99989220026652259</c:v>
                </c:pt>
                <c:pt idx="74">
                  <c:v>0.99992765195607491</c:v>
                </c:pt>
                <c:pt idx="75">
                  <c:v>0.99995190365598241</c:v>
                </c:pt>
                <c:pt idx="76">
                  <c:v>0.99996832875816688</c:v>
                </c:pt>
                <c:pt idx="77">
                  <c:v>0.99997934249308751</c:v>
                </c:pt>
                <c:pt idx="78">
                  <c:v>0.9999866542509841</c:v>
                </c:pt>
                <c:pt idx="79">
                  <c:v>0.99999146009452899</c:v>
                </c:pt>
                <c:pt idx="80">
                  <c:v>0.99999458745609227</c:v>
                </c:pt>
                <c:pt idx="81">
                  <c:v>0.99999660232687526</c:v>
                </c:pt>
                <c:pt idx="82">
                  <c:v>0.9999978875452975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E0-4EBD-98F2-4B75FECFA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253704"/>
        <c:axId val="516250752"/>
      </c:scatterChart>
      <c:valAx>
        <c:axId val="516253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516250752"/>
        <c:crosses val="autoZero"/>
        <c:crossBetween val="midCat"/>
        <c:majorUnit val="1"/>
      </c:valAx>
      <c:valAx>
        <c:axId val="51625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516253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'Binomické-Rozdelenie'!$B$5</c:f>
              <c:strCache>
                <c:ptCount val="1"/>
                <c:pt idx="0">
                  <c:v>pi = BI(0,5; 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'Binomické-Rozdelenie'!$A$6:$A$9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'Binomické-Rozdelenie'!$B$6:$B$9</c:f>
              <c:numCache>
                <c:formatCode>General</c:formatCode>
                <c:ptCount val="4"/>
                <c:pt idx="0">
                  <c:v>0.12500000000000003</c:v>
                </c:pt>
                <c:pt idx="1">
                  <c:v>0.375</c:v>
                </c:pt>
                <c:pt idx="2">
                  <c:v>0.375</c:v>
                </c:pt>
                <c:pt idx="3">
                  <c:v>0.12500000000000003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6A-4F74-AD37-24C788BF6C0F}"/>
            </c:ext>
          </c:extLst>
        </c:ser>
        <c:ser>
          <c:idx val="1"/>
          <c:order val="1"/>
          <c:tx>
            <c:strRef>
              <c:f>'Binomické-Rozdelenie'!$D$5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'Binomické-Rozdelenie'!$A$6:$A$9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'Binomické-Rozdelenie'!$D$6:$D$9</c:f>
              <c:numCache>
                <c:formatCode>General</c:formatCode>
                <c:ptCount val="4"/>
                <c:pt idx="0">
                  <c:v>0.12500000000000003</c:v>
                </c:pt>
                <c:pt idx="1">
                  <c:v>0.5</c:v>
                </c:pt>
                <c:pt idx="2">
                  <c:v>0.875</c:v>
                </c:pt>
                <c:pt idx="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6A-4F74-AD37-24C788BF6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337888"/>
        <c:axId val="355341496"/>
      </c:scatterChart>
      <c:valAx>
        <c:axId val="35533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355341496"/>
        <c:crosses val="autoZero"/>
        <c:crossBetween val="midCat"/>
      </c:valAx>
      <c:valAx>
        <c:axId val="35534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355337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'Binomické-Rozdelenie'!$B$65</c:f>
              <c:strCache>
                <c:ptCount val="1"/>
                <c:pt idx="0">
                  <c:v>pi = BI(0,2; 10)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'Binomické-Rozdelenie'!$A$66:$A$76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'Binomické-Rozdelenie'!$B$66:$B$76</c:f>
              <c:numCache>
                <c:formatCode>0.0000</c:formatCode>
                <c:ptCount val="11"/>
                <c:pt idx="0">
                  <c:v>0.1073741824</c:v>
                </c:pt>
                <c:pt idx="1">
                  <c:v>0.26843545600000002</c:v>
                </c:pt>
                <c:pt idx="2">
                  <c:v>0.3019898880000001</c:v>
                </c:pt>
                <c:pt idx="3">
                  <c:v>0.20132659200000003</c:v>
                </c:pt>
                <c:pt idx="4">
                  <c:v>8.8080384000000025E-2</c:v>
                </c:pt>
                <c:pt idx="5">
                  <c:v>2.6424115200000015E-2</c:v>
                </c:pt>
                <c:pt idx="6">
                  <c:v>5.5050240000000016E-3</c:v>
                </c:pt>
                <c:pt idx="7">
                  <c:v>7.8643199999999956E-4</c:v>
                </c:pt>
                <c:pt idx="8">
                  <c:v>7.3728000000000132E-5</c:v>
                </c:pt>
                <c:pt idx="9">
                  <c:v>4.0959999999999935E-6</c:v>
                </c:pt>
                <c:pt idx="10">
                  <c:v>1.0240000000000004E-7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B8-4848-AD1D-006DC96F3C62}"/>
            </c:ext>
          </c:extLst>
        </c:ser>
        <c:ser>
          <c:idx val="1"/>
          <c:order val="1"/>
          <c:tx>
            <c:strRef>
              <c:f>'Binomické-Rozdelenie'!$H$65</c:f>
              <c:strCache>
                <c:ptCount val="1"/>
                <c:pt idx="0">
                  <c:v>pi = BI(0,8; 10)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'Binomické-Rozdelenie'!$A$66:$A$76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'Binomické-Rozdelenie'!$H$66:$H$76</c:f>
              <c:numCache>
                <c:formatCode>0.0000</c:formatCode>
                <c:ptCount val="11"/>
                <c:pt idx="0">
                  <c:v>1.0240000000000004E-7</c:v>
                </c:pt>
                <c:pt idx="1">
                  <c:v>4.0959999999999935E-6</c:v>
                </c:pt>
                <c:pt idx="2">
                  <c:v>7.3727999999999861E-5</c:v>
                </c:pt>
                <c:pt idx="3">
                  <c:v>7.8643199999999815E-4</c:v>
                </c:pt>
                <c:pt idx="4">
                  <c:v>5.5050239999999894E-3</c:v>
                </c:pt>
                <c:pt idx="5">
                  <c:v>2.642411519999999E-2</c:v>
                </c:pt>
                <c:pt idx="6">
                  <c:v>8.8080383999999984E-2</c:v>
                </c:pt>
                <c:pt idx="7">
                  <c:v>0.20132659199999994</c:v>
                </c:pt>
                <c:pt idx="8">
                  <c:v>0.3019898880000001</c:v>
                </c:pt>
                <c:pt idx="9">
                  <c:v>0.26843545600000007</c:v>
                </c:pt>
                <c:pt idx="10">
                  <c:v>0.10737418240000005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B8-4848-AD1D-006DC96F3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335264"/>
        <c:axId val="355335592"/>
      </c:scatterChart>
      <c:valAx>
        <c:axId val="35533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355335592"/>
        <c:crosses val="autoZero"/>
        <c:crossBetween val="midCat"/>
      </c:valAx>
      <c:valAx>
        <c:axId val="35533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355335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'Histogram Novy'!$B$1</c:f>
              <c:strCache>
                <c:ptCount val="1"/>
                <c:pt idx="0">
                  <c:v>Frequency</c:v>
                </c:pt>
              </c:strCache>
            </c:strRef>
          </c:tx>
          <c:invertIfNegative val="0"/>
          <c:cat>
            <c:strRef>
              <c:f>'Histogram Novy'!$A$2:$A$5</c:f>
              <c:strCache>
                <c:ptCount val="4"/>
                <c:pt idx="0">
                  <c:v> 250 000 </c:v>
                </c:pt>
                <c:pt idx="1">
                  <c:v> 450 000 </c:v>
                </c:pt>
                <c:pt idx="2">
                  <c:v> 600 000 </c:v>
                </c:pt>
                <c:pt idx="3">
                  <c:v>More</c:v>
                </c:pt>
              </c:strCache>
            </c:strRef>
          </c:cat>
          <c:val>
            <c:numRef>
              <c:f>'Histogram Novy'!$B$2:$B$5</c:f>
              <c:numCache>
                <c:formatCode>General</c:formatCode>
                <c:ptCount val="4"/>
                <c:pt idx="0">
                  <c:v>18</c:v>
                </c:pt>
                <c:pt idx="1">
                  <c:v>23</c:v>
                </c:pt>
                <c:pt idx="2">
                  <c:v>6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E-468C-A3FB-BAF105548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9224608"/>
        <c:axId val="89228216"/>
      </c:barChart>
      <c:lineChart>
        <c:grouping val="standard"/>
        <c:varyColors val="0"/>
        <c:ser>
          <c:idx val="4"/>
          <c:order val="1"/>
          <c:tx>
            <c:strRef>
              <c:f>'Histogram Novy'!$F$1</c:f>
              <c:strCache>
                <c:ptCount val="1"/>
                <c:pt idx="0">
                  <c:v>Ni </c:v>
                </c:pt>
              </c:strCache>
            </c:strRef>
          </c:tx>
          <c:cat>
            <c:strRef>
              <c:f>'Histogram Novy'!$A$2:$A$5</c:f>
              <c:strCache>
                <c:ptCount val="4"/>
                <c:pt idx="0">
                  <c:v> 250 000 </c:v>
                </c:pt>
                <c:pt idx="1">
                  <c:v> 450 000 </c:v>
                </c:pt>
                <c:pt idx="2">
                  <c:v> 600 000 </c:v>
                </c:pt>
                <c:pt idx="3">
                  <c:v>More</c:v>
                </c:pt>
              </c:strCache>
            </c:strRef>
          </c:cat>
          <c:val>
            <c:numRef>
              <c:f>'Histogram Novy'!$F$2:$F$5</c:f>
              <c:numCache>
                <c:formatCode>General</c:formatCode>
                <c:ptCount val="4"/>
                <c:pt idx="0">
                  <c:v>18</c:v>
                </c:pt>
                <c:pt idx="1">
                  <c:v>41</c:v>
                </c:pt>
                <c:pt idx="2">
                  <c:v>47</c:v>
                </c:pt>
                <c:pt idx="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B1-4C85-8998-175ECF855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230888"/>
        <c:axId val="749232528"/>
      </c:lineChart>
      <c:catAx>
        <c:axId val="8922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Bin/category 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8216"/>
        <c:crosses val="autoZero"/>
        <c:auto val="1"/>
        <c:lblAlgn val="ctr"/>
        <c:lblOffset val="100"/>
        <c:noMultiLvlLbl val="0"/>
      </c:catAx>
      <c:valAx>
        <c:axId val="89228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4608"/>
        <c:crosses val="autoZero"/>
        <c:crossBetween val="between"/>
      </c:valAx>
      <c:valAx>
        <c:axId val="749232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749230888"/>
        <c:crosses val="max"/>
        <c:crossBetween val="between"/>
      </c:valAx>
      <c:catAx>
        <c:axId val="749230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923252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'Histogram NG'!$A$2:$A$1025</c:f>
              <c:strCache>
                <c:ptCount val="1024"/>
                <c:pt idx="0">
                  <c:v>135000</c:v>
                </c:pt>
                <c:pt idx="1">
                  <c:v>135698,9247</c:v>
                </c:pt>
                <c:pt idx="2">
                  <c:v>136397,8495</c:v>
                </c:pt>
                <c:pt idx="3">
                  <c:v>137096,7742</c:v>
                </c:pt>
                <c:pt idx="4">
                  <c:v>137795,6989</c:v>
                </c:pt>
                <c:pt idx="5">
                  <c:v>138494,6237</c:v>
                </c:pt>
                <c:pt idx="6">
                  <c:v>139193,5484</c:v>
                </c:pt>
                <c:pt idx="7">
                  <c:v>139892,4731</c:v>
                </c:pt>
                <c:pt idx="8">
                  <c:v>140591,3978</c:v>
                </c:pt>
                <c:pt idx="9">
                  <c:v>141290,3226</c:v>
                </c:pt>
                <c:pt idx="10">
                  <c:v>141989,2473</c:v>
                </c:pt>
                <c:pt idx="11">
                  <c:v>142688,172</c:v>
                </c:pt>
                <c:pt idx="12">
                  <c:v>143387,0968</c:v>
                </c:pt>
                <c:pt idx="13">
                  <c:v>144086,0215</c:v>
                </c:pt>
                <c:pt idx="14">
                  <c:v>144784,9462</c:v>
                </c:pt>
                <c:pt idx="15">
                  <c:v>145483,871</c:v>
                </c:pt>
                <c:pt idx="16">
                  <c:v>146182,7957</c:v>
                </c:pt>
                <c:pt idx="17">
                  <c:v>146881,7204</c:v>
                </c:pt>
                <c:pt idx="18">
                  <c:v>147580,6452</c:v>
                </c:pt>
                <c:pt idx="19">
                  <c:v>148279,5699</c:v>
                </c:pt>
                <c:pt idx="20">
                  <c:v>148978,4946</c:v>
                </c:pt>
                <c:pt idx="21">
                  <c:v>149677,4194</c:v>
                </c:pt>
                <c:pt idx="22">
                  <c:v>150376,3441</c:v>
                </c:pt>
                <c:pt idx="23">
                  <c:v>151075,2688</c:v>
                </c:pt>
                <c:pt idx="24">
                  <c:v>151774,1935</c:v>
                </c:pt>
                <c:pt idx="25">
                  <c:v>152473,1183</c:v>
                </c:pt>
                <c:pt idx="26">
                  <c:v>153172,043</c:v>
                </c:pt>
                <c:pt idx="27">
                  <c:v>153870,9677</c:v>
                </c:pt>
                <c:pt idx="28">
                  <c:v>154569,8925</c:v>
                </c:pt>
                <c:pt idx="29">
                  <c:v>155268,8172</c:v>
                </c:pt>
                <c:pt idx="30">
                  <c:v>155967,7419</c:v>
                </c:pt>
                <c:pt idx="31">
                  <c:v>156666,6667</c:v>
                </c:pt>
                <c:pt idx="32">
                  <c:v>157365,5914</c:v>
                </c:pt>
                <c:pt idx="33">
                  <c:v>158064,5161</c:v>
                </c:pt>
                <c:pt idx="34">
                  <c:v>158763,4409</c:v>
                </c:pt>
                <c:pt idx="35">
                  <c:v>159462,3656</c:v>
                </c:pt>
                <c:pt idx="36">
                  <c:v>160161,2903</c:v>
                </c:pt>
                <c:pt idx="37">
                  <c:v>160860,2151</c:v>
                </c:pt>
                <c:pt idx="38">
                  <c:v>161559,1398</c:v>
                </c:pt>
                <c:pt idx="39">
                  <c:v>162258,0645</c:v>
                </c:pt>
                <c:pt idx="40">
                  <c:v>162956,9892</c:v>
                </c:pt>
                <c:pt idx="41">
                  <c:v>163655,914</c:v>
                </c:pt>
                <c:pt idx="42">
                  <c:v>164354,8387</c:v>
                </c:pt>
                <c:pt idx="43">
                  <c:v>165053,7634</c:v>
                </c:pt>
                <c:pt idx="44">
                  <c:v>165752,6882</c:v>
                </c:pt>
                <c:pt idx="45">
                  <c:v>166451,6129</c:v>
                </c:pt>
                <c:pt idx="46">
                  <c:v>167150,5376</c:v>
                </c:pt>
                <c:pt idx="47">
                  <c:v>167849,4624</c:v>
                </c:pt>
                <c:pt idx="48">
                  <c:v>168548,3871</c:v>
                </c:pt>
                <c:pt idx="49">
                  <c:v>169247,3118</c:v>
                </c:pt>
                <c:pt idx="50">
                  <c:v>169946,2366</c:v>
                </c:pt>
                <c:pt idx="51">
                  <c:v>170645,1613</c:v>
                </c:pt>
                <c:pt idx="52">
                  <c:v>171344,086</c:v>
                </c:pt>
                <c:pt idx="53">
                  <c:v>172043,0108</c:v>
                </c:pt>
                <c:pt idx="54">
                  <c:v>172741,9355</c:v>
                </c:pt>
                <c:pt idx="55">
                  <c:v>173440,8602</c:v>
                </c:pt>
                <c:pt idx="56">
                  <c:v>174139,7849</c:v>
                </c:pt>
                <c:pt idx="57">
                  <c:v>174838,7097</c:v>
                </c:pt>
                <c:pt idx="58">
                  <c:v>175537,6344</c:v>
                </c:pt>
                <c:pt idx="59">
                  <c:v>176236,5591</c:v>
                </c:pt>
                <c:pt idx="60">
                  <c:v>176935,4839</c:v>
                </c:pt>
                <c:pt idx="61">
                  <c:v>177634,4086</c:v>
                </c:pt>
                <c:pt idx="62">
                  <c:v>178333,3333</c:v>
                </c:pt>
                <c:pt idx="63">
                  <c:v>179032,2581</c:v>
                </c:pt>
                <c:pt idx="64">
                  <c:v>179731,1828</c:v>
                </c:pt>
                <c:pt idx="65">
                  <c:v>180430,1075</c:v>
                </c:pt>
                <c:pt idx="66">
                  <c:v>181129,0323</c:v>
                </c:pt>
                <c:pt idx="67">
                  <c:v>181827,957</c:v>
                </c:pt>
                <c:pt idx="68">
                  <c:v>182526,8817</c:v>
                </c:pt>
                <c:pt idx="69">
                  <c:v>183225,8065</c:v>
                </c:pt>
                <c:pt idx="70">
                  <c:v>183924,7312</c:v>
                </c:pt>
                <c:pt idx="71">
                  <c:v>184623,6559</c:v>
                </c:pt>
                <c:pt idx="72">
                  <c:v>185322,5806</c:v>
                </c:pt>
                <c:pt idx="73">
                  <c:v>186021,5054</c:v>
                </c:pt>
                <c:pt idx="74">
                  <c:v>186720,4301</c:v>
                </c:pt>
                <c:pt idx="75">
                  <c:v>187419,3548</c:v>
                </c:pt>
                <c:pt idx="76">
                  <c:v>188118,2796</c:v>
                </c:pt>
                <c:pt idx="77">
                  <c:v>188817,2043</c:v>
                </c:pt>
                <c:pt idx="78">
                  <c:v>189516,129</c:v>
                </c:pt>
                <c:pt idx="79">
                  <c:v>190215,0538</c:v>
                </c:pt>
                <c:pt idx="80">
                  <c:v>190913,9785</c:v>
                </c:pt>
                <c:pt idx="81">
                  <c:v>191612,9032</c:v>
                </c:pt>
                <c:pt idx="82">
                  <c:v>192311,828</c:v>
                </c:pt>
                <c:pt idx="83">
                  <c:v>193010,7527</c:v>
                </c:pt>
                <c:pt idx="84">
                  <c:v>193709,6774</c:v>
                </c:pt>
                <c:pt idx="85">
                  <c:v>194408,6022</c:v>
                </c:pt>
                <c:pt idx="86">
                  <c:v>195107,5269</c:v>
                </c:pt>
                <c:pt idx="87">
                  <c:v>195806,4516</c:v>
                </c:pt>
                <c:pt idx="88">
                  <c:v>196505,3763</c:v>
                </c:pt>
                <c:pt idx="89">
                  <c:v>197204,3011</c:v>
                </c:pt>
                <c:pt idx="90">
                  <c:v>197903,2258</c:v>
                </c:pt>
                <c:pt idx="91">
                  <c:v>198602,1505</c:v>
                </c:pt>
                <c:pt idx="92">
                  <c:v>199301,0753</c:v>
                </c:pt>
                <c:pt idx="93">
                  <c:v>200000</c:v>
                </c:pt>
                <c:pt idx="94">
                  <c:v>200698,9247</c:v>
                </c:pt>
                <c:pt idx="95">
                  <c:v>201397,8495</c:v>
                </c:pt>
                <c:pt idx="96">
                  <c:v>202096,7742</c:v>
                </c:pt>
                <c:pt idx="97">
                  <c:v>202795,6989</c:v>
                </c:pt>
                <c:pt idx="98">
                  <c:v>203494,6237</c:v>
                </c:pt>
                <c:pt idx="99">
                  <c:v>204193,5484</c:v>
                </c:pt>
                <c:pt idx="100">
                  <c:v>204892,4731</c:v>
                </c:pt>
                <c:pt idx="101">
                  <c:v>205591,3978</c:v>
                </c:pt>
                <c:pt idx="102">
                  <c:v>206290,3226</c:v>
                </c:pt>
                <c:pt idx="103">
                  <c:v>206989,2473</c:v>
                </c:pt>
                <c:pt idx="104">
                  <c:v>207688,172</c:v>
                </c:pt>
                <c:pt idx="105">
                  <c:v>208387,0968</c:v>
                </c:pt>
                <c:pt idx="106">
                  <c:v>209086,0215</c:v>
                </c:pt>
                <c:pt idx="107">
                  <c:v>209784,9462</c:v>
                </c:pt>
                <c:pt idx="108">
                  <c:v>210483,871</c:v>
                </c:pt>
                <c:pt idx="109">
                  <c:v>211182,7957</c:v>
                </c:pt>
                <c:pt idx="110">
                  <c:v>211881,7204</c:v>
                </c:pt>
                <c:pt idx="111">
                  <c:v>212580,6452</c:v>
                </c:pt>
                <c:pt idx="112">
                  <c:v>213279,5699</c:v>
                </c:pt>
                <c:pt idx="113">
                  <c:v>213978,4946</c:v>
                </c:pt>
                <c:pt idx="114">
                  <c:v>214677,4194</c:v>
                </c:pt>
                <c:pt idx="115">
                  <c:v>215376,3441</c:v>
                </c:pt>
                <c:pt idx="116">
                  <c:v>216075,2688</c:v>
                </c:pt>
                <c:pt idx="117">
                  <c:v>216774,1935</c:v>
                </c:pt>
                <c:pt idx="118">
                  <c:v>217473,1183</c:v>
                </c:pt>
                <c:pt idx="119">
                  <c:v>218172,043</c:v>
                </c:pt>
                <c:pt idx="120">
                  <c:v>218870,9677</c:v>
                </c:pt>
                <c:pt idx="121">
                  <c:v>219569,8925</c:v>
                </c:pt>
                <c:pt idx="122">
                  <c:v>220268,8172</c:v>
                </c:pt>
                <c:pt idx="123">
                  <c:v>220967,7419</c:v>
                </c:pt>
                <c:pt idx="124">
                  <c:v>221666,6667</c:v>
                </c:pt>
                <c:pt idx="125">
                  <c:v>222365,5914</c:v>
                </c:pt>
                <c:pt idx="126">
                  <c:v>223064,5161</c:v>
                </c:pt>
                <c:pt idx="127">
                  <c:v>223763,4409</c:v>
                </c:pt>
                <c:pt idx="128">
                  <c:v>224462,3656</c:v>
                </c:pt>
                <c:pt idx="129">
                  <c:v>225161,2903</c:v>
                </c:pt>
                <c:pt idx="130">
                  <c:v>225860,2151</c:v>
                </c:pt>
                <c:pt idx="131">
                  <c:v>226559,1398</c:v>
                </c:pt>
                <c:pt idx="132">
                  <c:v>227258,0645</c:v>
                </c:pt>
                <c:pt idx="133">
                  <c:v>227956,9892</c:v>
                </c:pt>
                <c:pt idx="134">
                  <c:v>228655,914</c:v>
                </c:pt>
                <c:pt idx="135">
                  <c:v>229354,8387</c:v>
                </c:pt>
                <c:pt idx="136">
                  <c:v>230053,7634</c:v>
                </c:pt>
                <c:pt idx="137">
                  <c:v>230752,6882</c:v>
                </c:pt>
                <c:pt idx="138">
                  <c:v>231451,6129</c:v>
                </c:pt>
                <c:pt idx="139">
                  <c:v>232150,5376</c:v>
                </c:pt>
                <c:pt idx="140">
                  <c:v>232849,4624</c:v>
                </c:pt>
                <c:pt idx="141">
                  <c:v>233548,3871</c:v>
                </c:pt>
                <c:pt idx="142">
                  <c:v>234247,3118</c:v>
                </c:pt>
                <c:pt idx="143">
                  <c:v>234946,2366</c:v>
                </c:pt>
                <c:pt idx="144">
                  <c:v>235645,1613</c:v>
                </c:pt>
                <c:pt idx="145">
                  <c:v>236344,086</c:v>
                </c:pt>
                <c:pt idx="146">
                  <c:v>237043,0108</c:v>
                </c:pt>
                <c:pt idx="147">
                  <c:v>237741,9355</c:v>
                </c:pt>
                <c:pt idx="148">
                  <c:v>238440,8602</c:v>
                </c:pt>
                <c:pt idx="149">
                  <c:v>239139,7849</c:v>
                </c:pt>
                <c:pt idx="150">
                  <c:v>239838,7097</c:v>
                </c:pt>
                <c:pt idx="151">
                  <c:v>240537,6344</c:v>
                </c:pt>
                <c:pt idx="152">
                  <c:v>241236,5591</c:v>
                </c:pt>
                <c:pt idx="153">
                  <c:v>241935,4839</c:v>
                </c:pt>
                <c:pt idx="154">
                  <c:v>242634,4086</c:v>
                </c:pt>
                <c:pt idx="155">
                  <c:v>243333,3333</c:v>
                </c:pt>
                <c:pt idx="156">
                  <c:v>244032,2581</c:v>
                </c:pt>
                <c:pt idx="157">
                  <c:v>244731,1828</c:v>
                </c:pt>
                <c:pt idx="158">
                  <c:v>245430,1075</c:v>
                </c:pt>
                <c:pt idx="159">
                  <c:v>246129,0323</c:v>
                </c:pt>
                <c:pt idx="160">
                  <c:v>246827,957</c:v>
                </c:pt>
                <c:pt idx="161">
                  <c:v>247526,8817</c:v>
                </c:pt>
                <c:pt idx="162">
                  <c:v>248225,8065</c:v>
                </c:pt>
                <c:pt idx="163">
                  <c:v>248924,7312</c:v>
                </c:pt>
                <c:pt idx="164">
                  <c:v>249623,6559</c:v>
                </c:pt>
                <c:pt idx="165">
                  <c:v>250322,5806</c:v>
                </c:pt>
                <c:pt idx="166">
                  <c:v>251021,5054</c:v>
                </c:pt>
                <c:pt idx="167">
                  <c:v>251720,4301</c:v>
                </c:pt>
                <c:pt idx="168">
                  <c:v>252419,3548</c:v>
                </c:pt>
                <c:pt idx="169">
                  <c:v>253118,2796</c:v>
                </c:pt>
                <c:pt idx="170">
                  <c:v>253817,2043</c:v>
                </c:pt>
                <c:pt idx="171">
                  <c:v>254516,129</c:v>
                </c:pt>
                <c:pt idx="172">
                  <c:v>255215,0538</c:v>
                </c:pt>
                <c:pt idx="173">
                  <c:v>255913,9785</c:v>
                </c:pt>
                <c:pt idx="174">
                  <c:v>256612,9032</c:v>
                </c:pt>
                <c:pt idx="175">
                  <c:v>257311,828</c:v>
                </c:pt>
                <c:pt idx="176">
                  <c:v>258010,7527</c:v>
                </c:pt>
                <c:pt idx="177">
                  <c:v>258709,6774</c:v>
                </c:pt>
                <c:pt idx="178">
                  <c:v>259408,6022</c:v>
                </c:pt>
                <c:pt idx="179">
                  <c:v>260107,5269</c:v>
                </c:pt>
                <c:pt idx="180">
                  <c:v>260806,4516</c:v>
                </c:pt>
                <c:pt idx="181">
                  <c:v>261505,3763</c:v>
                </c:pt>
                <c:pt idx="182">
                  <c:v>262204,3011</c:v>
                </c:pt>
                <c:pt idx="183">
                  <c:v>262903,2258</c:v>
                </c:pt>
                <c:pt idx="184">
                  <c:v>263602,1505</c:v>
                </c:pt>
                <c:pt idx="185">
                  <c:v>264301,0753</c:v>
                </c:pt>
                <c:pt idx="186">
                  <c:v>265000</c:v>
                </c:pt>
                <c:pt idx="187">
                  <c:v>265698,9247</c:v>
                </c:pt>
                <c:pt idx="188">
                  <c:v>266397,8495</c:v>
                </c:pt>
                <c:pt idx="189">
                  <c:v>267096,7742</c:v>
                </c:pt>
                <c:pt idx="190">
                  <c:v>267795,6989</c:v>
                </c:pt>
                <c:pt idx="191">
                  <c:v>268494,6237</c:v>
                </c:pt>
                <c:pt idx="192">
                  <c:v>269193,5484</c:v>
                </c:pt>
                <c:pt idx="193">
                  <c:v>269892,4731</c:v>
                </c:pt>
                <c:pt idx="194">
                  <c:v>270591,3978</c:v>
                </c:pt>
                <c:pt idx="195">
                  <c:v>271290,3226</c:v>
                </c:pt>
                <c:pt idx="196">
                  <c:v>271989,2473</c:v>
                </c:pt>
                <c:pt idx="197">
                  <c:v>272688,172</c:v>
                </c:pt>
                <c:pt idx="198">
                  <c:v>273387,0968</c:v>
                </c:pt>
                <c:pt idx="199">
                  <c:v>274086,0215</c:v>
                </c:pt>
                <c:pt idx="200">
                  <c:v>274784,9462</c:v>
                </c:pt>
                <c:pt idx="201">
                  <c:v>275483,871</c:v>
                </c:pt>
                <c:pt idx="202">
                  <c:v>276182,7957</c:v>
                </c:pt>
                <c:pt idx="203">
                  <c:v>276881,7204</c:v>
                </c:pt>
                <c:pt idx="204">
                  <c:v>277580,6452</c:v>
                </c:pt>
                <c:pt idx="205">
                  <c:v>278279,5699</c:v>
                </c:pt>
                <c:pt idx="206">
                  <c:v>278978,4946</c:v>
                </c:pt>
                <c:pt idx="207">
                  <c:v>279677,4194</c:v>
                </c:pt>
                <c:pt idx="208">
                  <c:v>280376,3441</c:v>
                </c:pt>
                <c:pt idx="209">
                  <c:v>281075,2688</c:v>
                </c:pt>
                <c:pt idx="210">
                  <c:v>281774,1935</c:v>
                </c:pt>
                <c:pt idx="211">
                  <c:v>282473,1183</c:v>
                </c:pt>
                <c:pt idx="212">
                  <c:v>283172,043</c:v>
                </c:pt>
                <c:pt idx="213">
                  <c:v>283870,9677</c:v>
                </c:pt>
                <c:pt idx="214">
                  <c:v>284569,8925</c:v>
                </c:pt>
                <c:pt idx="215">
                  <c:v>285268,8172</c:v>
                </c:pt>
                <c:pt idx="216">
                  <c:v>285967,7419</c:v>
                </c:pt>
                <c:pt idx="217">
                  <c:v>286666,6667</c:v>
                </c:pt>
                <c:pt idx="218">
                  <c:v>287365,5914</c:v>
                </c:pt>
                <c:pt idx="219">
                  <c:v>288064,5161</c:v>
                </c:pt>
                <c:pt idx="220">
                  <c:v>288763,4409</c:v>
                </c:pt>
                <c:pt idx="221">
                  <c:v>289462,3656</c:v>
                </c:pt>
                <c:pt idx="222">
                  <c:v>290161,2903</c:v>
                </c:pt>
                <c:pt idx="223">
                  <c:v>290860,2151</c:v>
                </c:pt>
                <c:pt idx="224">
                  <c:v>291559,1398</c:v>
                </c:pt>
                <c:pt idx="225">
                  <c:v>292258,0645</c:v>
                </c:pt>
                <c:pt idx="226">
                  <c:v>292956,9892</c:v>
                </c:pt>
                <c:pt idx="227">
                  <c:v>293655,914</c:v>
                </c:pt>
                <c:pt idx="228">
                  <c:v>294354,8387</c:v>
                </c:pt>
                <c:pt idx="229">
                  <c:v>295053,7634</c:v>
                </c:pt>
                <c:pt idx="230">
                  <c:v>295752,6882</c:v>
                </c:pt>
                <c:pt idx="231">
                  <c:v>296451,6129</c:v>
                </c:pt>
                <c:pt idx="232">
                  <c:v>297150,5376</c:v>
                </c:pt>
                <c:pt idx="233">
                  <c:v>297849,4624</c:v>
                </c:pt>
                <c:pt idx="234">
                  <c:v>298548,3871</c:v>
                </c:pt>
                <c:pt idx="235">
                  <c:v>299247,3118</c:v>
                </c:pt>
                <c:pt idx="236">
                  <c:v>299946,2366</c:v>
                </c:pt>
                <c:pt idx="237">
                  <c:v>300645,1613</c:v>
                </c:pt>
                <c:pt idx="238">
                  <c:v>301344,086</c:v>
                </c:pt>
                <c:pt idx="239">
                  <c:v>302043,0108</c:v>
                </c:pt>
                <c:pt idx="240">
                  <c:v>302741,9355</c:v>
                </c:pt>
                <c:pt idx="241">
                  <c:v>303440,8602</c:v>
                </c:pt>
                <c:pt idx="242">
                  <c:v>304139,7849</c:v>
                </c:pt>
                <c:pt idx="243">
                  <c:v>304838,7097</c:v>
                </c:pt>
                <c:pt idx="244">
                  <c:v>305537,6344</c:v>
                </c:pt>
                <c:pt idx="245">
                  <c:v>306236,5591</c:v>
                </c:pt>
                <c:pt idx="246">
                  <c:v>306935,4839</c:v>
                </c:pt>
                <c:pt idx="247">
                  <c:v>307634,4086</c:v>
                </c:pt>
                <c:pt idx="248">
                  <c:v>308333,3333</c:v>
                </c:pt>
                <c:pt idx="249">
                  <c:v>309032,2581</c:v>
                </c:pt>
                <c:pt idx="250">
                  <c:v>309731,1828</c:v>
                </c:pt>
                <c:pt idx="251">
                  <c:v>310430,1075</c:v>
                </c:pt>
                <c:pt idx="252">
                  <c:v>311129,0323</c:v>
                </c:pt>
                <c:pt idx="253">
                  <c:v>311827,957</c:v>
                </c:pt>
                <c:pt idx="254">
                  <c:v>312526,8817</c:v>
                </c:pt>
                <c:pt idx="255">
                  <c:v>313225,8065</c:v>
                </c:pt>
                <c:pt idx="256">
                  <c:v>313924,7312</c:v>
                </c:pt>
                <c:pt idx="257">
                  <c:v>314623,6559</c:v>
                </c:pt>
                <c:pt idx="258">
                  <c:v>315322,5806</c:v>
                </c:pt>
                <c:pt idx="259">
                  <c:v>316021,5054</c:v>
                </c:pt>
                <c:pt idx="260">
                  <c:v>316720,4301</c:v>
                </c:pt>
                <c:pt idx="261">
                  <c:v>317419,3548</c:v>
                </c:pt>
                <c:pt idx="262">
                  <c:v>318118,2796</c:v>
                </c:pt>
                <c:pt idx="263">
                  <c:v>318817,2043</c:v>
                </c:pt>
                <c:pt idx="264">
                  <c:v>319516,129</c:v>
                </c:pt>
                <c:pt idx="265">
                  <c:v>320215,0538</c:v>
                </c:pt>
                <c:pt idx="266">
                  <c:v>320913,9785</c:v>
                </c:pt>
                <c:pt idx="267">
                  <c:v>321612,9032</c:v>
                </c:pt>
                <c:pt idx="268">
                  <c:v>322311,828</c:v>
                </c:pt>
                <c:pt idx="269">
                  <c:v>323010,7527</c:v>
                </c:pt>
                <c:pt idx="270">
                  <c:v>323709,6774</c:v>
                </c:pt>
                <c:pt idx="271">
                  <c:v>324408,6022</c:v>
                </c:pt>
                <c:pt idx="272">
                  <c:v>325107,5269</c:v>
                </c:pt>
                <c:pt idx="273">
                  <c:v>325806,4516</c:v>
                </c:pt>
                <c:pt idx="274">
                  <c:v>326505,3763</c:v>
                </c:pt>
                <c:pt idx="275">
                  <c:v>327204,3011</c:v>
                </c:pt>
                <c:pt idx="276">
                  <c:v>327903,2258</c:v>
                </c:pt>
                <c:pt idx="277">
                  <c:v>328602,1505</c:v>
                </c:pt>
                <c:pt idx="278">
                  <c:v>329301,0753</c:v>
                </c:pt>
                <c:pt idx="279">
                  <c:v>330000</c:v>
                </c:pt>
                <c:pt idx="280">
                  <c:v>330698,9247</c:v>
                </c:pt>
                <c:pt idx="281">
                  <c:v>331397,8495</c:v>
                </c:pt>
                <c:pt idx="282">
                  <c:v>332096,7742</c:v>
                </c:pt>
                <c:pt idx="283">
                  <c:v>332795,6989</c:v>
                </c:pt>
                <c:pt idx="284">
                  <c:v>333494,6237</c:v>
                </c:pt>
                <c:pt idx="285">
                  <c:v>334193,5484</c:v>
                </c:pt>
                <c:pt idx="286">
                  <c:v>334892,4731</c:v>
                </c:pt>
                <c:pt idx="287">
                  <c:v>335591,3978</c:v>
                </c:pt>
                <c:pt idx="288">
                  <c:v>336290,3226</c:v>
                </c:pt>
                <c:pt idx="289">
                  <c:v>336989,2473</c:v>
                </c:pt>
                <c:pt idx="290">
                  <c:v>337688,172</c:v>
                </c:pt>
                <c:pt idx="291">
                  <c:v>338387,0968</c:v>
                </c:pt>
                <c:pt idx="292">
                  <c:v>339086,0215</c:v>
                </c:pt>
                <c:pt idx="293">
                  <c:v>339784,9462</c:v>
                </c:pt>
                <c:pt idx="294">
                  <c:v>340483,871</c:v>
                </c:pt>
                <c:pt idx="295">
                  <c:v>341182,7957</c:v>
                </c:pt>
                <c:pt idx="296">
                  <c:v>341881,7204</c:v>
                </c:pt>
                <c:pt idx="297">
                  <c:v>342580,6452</c:v>
                </c:pt>
                <c:pt idx="298">
                  <c:v>343279,5699</c:v>
                </c:pt>
                <c:pt idx="299">
                  <c:v>343978,4946</c:v>
                </c:pt>
                <c:pt idx="300">
                  <c:v>344677,4194</c:v>
                </c:pt>
                <c:pt idx="301">
                  <c:v>345376,3441</c:v>
                </c:pt>
                <c:pt idx="302">
                  <c:v>346075,2688</c:v>
                </c:pt>
                <c:pt idx="303">
                  <c:v>346774,1935</c:v>
                </c:pt>
                <c:pt idx="304">
                  <c:v>347473,1183</c:v>
                </c:pt>
                <c:pt idx="305">
                  <c:v>348172,043</c:v>
                </c:pt>
                <c:pt idx="306">
                  <c:v>348870,9677</c:v>
                </c:pt>
                <c:pt idx="307">
                  <c:v>349569,8925</c:v>
                </c:pt>
                <c:pt idx="308">
                  <c:v>350268,8172</c:v>
                </c:pt>
                <c:pt idx="309">
                  <c:v>350967,7419</c:v>
                </c:pt>
                <c:pt idx="310">
                  <c:v>351666,6667</c:v>
                </c:pt>
                <c:pt idx="311">
                  <c:v>352365,5914</c:v>
                </c:pt>
                <c:pt idx="312">
                  <c:v>353064,5161</c:v>
                </c:pt>
                <c:pt idx="313">
                  <c:v>353763,4409</c:v>
                </c:pt>
                <c:pt idx="314">
                  <c:v>354462,3656</c:v>
                </c:pt>
                <c:pt idx="315">
                  <c:v>355161,2903</c:v>
                </c:pt>
                <c:pt idx="316">
                  <c:v>355860,2151</c:v>
                </c:pt>
                <c:pt idx="317">
                  <c:v>356559,1398</c:v>
                </c:pt>
                <c:pt idx="318">
                  <c:v>357258,0645</c:v>
                </c:pt>
                <c:pt idx="319">
                  <c:v>357956,9892</c:v>
                </c:pt>
                <c:pt idx="320">
                  <c:v>358655,914</c:v>
                </c:pt>
                <c:pt idx="321">
                  <c:v>359354,8387</c:v>
                </c:pt>
                <c:pt idx="322">
                  <c:v>360053,7634</c:v>
                </c:pt>
                <c:pt idx="323">
                  <c:v>360752,6882</c:v>
                </c:pt>
                <c:pt idx="324">
                  <c:v>361451,6129</c:v>
                </c:pt>
                <c:pt idx="325">
                  <c:v>362150,5376</c:v>
                </c:pt>
                <c:pt idx="326">
                  <c:v>362849,4624</c:v>
                </c:pt>
                <c:pt idx="327">
                  <c:v>363548,3871</c:v>
                </c:pt>
                <c:pt idx="328">
                  <c:v>364247,3118</c:v>
                </c:pt>
                <c:pt idx="329">
                  <c:v>364946,2366</c:v>
                </c:pt>
                <c:pt idx="330">
                  <c:v>365645,1613</c:v>
                </c:pt>
                <c:pt idx="331">
                  <c:v>366344,086</c:v>
                </c:pt>
                <c:pt idx="332">
                  <c:v>367043,0108</c:v>
                </c:pt>
                <c:pt idx="333">
                  <c:v>367741,9355</c:v>
                </c:pt>
                <c:pt idx="334">
                  <c:v>368440,8602</c:v>
                </c:pt>
                <c:pt idx="335">
                  <c:v>369139,7849</c:v>
                </c:pt>
                <c:pt idx="336">
                  <c:v>369838,7097</c:v>
                </c:pt>
                <c:pt idx="337">
                  <c:v>370537,6344</c:v>
                </c:pt>
                <c:pt idx="338">
                  <c:v>371236,5591</c:v>
                </c:pt>
                <c:pt idx="339">
                  <c:v>371935,4839</c:v>
                </c:pt>
                <c:pt idx="340">
                  <c:v>372634,4086</c:v>
                </c:pt>
                <c:pt idx="341">
                  <c:v>373333,3333</c:v>
                </c:pt>
                <c:pt idx="342">
                  <c:v>374032,2581</c:v>
                </c:pt>
                <c:pt idx="343">
                  <c:v>374731,1828</c:v>
                </c:pt>
                <c:pt idx="344">
                  <c:v>375430,1075</c:v>
                </c:pt>
                <c:pt idx="345">
                  <c:v>376129,0323</c:v>
                </c:pt>
                <c:pt idx="346">
                  <c:v>376827,957</c:v>
                </c:pt>
                <c:pt idx="347">
                  <c:v>377526,8817</c:v>
                </c:pt>
                <c:pt idx="348">
                  <c:v>378225,8065</c:v>
                </c:pt>
                <c:pt idx="349">
                  <c:v>378924,7312</c:v>
                </c:pt>
                <c:pt idx="350">
                  <c:v>379623,6559</c:v>
                </c:pt>
                <c:pt idx="351">
                  <c:v>380322,5806</c:v>
                </c:pt>
                <c:pt idx="352">
                  <c:v>381021,5054</c:v>
                </c:pt>
                <c:pt idx="353">
                  <c:v>381720,4301</c:v>
                </c:pt>
                <c:pt idx="354">
                  <c:v>382419,3548</c:v>
                </c:pt>
                <c:pt idx="355">
                  <c:v>383118,2796</c:v>
                </c:pt>
                <c:pt idx="356">
                  <c:v>383817,2043</c:v>
                </c:pt>
                <c:pt idx="357">
                  <c:v>384516,129</c:v>
                </c:pt>
                <c:pt idx="358">
                  <c:v>385215,0538</c:v>
                </c:pt>
                <c:pt idx="359">
                  <c:v>385913,9785</c:v>
                </c:pt>
                <c:pt idx="360">
                  <c:v>386612,9032</c:v>
                </c:pt>
                <c:pt idx="361">
                  <c:v>387311,828</c:v>
                </c:pt>
                <c:pt idx="362">
                  <c:v>388010,7527</c:v>
                </c:pt>
                <c:pt idx="363">
                  <c:v>388709,6774</c:v>
                </c:pt>
                <c:pt idx="364">
                  <c:v>389408,6022</c:v>
                </c:pt>
                <c:pt idx="365">
                  <c:v>390107,5269</c:v>
                </c:pt>
                <c:pt idx="366">
                  <c:v>390806,4516</c:v>
                </c:pt>
                <c:pt idx="367">
                  <c:v>391505,3763</c:v>
                </c:pt>
                <c:pt idx="368">
                  <c:v>392204,3011</c:v>
                </c:pt>
                <c:pt idx="369">
                  <c:v>392903,2258</c:v>
                </c:pt>
                <c:pt idx="370">
                  <c:v>393602,1505</c:v>
                </c:pt>
                <c:pt idx="371">
                  <c:v>394301,0753</c:v>
                </c:pt>
                <c:pt idx="372">
                  <c:v>395000</c:v>
                </c:pt>
                <c:pt idx="373">
                  <c:v>395698,9247</c:v>
                </c:pt>
                <c:pt idx="374">
                  <c:v>396397,8495</c:v>
                </c:pt>
                <c:pt idx="375">
                  <c:v>397096,7742</c:v>
                </c:pt>
                <c:pt idx="376">
                  <c:v>397795,6989</c:v>
                </c:pt>
                <c:pt idx="377">
                  <c:v>398494,6237</c:v>
                </c:pt>
                <c:pt idx="378">
                  <c:v>399193,5484</c:v>
                </c:pt>
                <c:pt idx="379">
                  <c:v>399892,4731</c:v>
                </c:pt>
                <c:pt idx="380">
                  <c:v>400591,3978</c:v>
                </c:pt>
                <c:pt idx="381">
                  <c:v>401290,3226</c:v>
                </c:pt>
                <c:pt idx="382">
                  <c:v>401989,2473</c:v>
                </c:pt>
                <c:pt idx="383">
                  <c:v>402688,172</c:v>
                </c:pt>
                <c:pt idx="384">
                  <c:v>403387,0968</c:v>
                </c:pt>
                <c:pt idx="385">
                  <c:v>404086,0215</c:v>
                </c:pt>
                <c:pt idx="386">
                  <c:v>404784,9462</c:v>
                </c:pt>
                <c:pt idx="387">
                  <c:v>405483,871</c:v>
                </c:pt>
                <c:pt idx="388">
                  <c:v>406182,7957</c:v>
                </c:pt>
                <c:pt idx="389">
                  <c:v>406881,7204</c:v>
                </c:pt>
                <c:pt idx="390">
                  <c:v>407580,6452</c:v>
                </c:pt>
                <c:pt idx="391">
                  <c:v>408279,5699</c:v>
                </c:pt>
                <c:pt idx="392">
                  <c:v>408978,4946</c:v>
                </c:pt>
                <c:pt idx="393">
                  <c:v>409677,4194</c:v>
                </c:pt>
                <c:pt idx="394">
                  <c:v>410376,3441</c:v>
                </c:pt>
                <c:pt idx="395">
                  <c:v>411075,2688</c:v>
                </c:pt>
                <c:pt idx="396">
                  <c:v>411774,1935</c:v>
                </c:pt>
                <c:pt idx="397">
                  <c:v>412473,1183</c:v>
                </c:pt>
                <c:pt idx="398">
                  <c:v>413172,043</c:v>
                </c:pt>
                <c:pt idx="399">
                  <c:v>413870,9677</c:v>
                </c:pt>
                <c:pt idx="400">
                  <c:v>414569,8925</c:v>
                </c:pt>
                <c:pt idx="401">
                  <c:v>415268,8172</c:v>
                </c:pt>
                <c:pt idx="402">
                  <c:v>415967,7419</c:v>
                </c:pt>
                <c:pt idx="403">
                  <c:v>416666,6667</c:v>
                </c:pt>
                <c:pt idx="404">
                  <c:v>417365,5914</c:v>
                </c:pt>
                <c:pt idx="405">
                  <c:v>418064,5161</c:v>
                </c:pt>
                <c:pt idx="406">
                  <c:v>418763,4409</c:v>
                </c:pt>
                <c:pt idx="407">
                  <c:v>419462,3656</c:v>
                </c:pt>
                <c:pt idx="408">
                  <c:v>420161,2903</c:v>
                </c:pt>
                <c:pt idx="409">
                  <c:v>420860,2151</c:v>
                </c:pt>
                <c:pt idx="410">
                  <c:v>421559,1398</c:v>
                </c:pt>
                <c:pt idx="411">
                  <c:v>422258,0645</c:v>
                </c:pt>
                <c:pt idx="412">
                  <c:v>422956,9892</c:v>
                </c:pt>
                <c:pt idx="413">
                  <c:v>423655,914</c:v>
                </c:pt>
                <c:pt idx="414">
                  <c:v>424354,8387</c:v>
                </c:pt>
                <c:pt idx="415">
                  <c:v>425053,7634</c:v>
                </c:pt>
                <c:pt idx="416">
                  <c:v>425752,6882</c:v>
                </c:pt>
                <c:pt idx="417">
                  <c:v>426451,6129</c:v>
                </c:pt>
                <c:pt idx="418">
                  <c:v>427150,5376</c:v>
                </c:pt>
                <c:pt idx="419">
                  <c:v>427849,4624</c:v>
                </c:pt>
                <c:pt idx="420">
                  <c:v>428548,3871</c:v>
                </c:pt>
                <c:pt idx="421">
                  <c:v>429247,3118</c:v>
                </c:pt>
                <c:pt idx="422">
                  <c:v>429946,2366</c:v>
                </c:pt>
                <c:pt idx="423">
                  <c:v>430645,1613</c:v>
                </c:pt>
                <c:pt idx="424">
                  <c:v>431344,086</c:v>
                </c:pt>
                <c:pt idx="425">
                  <c:v>432043,0108</c:v>
                </c:pt>
                <c:pt idx="426">
                  <c:v>432741,9355</c:v>
                </c:pt>
                <c:pt idx="427">
                  <c:v>433440,8602</c:v>
                </c:pt>
                <c:pt idx="428">
                  <c:v>434139,7849</c:v>
                </c:pt>
                <c:pt idx="429">
                  <c:v>434838,7097</c:v>
                </c:pt>
                <c:pt idx="430">
                  <c:v>435537,6344</c:v>
                </c:pt>
                <c:pt idx="431">
                  <c:v>436236,5591</c:v>
                </c:pt>
                <c:pt idx="432">
                  <c:v>436935,4839</c:v>
                </c:pt>
                <c:pt idx="433">
                  <c:v>437634,4086</c:v>
                </c:pt>
                <c:pt idx="434">
                  <c:v>438333,3333</c:v>
                </c:pt>
                <c:pt idx="435">
                  <c:v>439032,2581</c:v>
                </c:pt>
                <c:pt idx="436">
                  <c:v>439731,1828</c:v>
                </c:pt>
                <c:pt idx="437">
                  <c:v>440430,1075</c:v>
                </c:pt>
                <c:pt idx="438">
                  <c:v>441129,0323</c:v>
                </c:pt>
                <c:pt idx="439">
                  <c:v>441827,957</c:v>
                </c:pt>
                <c:pt idx="440">
                  <c:v>442526,8817</c:v>
                </c:pt>
                <c:pt idx="441">
                  <c:v>443225,8065</c:v>
                </c:pt>
                <c:pt idx="442">
                  <c:v>443924,7312</c:v>
                </c:pt>
                <c:pt idx="443">
                  <c:v>444623,6559</c:v>
                </c:pt>
                <c:pt idx="444">
                  <c:v>445322,5806</c:v>
                </c:pt>
                <c:pt idx="445">
                  <c:v>446021,5054</c:v>
                </c:pt>
                <c:pt idx="446">
                  <c:v>446720,4301</c:v>
                </c:pt>
                <c:pt idx="447">
                  <c:v>447419,3548</c:v>
                </c:pt>
                <c:pt idx="448">
                  <c:v>448118,2796</c:v>
                </c:pt>
                <c:pt idx="449">
                  <c:v>448817,2043</c:v>
                </c:pt>
                <c:pt idx="450">
                  <c:v>449516,129</c:v>
                </c:pt>
                <c:pt idx="451">
                  <c:v>450215,0538</c:v>
                </c:pt>
                <c:pt idx="452">
                  <c:v>450913,9785</c:v>
                </c:pt>
                <c:pt idx="453">
                  <c:v>451612,9032</c:v>
                </c:pt>
                <c:pt idx="454">
                  <c:v>452311,828</c:v>
                </c:pt>
                <c:pt idx="455">
                  <c:v>453010,7527</c:v>
                </c:pt>
                <c:pt idx="456">
                  <c:v>453709,6774</c:v>
                </c:pt>
                <c:pt idx="457">
                  <c:v>454408,6022</c:v>
                </c:pt>
                <c:pt idx="458">
                  <c:v>455107,5269</c:v>
                </c:pt>
                <c:pt idx="459">
                  <c:v>455806,4516</c:v>
                </c:pt>
                <c:pt idx="460">
                  <c:v>456505,3763</c:v>
                </c:pt>
                <c:pt idx="461">
                  <c:v>457204,3011</c:v>
                </c:pt>
                <c:pt idx="462">
                  <c:v>457903,2258</c:v>
                </c:pt>
                <c:pt idx="463">
                  <c:v>458602,1505</c:v>
                </c:pt>
                <c:pt idx="464">
                  <c:v>459301,0753</c:v>
                </c:pt>
                <c:pt idx="465">
                  <c:v>460000</c:v>
                </c:pt>
                <c:pt idx="466">
                  <c:v>460698,9247</c:v>
                </c:pt>
                <c:pt idx="467">
                  <c:v>461397,8495</c:v>
                </c:pt>
                <c:pt idx="468">
                  <c:v>462096,7742</c:v>
                </c:pt>
                <c:pt idx="469">
                  <c:v>462795,6989</c:v>
                </c:pt>
                <c:pt idx="470">
                  <c:v>463494,6237</c:v>
                </c:pt>
                <c:pt idx="471">
                  <c:v>464193,5484</c:v>
                </c:pt>
                <c:pt idx="472">
                  <c:v>464892,4731</c:v>
                </c:pt>
                <c:pt idx="473">
                  <c:v>465591,3978</c:v>
                </c:pt>
                <c:pt idx="474">
                  <c:v>466290,3226</c:v>
                </c:pt>
                <c:pt idx="475">
                  <c:v>466989,2473</c:v>
                </c:pt>
                <c:pt idx="476">
                  <c:v>467688,172</c:v>
                </c:pt>
                <c:pt idx="477">
                  <c:v>468387,0968</c:v>
                </c:pt>
                <c:pt idx="478">
                  <c:v>469086,0215</c:v>
                </c:pt>
                <c:pt idx="479">
                  <c:v>469784,9462</c:v>
                </c:pt>
                <c:pt idx="480">
                  <c:v>470483,871</c:v>
                </c:pt>
                <c:pt idx="481">
                  <c:v>471182,7957</c:v>
                </c:pt>
                <c:pt idx="482">
                  <c:v>471881,7204</c:v>
                </c:pt>
                <c:pt idx="483">
                  <c:v>472580,6452</c:v>
                </c:pt>
                <c:pt idx="484">
                  <c:v>473279,5699</c:v>
                </c:pt>
                <c:pt idx="485">
                  <c:v>473978,4946</c:v>
                </c:pt>
                <c:pt idx="486">
                  <c:v>474677,4194</c:v>
                </c:pt>
                <c:pt idx="487">
                  <c:v>475376,3441</c:v>
                </c:pt>
                <c:pt idx="488">
                  <c:v>476075,2688</c:v>
                </c:pt>
                <c:pt idx="489">
                  <c:v>476774,1935</c:v>
                </c:pt>
                <c:pt idx="490">
                  <c:v>477473,1183</c:v>
                </c:pt>
                <c:pt idx="491">
                  <c:v>478172,043</c:v>
                </c:pt>
                <c:pt idx="492">
                  <c:v>478870,9677</c:v>
                </c:pt>
                <c:pt idx="493">
                  <c:v>479569,8925</c:v>
                </c:pt>
                <c:pt idx="494">
                  <c:v>480268,8172</c:v>
                </c:pt>
                <c:pt idx="495">
                  <c:v>480967,7419</c:v>
                </c:pt>
                <c:pt idx="496">
                  <c:v>481666,6667</c:v>
                </c:pt>
                <c:pt idx="497">
                  <c:v>482365,5914</c:v>
                </c:pt>
                <c:pt idx="498">
                  <c:v>483064,5161</c:v>
                </c:pt>
                <c:pt idx="499">
                  <c:v>483763,4409</c:v>
                </c:pt>
                <c:pt idx="500">
                  <c:v>484462,3656</c:v>
                </c:pt>
                <c:pt idx="501">
                  <c:v>485161,2903</c:v>
                </c:pt>
                <c:pt idx="502">
                  <c:v>485860,2151</c:v>
                </c:pt>
                <c:pt idx="503">
                  <c:v>486559,1398</c:v>
                </c:pt>
                <c:pt idx="504">
                  <c:v>487258,0645</c:v>
                </c:pt>
                <c:pt idx="505">
                  <c:v>487956,9892</c:v>
                </c:pt>
                <c:pt idx="506">
                  <c:v>488655,914</c:v>
                </c:pt>
                <c:pt idx="507">
                  <c:v>489354,8387</c:v>
                </c:pt>
                <c:pt idx="508">
                  <c:v>490053,7634</c:v>
                </c:pt>
                <c:pt idx="509">
                  <c:v>490752,6882</c:v>
                </c:pt>
                <c:pt idx="510">
                  <c:v>491451,6129</c:v>
                </c:pt>
                <c:pt idx="511">
                  <c:v>492150,5376</c:v>
                </c:pt>
                <c:pt idx="512">
                  <c:v>492849,4624</c:v>
                </c:pt>
                <c:pt idx="513">
                  <c:v>493548,3871</c:v>
                </c:pt>
                <c:pt idx="514">
                  <c:v>494247,3118</c:v>
                </c:pt>
                <c:pt idx="515">
                  <c:v>494946,2366</c:v>
                </c:pt>
                <c:pt idx="516">
                  <c:v>495645,1613</c:v>
                </c:pt>
                <c:pt idx="517">
                  <c:v>496344,086</c:v>
                </c:pt>
                <c:pt idx="518">
                  <c:v>497043,0108</c:v>
                </c:pt>
                <c:pt idx="519">
                  <c:v>497741,9355</c:v>
                </c:pt>
                <c:pt idx="520">
                  <c:v>498440,8602</c:v>
                </c:pt>
                <c:pt idx="521">
                  <c:v>499139,7849</c:v>
                </c:pt>
                <c:pt idx="522">
                  <c:v>499838,7097</c:v>
                </c:pt>
                <c:pt idx="523">
                  <c:v>500537,6344</c:v>
                </c:pt>
                <c:pt idx="524">
                  <c:v>501236,5591</c:v>
                </c:pt>
                <c:pt idx="525">
                  <c:v>501935,4839</c:v>
                </c:pt>
                <c:pt idx="526">
                  <c:v>502634,4086</c:v>
                </c:pt>
                <c:pt idx="527">
                  <c:v>503333,3333</c:v>
                </c:pt>
                <c:pt idx="528">
                  <c:v>504032,2581</c:v>
                </c:pt>
                <c:pt idx="529">
                  <c:v>504731,1828</c:v>
                </c:pt>
                <c:pt idx="530">
                  <c:v>505430,1075</c:v>
                </c:pt>
                <c:pt idx="531">
                  <c:v>506129,0323</c:v>
                </c:pt>
                <c:pt idx="532">
                  <c:v>506827,957</c:v>
                </c:pt>
                <c:pt idx="533">
                  <c:v>507526,8817</c:v>
                </c:pt>
                <c:pt idx="534">
                  <c:v>508225,8065</c:v>
                </c:pt>
                <c:pt idx="535">
                  <c:v>508924,7312</c:v>
                </c:pt>
                <c:pt idx="536">
                  <c:v>509623,6559</c:v>
                </c:pt>
                <c:pt idx="537">
                  <c:v>510322,5806</c:v>
                </c:pt>
                <c:pt idx="538">
                  <c:v>511021,5054</c:v>
                </c:pt>
                <c:pt idx="539">
                  <c:v>511720,4301</c:v>
                </c:pt>
                <c:pt idx="540">
                  <c:v>512419,3548</c:v>
                </c:pt>
                <c:pt idx="541">
                  <c:v>513118,2796</c:v>
                </c:pt>
                <c:pt idx="542">
                  <c:v>513817,2043</c:v>
                </c:pt>
                <c:pt idx="543">
                  <c:v>514516,129</c:v>
                </c:pt>
                <c:pt idx="544">
                  <c:v>515215,0538</c:v>
                </c:pt>
                <c:pt idx="545">
                  <c:v>515913,9785</c:v>
                </c:pt>
                <c:pt idx="546">
                  <c:v>516612,9032</c:v>
                </c:pt>
                <c:pt idx="547">
                  <c:v>517311,828</c:v>
                </c:pt>
                <c:pt idx="548">
                  <c:v>518010,7527</c:v>
                </c:pt>
                <c:pt idx="549">
                  <c:v>518709,6774</c:v>
                </c:pt>
                <c:pt idx="550">
                  <c:v>519408,6022</c:v>
                </c:pt>
                <c:pt idx="551">
                  <c:v>520107,5269</c:v>
                </c:pt>
                <c:pt idx="552">
                  <c:v>520806,4516</c:v>
                </c:pt>
                <c:pt idx="553">
                  <c:v>521505,3763</c:v>
                </c:pt>
                <c:pt idx="554">
                  <c:v>522204,3011</c:v>
                </c:pt>
                <c:pt idx="555">
                  <c:v>522903,2258</c:v>
                </c:pt>
                <c:pt idx="556">
                  <c:v>523602,1505</c:v>
                </c:pt>
                <c:pt idx="557">
                  <c:v>524301,0753</c:v>
                </c:pt>
                <c:pt idx="558">
                  <c:v>525000</c:v>
                </c:pt>
                <c:pt idx="559">
                  <c:v>525698,9247</c:v>
                </c:pt>
                <c:pt idx="560">
                  <c:v>526397,8495</c:v>
                </c:pt>
                <c:pt idx="561">
                  <c:v>527096,7742</c:v>
                </c:pt>
                <c:pt idx="562">
                  <c:v>527795,6989</c:v>
                </c:pt>
                <c:pt idx="563">
                  <c:v>528494,6237</c:v>
                </c:pt>
                <c:pt idx="564">
                  <c:v>529193,5484</c:v>
                </c:pt>
                <c:pt idx="565">
                  <c:v>529892,4731</c:v>
                </c:pt>
                <c:pt idx="566">
                  <c:v>530591,3978</c:v>
                </c:pt>
                <c:pt idx="567">
                  <c:v>531290,3226</c:v>
                </c:pt>
                <c:pt idx="568">
                  <c:v>531989,2473</c:v>
                </c:pt>
                <c:pt idx="569">
                  <c:v>532688,172</c:v>
                </c:pt>
                <c:pt idx="570">
                  <c:v>533387,0968</c:v>
                </c:pt>
                <c:pt idx="571">
                  <c:v>534086,0215</c:v>
                </c:pt>
                <c:pt idx="572">
                  <c:v>534784,9462</c:v>
                </c:pt>
                <c:pt idx="573">
                  <c:v>535483,871</c:v>
                </c:pt>
                <c:pt idx="574">
                  <c:v>536182,7957</c:v>
                </c:pt>
                <c:pt idx="575">
                  <c:v>536881,7204</c:v>
                </c:pt>
                <c:pt idx="576">
                  <c:v>537580,6452</c:v>
                </c:pt>
                <c:pt idx="577">
                  <c:v>538279,5699</c:v>
                </c:pt>
                <c:pt idx="578">
                  <c:v>538978,4946</c:v>
                </c:pt>
                <c:pt idx="579">
                  <c:v>539677,4194</c:v>
                </c:pt>
                <c:pt idx="580">
                  <c:v>540376,3441</c:v>
                </c:pt>
                <c:pt idx="581">
                  <c:v>541075,2688</c:v>
                </c:pt>
                <c:pt idx="582">
                  <c:v>541774,1935</c:v>
                </c:pt>
                <c:pt idx="583">
                  <c:v>542473,1183</c:v>
                </c:pt>
                <c:pt idx="584">
                  <c:v>543172,043</c:v>
                </c:pt>
                <c:pt idx="585">
                  <c:v>543870,9677</c:v>
                </c:pt>
                <c:pt idx="586">
                  <c:v>544569,8925</c:v>
                </c:pt>
                <c:pt idx="587">
                  <c:v>545268,8172</c:v>
                </c:pt>
                <c:pt idx="588">
                  <c:v>545967,7419</c:v>
                </c:pt>
                <c:pt idx="589">
                  <c:v>546666,6667</c:v>
                </c:pt>
                <c:pt idx="590">
                  <c:v>547365,5914</c:v>
                </c:pt>
                <c:pt idx="591">
                  <c:v>548064,5161</c:v>
                </c:pt>
                <c:pt idx="592">
                  <c:v>548763,4409</c:v>
                </c:pt>
                <c:pt idx="593">
                  <c:v>549462,3656</c:v>
                </c:pt>
                <c:pt idx="594">
                  <c:v>550161,2903</c:v>
                </c:pt>
                <c:pt idx="595">
                  <c:v>550860,2151</c:v>
                </c:pt>
                <c:pt idx="596">
                  <c:v>551559,1398</c:v>
                </c:pt>
                <c:pt idx="597">
                  <c:v>552258,0645</c:v>
                </c:pt>
                <c:pt idx="598">
                  <c:v>552956,9892</c:v>
                </c:pt>
                <c:pt idx="599">
                  <c:v>553655,914</c:v>
                </c:pt>
                <c:pt idx="600">
                  <c:v>554354,8387</c:v>
                </c:pt>
                <c:pt idx="601">
                  <c:v>555053,7634</c:v>
                </c:pt>
                <c:pt idx="602">
                  <c:v>555752,6882</c:v>
                </c:pt>
                <c:pt idx="603">
                  <c:v>556451,6129</c:v>
                </c:pt>
                <c:pt idx="604">
                  <c:v>557150,5376</c:v>
                </c:pt>
                <c:pt idx="605">
                  <c:v>557849,4624</c:v>
                </c:pt>
                <c:pt idx="606">
                  <c:v>558548,3871</c:v>
                </c:pt>
                <c:pt idx="607">
                  <c:v>559247,3118</c:v>
                </c:pt>
                <c:pt idx="608">
                  <c:v>559946,2366</c:v>
                </c:pt>
                <c:pt idx="609">
                  <c:v>560645,1613</c:v>
                </c:pt>
                <c:pt idx="610">
                  <c:v>561344,086</c:v>
                </c:pt>
                <c:pt idx="611">
                  <c:v>562043,0108</c:v>
                </c:pt>
                <c:pt idx="612">
                  <c:v>562741,9355</c:v>
                </c:pt>
                <c:pt idx="613">
                  <c:v>563440,8602</c:v>
                </c:pt>
                <c:pt idx="614">
                  <c:v>564139,7849</c:v>
                </c:pt>
                <c:pt idx="615">
                  <c:v>564838,7097</c:v>
                </c:pt>
                <c:pt idx="616">
                  <c:v>565537,6344</c:v>
                </c:pt>
                <c:pt idx="617">
                  <c:v>566236,5591</c:v>
                </c:pt>
                <c:pt idx="618">
                  <c:v>566935,4839</c:v>
                </c:pt>
                <c:pt idx="619">
                  <c:v>567634,4086</c:v>
                </c:pt>
                <c:pt idx="620">
                  <c:v>568333,3333</c:v>
                </c:pt>
                <c:pt idx="621">
                  <c:v>569032,2581</c:v>
                </c:pt>
                <c:pt idx="622">
                  <c:v>569731,1828</c:v>
                </c:pt>
                <c:pt idx="623">
                  <c:v>570430,1075</c:v>
                </c:pt>
                <c:pt idx="624">
                  <c:v>571129,0323</c:v>
                </c:pt>
                <c:pt idx="625">
                  <c:v>571827,957</c:v>
                </c:pt>
                <c:pt idx="626">
                  <c:v>572526,8817</c:v>
                </c:pt>
                <c:pt idx="627">
                  <c:v>573225,8065</c:v>
                </c:pt>
                <c:pt idx="628">
                  <c:v>573924,7312</c:v>
                </c:pt>
                <c:pt idx="629">
                  <c:v>574623,6559</c:v>
                </c:pt>
                <c:pt idx="630">
                  <c:v>575322,5806</c:v>
                </c:pt>
                <c:pt idx="631">
                  <c:v>576021,5054</c:v>
                </c:pt>
                <c:pt idx="632">
                  <c:v>576720,4301</c:v>
                </c:pt>
                <c:pt idx="633">
                  <c:v>577419,3548</c:v>
                </c:pt>
                <c:pt idx="634">
                  <c:v>578118,2796</c:v>
                </c:pt>
                <c:pt idx="635">
                  <c:v>578817,2043</c:v>
                </c:pt>
                <c:pt idx="636">
                  <c:v>579516,129</c:v>
                </c:pt>
                <c:pt idx="637">
                  <c:v>580215,0538</c:v>
                </c:pt>
                <c:pt idx="638">
                  <c:v>580913,9785</c:v>
                </c:pt>
                <c:pt idx="639">
                  <c:v>581612,9032</c:v>
                </c:pt>
                <c:pt idx="640">
                  <c:v>582311,828</c:v>
                </c:pt>
                <c:pt idx="641">
                  <c:v>583010,7527</c:v>
                </c:pt>
                <c:pt idx="642">
                  <c:v>583709,6774</c:v>
                </c:pt>
                <c:pt idx="643">
                  <c:v>584408,6022</c:v>
                </c:pt>
                <c:pt idx="644">
                  <c:v>585107,5269</c:v>
                </c:pt>
                <c:pt idx="645">
                  <c:v>585806,4516</c:v>
                </c:pt>
                <c:pt idx="646">
                  <c:v>586505,3763</c:v>
                </c:pt>
                <c:pt idx="647">
                  <c:v>587204,3011</c:v>
                </c:pt>
                <c:pt idx="648">
                  <c:v>587903,2258</c:v>
                </c:pt>
                <c:pt idx="649">
                  <c:v>588602,1505</c:v>
                </c:pt>
                <c:pt idx="650">
                  <c:v>589301,0753</c:v>
                </c:pt>
                <c:pt idx="651">
                  <c:v>590000</c:v>
                </c:pt>
                <c:pt idx="652">
                  <c:v>590698,9247</c:v>
                </c:pt>
                <c:pt idx="653">
                  <c:v>591397,8495</c:v>
                </c:pt>
                <c:pt idx="654">
                  <c:v>592096,7742</c:v>
                </c:pt>
                <c:pt idx="655">
                  <c:v>592795,6989</c:v>
                </c:pt>
                <c:pt idx="656">
                  <c:v>593494,6237</c:v>
                </c:pt>
                <c:pt idx="657">
                  <c:v>594193,5484</c:v>
                </c:pt>
                <c:pt idx="658">
                  <c:v>594892,4731</c:v>
                </c:pt>
                <c:pt idx="659">
                  <c:v>595591,3978</c:v>
                </c:pt>
                <c:pt idx="660">
                  <c:v>596290,3226</c:v>
                </c:pt>
                <c:pt idx="661">
                  <c:v>596989,2473</c:v>
                </c:pt>
                <c:pt idx="662">
                  <c:v>597688,172</c:v>
                </c:pt>
                <c:pt idx="663">
                  <c:v>598387,0968</c:v>
                </c:pt>
                <c:pt idx="664">
                  <c:v>599086,0215</c:v>
                </c:pt>
                <c:pt idx="665">
                  <c:v>599784,9462</c:v>
                </c:pt>
                <c:pt idx="666">
                  <c:v>600483,871</c:v>
                </c:pt>
                <c:pt idx="667">
                  <c:v>601182,7957</c:v>
                </c:pt>
                <c:pt idx="668">
                  <c:v>601881,7204</c:v>
                </c:pt>
                <c:pt idx="669">
                  <c:v>602580,6452</c:v>
                </c:pt>
                <c:pt idx="670">
                  <c:v>603279,5699</c:v>
                </c:pt>
                <c:pt idx="671">
                  <c:v>603978,4946</c:v>
                </c:pt>
                <c:pt idx="672">
                  <c:v>604677,4194</c:v>
                </c:pt>
                <c:pt idx="673">
                  <c:v>605376,3441</c:v>
                </c:pt>
                <c:pt idx="674">
                  <c:v>606075,2688</c:v>
                </c:pt>
                <c:pt idx="675">
                  <c:v>606774,1935</c:v>
                </c:pt>
                <c:pt idx="676">
                  <c:v>607473,1183</c:v>
                </c:pt>
                <c:pt idx="677">
                  <c:v>608172,043</c:v>
                </c:pt>
                <c:pt idx="678">
                  <c:v>608870,9677</c:v>
                </c:pt>
                <c:pt idx="679">
                  <c:v>609569,8925</c:v>
                </c:pt>
                <c:pt idx="680">
                  <c:v>610268,8172</c:v>
                </c:pt>
                <c:pt idx="681">
                  <c:v>610967,7419</c:v>
                </c:pt>
                <c:pt idx="682">
                  <c:v>611666,6667</c:v>
                </c:pt>
                <c:pt idx="683">
                  <c:v>612365,5914</c:v>
                </c:pt>
                <c:pt idx="684">
                  <c:v>613064,5161</c:v>
                </c:pt>
                <c:pt idx="685">
                  <c:v>613763,4409</c:v>
                </c:pt>
                <c:pt idx="686">
                  <c:v>614462,3656</c:v>
                </c:pt>
                <c:pt idx="687">
                  <c:v>615161,2903</c:v>
                </c:pt>
                <c:pt idx="688">
                  <c:v>615860,2151</c:v>
                </c:pt>
                <c:pt idx="689">
                  <c:v>616559,1398</c:v>
                </c:pt>
                <c:pt idx="690">
                  <c:v>617258,0645</c:v>
                </c:pt>
                <c:pt idx="691">
                  <c:v>617956,9892</c:v>
                </c:pt>
                <c:pt idx="692">
                  <c:v>618655,914</c:v>
                </c:pt>
                <c:pt idx="693">
                  <c:v>619354,8387</c:v>
                </c:pt>
                <c:pt idx="694">
                  <c:v>620053,7634</c:v>
                </c:pt>
                <c:pt idx="695">
                  <c:v>620752,6882</c:v>
                </c:pt>
                <c:pt idx="696">
                  <c:v>621451,6129</c:v>
                </c:pt>
                <c:pt idx="697">
                  <c:v>622150,5376</c:v>
                </c:pt>
                <c:pt idx="698">
                  <c:v>622849,4624</c:v>
                </c:pt>
                <c:pt idx="699">
                  <c:v>623548,3871</c:v>
                </c:pt>
                <c:pt idx="700">
                  <c:v>624247,3118</c:v>
                </c:pt>
                <c:pt idx="701">
                  <c:v>624946,2366</c:v>
                </c:pt>
                <c:pt idx="702">
                  <c:v>625645,1613</c:v>
                </c:pt>
                <c:pt idx="703">
                  <c:v>626344,086</c:v>
                </c:pt>
                <c:pt idx="704">
                  <c:v>627043,0108</c:v>
                </c:pt>
                <c:pt idx="705">
                  <c:v>627741,9355</c:v>
                </c:pt>
                <c:pt idx="706">
                  <c:v>628440,8602</c:v>
                </c:pt>
                <c:pt idx="707">
                  <c:v>629139,7849</c:v>
                </c:pt>
                <c:pt idx="708">
                  <c:v>629838,7097</c:v>
                </c:pt>
                <c:pt idx="709">
                  <c:v>630537,6344</c:v>
                </c:pt>
                <c:pt idx="710">
                  <c:v>631236,5591</c:v>
                </c:pt>
                <c:pt idx="711">
                  <c:v>631935,4839</c:v>
                </c:pt>
                <c:pt idx="712">
                  <c:v>632634,4086</c:v>
                </c:pt>
                <c:pt idx="713">
                  <c:v>633333,3333</c:v>
                </c:pt>
                <c:pt idx="714">
                  <c:v>634032,2581</c:v>
                </c:pt>
                <c:pt idx="715">
                  <c:v>634731,1828</c:v>
                </c:pt>
                <c:pt idx="716">
                  <c:v>635430,1075</c:v>
                </c:pt>
                <c:pt idx="717">
                  <c:v>636129,0323</c:v>
                </c:pt>
                <c:pt idx="718">
                  <c:v>636827,957</c:v>
                </c:pt>
                <c:pt idx="719">
                  <c:v>637526,8817</c:v>
                </c:pt>
                <c:pt idx="720">
                  <c:v>638225,8065</c:v>
                </c:pt>
                <c:pt idx="721">
                  <c:v>638924,7312</c:v>
                </c:pt>
                <c:pt idx="722">
                  <c:v>639623,6559</c:v>
                </c:pt>
                <c:pt idx="723">
                  <c:v>640322,5806</c:v>
                </c:pt>
                <c:pt idx="724">
                  <c:v>641021,5054</c:v>
                </c:pt>
                <c:pt idx="725">
                  <c:v>641720,4301</c:v>
                </c:pt>
                <c:pt idx="726">
                  <c:v>642419,3548</c:v>
                </c:pt>
                <c:pt idx="727">
                  <c:v>643118,2796</c:v>
                </c:pt>
                <c:pt idx="728">
                  <c:v>643817,2043</c:v>
                </c:pt>
                <c:pt idx="729">
                  <c:v>644516,129</c:v>
                </c:pt>
                <c:pt idx="730">
                  <c:v>645215,0538</c:v>
                </c:pt>
                <c:pt idx="731">
                  <c:v>645913,9785</c:v>
                </c:pt>
                <c:pt idx="732">
                  <c:v>646612,9032</c:v>
                </c:pt>
                <c:pt idx="733">
                  <c:v>647311,828</c:v>
                </c:pt>
                <c:pt idx="734">
                  <c:v>648010,7527</c:v>
                </c:pt>
                <c:pt idx="735">
                  <c:v>648709,6774</c:v>
                </c:pt>
                <c:pt idx="736">
                  <c:v>649408,6022</c:v>
                </c:pt>
                <c:pt idx="737">
                  <c:v>650107,5269</c:v>
                </c:pt>
                <c:pt idx="738">
                  <c:v>650806,4516</c:v>
                </c:pt>
                <c:pt idx="739">
                  <c:v>651505,3763</c:v>
                </c:pt>
                <c:pt idx="740">
                  <c:v>652204,3011</c:v>
                </c:pt>
                <c:pt idx="741">
                  <c:v>652903,2258</c:v>
                </c:pt>
                <c:pt idx="742">
                  <c:v>653602,1505</c:v>
                </c:pt>
                <c:pt idx="743">
                  <c:v>654301,0753</c:v>
                </c:pt>
                <c:pt idx="744">
                  <c:v>655000</c:v>
                </c:pt>
                <c:pt idx="745">
                  <c:v>655698,9247</c:v>
                </c:pt>
                <c:pt idx="746">
                  <c:v>656397,8495</c:v>
                </c:pt>
                <c:pt idx="747">
                  <c:v>657096,7742</c:v>
                </c:pt>
                <c:pt idx="748">
                  <c:v>657795,6989</c:v>
                </c:pt>
                <c:pt idx="749">
                  <c:v>658494,6237</c:v>
                </c:pt>
                <c:pt idx="750">
                  <c:v>659193,5484</c:v>
                </c:pt>
                <c:pt idx="751">
                  <c:v>659892,4731</c:v>
                </c:pt>
                <c:pt idx="752">
                  <c:v>660591,3978</c:v>
                </c:pt>
                <c:pt idx="753">
                  <c:v>661290,3226</c:v>
                </c:pt>
                <c:pt idx="754">
                  <c:v>661989,2473</c:v>
                </c:pt>
                <c:pt idx="755">
                  <c:v>662688,172</c:v>
                </c:pt>
                <c:pt idx="756">
                  <c:v>663387,0968</c:v>
                </c:pt>
                <c:pt idx="757">
                  <c:v>664086,0215</c:v>
                </c:pt>
                <c:pt idx="758">
                  <c:v>664784,9462</c:v>
                </c:pt>
                <c:pt idx="759">
                  <c:v>665483,871</c:v>
                </c:pt>
                <c:pt idx="760">
                  <c:v>666182,7957</c:v>
                </c:pt>
                <c:pt idx="761">
                  <c:v>666881,7204</c:v>
                </c:pt>
                <c:pt idx="762">
                  <c:v>667580,6452</c:v>
                </c:pt>
                <c:pt idx="763">
                  <c:v>668279,5699</c:v>
                </c:pt>
                <c:pt idx="764">
                  <c:v>668978,4946</c:v>
                </c:pt>
                <c:pt idx="765">
                  <c:v>669677,4194</c:v>
                </c:pt>
                <c:pt idx="766">
                  <c:v>670376,3441</c:v>
                </c:pt>
                <c:pt idx="767">
                  <c:v>671075,2688</c:v>
                </c:pt>
                <c:pt idx="768">
                  <c:v>671774,1935</c:v>
                </c:pt>
                <c:pt idx="769">
                  <c:v>672473,1183</c:v>
                </c:pt>
                <c:pt idx="770">
                  <c:v>673172,043</c:v>
                </c:pt>
                <c:pt idx="771">
                  <c:v>673870,9677</c:v>
                </c:pt>
                <c:pt idx="772">
                  <c:v>674569,8925</c:v>
                </c:pt>
                <c:pt idx="773">
                  <c:v>675268,8172</c:v>
                </c:pt>
                <c:pt idx="774">
                  <c:v>675967,7419</c:v>
                </c:pt>
                <c:pt idx="775">
                  <c:v>676666,6667</c:v>
                </c:pt>
                <c:pt idx="776">
                  <c:v>677365,5914</c:v>
                </c:pt>
                <c:pt idx="777">
                  <c:v>678064,5161</c:v>
                </c:pt>
                <c:pt idx="778">
                  <c:v>678763,4409</c:v>
                </c:pt>
                <c:pt idx="779">
                  <c:v>679462,3656</c:v>
                </c:pt>
                <c:pt idx="780">
                  <c:v>680161,2903</c:v>
                </c:pt>
                <c:pt idx="781">
                  <c:v>680860,2151</c:v>
                </c:pt>
                <c:pt idx="782">
                  <c:v>681559,1398</c:v>
                </c:pt>
                <c:pt idx="783">
                  <c:v>682258,0645</c:v>
                </c:pt>
                <c:pt idx="784">
                  <c:v>682956,9892</c:v>
                </c:pt>
                <c:pt idx="785">
                  <c:v>683655,914</c:v>
                </c:pt>
                <c:pt idx="786">
                  <c:v>684354,8387</c:v>
                </c:pt>
                <c:pt idx="787">
                  <c:v>685053,7634</c:v>
                </c:pt>
                <c:pt idx="788">
                  <c:v>685752,6882</c:v>
                </c:pt>
                <c:pt idx="789">
                  <c:v>686451,6129</c:v>
                </c:pt>
                <c:pt idx="790">
                  <c:v>687150,5376</c:v>
                </c:pt>
                <c:pt idx="791">
                  <c:v>687849,4624</c:v>
                </c:pt>
                <c:pt idx="792">
                  <c:v>688548,3871</c:v>
                </c:pt>
                <c:pt idx="793">
                  <c:v>689247,3118</c:v>
                </c:pt>
                <c:pt idx="794">
                  <c:v>689946,2366</c:v>
                </c:pt>
                <c:pt idx="795">
                  <c:v>690645,1613</c:v>
                </c:pt>
                <c:pt idx="796">
                  <c:v>691344,086</c:v>
                </c:pt>
                <c:pt idx="797">
                  <c:v>692043,0108</c:v>
                </c:pt>
                <c:pt idx="798">
                  <c:v>692741,9355</c:v>
                </c:pt>
                <c:pt idx="799">
                  <c:v>693440,8602</c:v>
                </c:pt>
                <c:pt idx="800">
                  <c:v>694139,7849</c:v>
                </c:pt>
                <c:pt idx="801">
                  <c:v>694838,7097</c:v>
                </c:pt>
                <c:pt idx="802">
                  <c:v>695537,6344</c:v>
                </c:pt>
                <c:pt idx="803">
                  <c:v>696236,5591</c:v>
                </c:pt>
                <c:pt idx="804">
                  <c:v>696935,4839</c:v>
                </c:pt>
                <c:pt idx="805">
                  <c:v>697634,4086</c:v>
                </c:pt>
                <c:pt idx="806">
                  <c:v>698333,3333</c:v>
                </c:pt>
                <c:pt idx="807">
                  <c:v>699032,2581</c:v>
                </c:pt>
                <c:pt idx="808">
                  <c:v>699731,1828</c:v>
                </c:pt>
                <c:pt idx="809">
                  <c:v>700430,1075</c:v>
                </c:pt>
                <c:pt idx="810">
                  <c:v>701129,0323</c:v>
                </c:pt>
                <c:pt idx="811">
                  <c:v>701827,957</c:v>
                </c:pt>
                <c:pt idx="812">
                  <c:v>702526,8817</c:v>
                </c:pt>
                <c:pt idx="813">
                  <c:v>703225,8065</c:v>
                </c:pt>
                <c:pt idx="814">
                  <c:v>703924,7312</c:v>
                </c:pt>
                <c:pt idx="815">
                  <c:v>704623,6559</c:v>
                </c:pt>
                <c:pt idx="816">
                  <c:v>705322,5806</c:v>
                </c:pt>
                <c:pt idx="817">
                  <c:v>706021,5054</c:v>
                </c:pt>
                <c:pt idx="818">
                  <c:v>706720,4301</c:v>
                </c:pt>
                <c:pt idx="819">
                  <c:v>707419,3548</c:v>
                </c:pt>
                <c:pt idx="820">
                  <c:v>708118,2796</c:v>
                </c:pt>
                <c:pt idx="821">
                  <c:v>708817,2043</c:v>
                </c:pt>
                <c:pt idx="822">
                  <c:v>709516,129</c:v>
                </c:pt>
                <c:pt idx="823">
                  <c:v>710215,0538</c:v>
                </c:pt>
                <c:pt idx="824">
                  <c:v>710913,9785</c:v>
                </c:pt>
                <c:pt idx="825">
                  <c:v>711612,9032</c:v>
                </c:pt>
                <c:pt idx="826">
                  <c:v>712311,828</c:v>
                </c:pt>
                <c:pt idx="827">
                  <c:v>713010,7527</c:v>
                </c:pt>
                <c:pt idx="828">
                  <c:v>713709,6774</c:v>
                </c:pt>
                <c:pt idx="829">
                  <c:v>714408,6022</c:v>
                </c:pt>
                <c:pt idx="830">
                  <c:v>715107,5269</c:v>
                </c:pt>
                <c:pt idx="831">
                  <c:v>715806,4516</c:v>
                </c:pt>
                <c:pt idx="832">
                  <c:v>716505,3763</c:v>
                </c:pt>
                <c:pt idx="833">
                  <c:v>717204,3011</c:v>
                </c:pt>
                <c:pt idx="834">
                  <c:v>717903,2258</c:v>
                </c:pt>
                <c:pt idx="835">
                  <c:v>718602,1505</c:v>
                </c:pt>
                <c:pt idx="836">
                  <c:v>719301,0753</c:v>
                </c:pt>
                <c:pt idx="837">
                  <c:v>720000</c:v>
                </c:pt>
                <c:pt idx="838">
                  <c:v>720698,9247</c:v>
                </c:pt>
                <c:pt idx="839">
                  <c:v>721397,8495</c:v>
                </c:pt>
                <c:pt idx="840">
                  <c:v>722096,7742</c:v>
                </c:pt>
                <c:pt idx="841">
                  <c:v>722795,6989</c:v>
                </c:pt>
                <c:pt idx="842">
                  <c:v>723494,6237</c:v>
                </c:pt>
                <c:pt idx="843">
                  <c:v>724193,5484</c:v>
                </c:pt>
                <c:pt idx="844">
                  <c:v>724892,4731</c:v>
                </c:pt>
                <c:pt idx="845">
                  <c:v>725591,3978</c:v>
                </c:pt>
                <c:pt idx="846">
                  <c:v>726290,3226</c:v>
                </c:pt>
                <c:pt idx="847">
                  <c:v>726989,2473</c:v>
                </c:pt>
                <c:pt idx="848">
                  <c:v>727688,172</c:v>
                </c:pt>
                <c:pt idx="849">
                  <c:v>728387,0968</c:v>
                </c:pt>
                <c:pt idx="850">
                  <c:v>729086,0215</c:v>
                </c:pt>
                <c:pt idx="851">
                  <c:v>729784,9462</c:v>
                </c:pt>
                <c:pt idx="852">
                  <c:v>730483,871</c:v>
                </c:pt>
                <c:pt idx="853">
                  <c:v>731182,7957</c:v>
                </c:pt>
                <c:pt idx="854">
                  <c:v>731881,7204</c:v>
                </c:pt>
                <c:pt idx="855">
                  <c:v>732580,6452</c:v>
                </c:pt>
                <c:pt idx="856">
                  <c:v>733279,5699</c:v>
                </c:pt>
                <c:pt idx="857">
                  <c:v>733978,4946</c:v>
                </c:pt>
                <c:pt idx="858">
                  <c:v>734677,4194</c:v>
                </c:pt>
                <c:pt idx="859">
                  <c:v>735376,3441</c:v>
                </c:pt>
                <c:pt idx="860">
                  <c:v>736075,2688</c:v>
                </c:pt>
                <c:pt idx="861">
                  <c:v>736774,1935</c:v>
                </c:pt>
                <c:pt idx="862">
                  <c:v>737473,1183</c:v>
                </c:pt>
                <c:pt idx="863">
                  <c:v>738172,043</c:v>
                </c:pt>
                <c:pt idx="864">
                  <c:v>738870,9677</c:v>
                </c:pt>
                <c:pt idx="865">
                  <c:v>739569,8925</c:v>
                </c:pt>
                <c:pt idx="866">
                  <c:v>740268,8172</c:v>
                </c:pt>
                <c:pt idx="867">
                  <c:v>740967,7419</c:v>
                </c:pt>
                <c:pt idx="868">
                  <c:v>741666,6667</c:v>
                </c:pt>
                <c:pt idx="869">
                  <c:v>742365,5914</c:v>
                </c:pt>
                <c:pt idx="870">
                  <c:v>743064,5161</c:v>
                </c:pt>
                <c:pt idx="871">
                  <c:v>743763,4409</c:v>
                </c:pt>
                <c:pt idx="872">
                  <c:v>744462,3656</c:v>
                </c:pt>
                <c:pt idx="873">
                  <c:v>745161,2903</c:v>
                </c:pt>
                <c:pt idx="874">
                  <c:v>745860,2151</c:v>
                </c:pt>
                <c:pt idx="875">
                  <c:v>746559,1398</c:v>
                </c:pt>
                <c:pt idx="876">
                  <c:v>747258,0645</c:v>
                </c:pt>
                <c:pt idx="877">
                  <c:v>747956,9892</c:v>
                </c:pt>
                <c:pt idx="878">
                  <c:v>748655,914</c:v>
                </c:pt>
                <c:pt idx="879">
                  <c:v>749354,8387</c:v>
                </c:pt>
                <c:pt idx="880">
                  <c:v>750053,7634</c:v>
                </c:pt>
                <c:pt idx="881">
                  <c:v>750752,6882</c:v>
                </c:pt>
                <c:pt idx="882">
                  <c:v>751451,6129</c:v>
                </c:pt>
                <c:pt idx="883">
                  <c:v>752150,5376</c:v>
                </c:pt>
                <c:pt idx="884">
                  <c:v>752849,4624</c:v>
                </c:pt>
                <c:pt idx="885">
                  <c:v>753548,3871</c:v>
                </c:pt>
                <c:pt idx="886">
                  <c:v>754247,3118</c:v>
                </c:pt>
                <c:pt idx="887">
                  <c:v>754946,2366</c:v>
                </c:pt>
                <c:pt idx="888">
                  <c:v>755645,1613</c:v>
                </c:pt>
                <c:pt idx="889">
                  <c:v>756344,086</c:v>
                </c:pt>
                <c:pt idx="890">
                  <c:v>757043,0108</c:v>
                </c:pt>
                <c:pt idx="891">
                  <c:v>757741,9355</c:v>
                </c:pt>
                <c:pt idx="892">
                  <c:v>758440,8602</c:v>
                </c:pt>
                <c:pt idx="893">
                  <c:v>759139,7849</c:v>
                </c:pt>
                <c:pt idx="894">
                  <c:v>759838,7097</c:v>
                </c:pt>
                <c:pt idx="895">
                  <c:v>760537,6344</c:v>
                </c:pt>
                <c:pt idx="896">
                  <c:v>761236,5591</c:v>
                </c:pt>
                <c:pt idx="897">
                  <c:v>761935,4839</c:v>
                </c:pt>
                <c:pt idx="898">
                  <c:v>762634,4086</c:v>
                </c:pt>
                <c:pt idx="899">
                  <c:v>763333,3333</c:v>
                </c:pt>
                <c:pt idx="900">
                  <c:v>764032,2581</c:v>
                </c:pt>
                <c:pt idx="901">
                  <c:v>764731,1828</c:v>
                </c:pt>
                <c:pt idx="902">
                  <c:v>765430,1075</c:v>
                </c:pt>
                <c:pt idx="903">
                  <c:v>766129,0323</c:v>
                </c:pt>
                <c:pt idx="904">
                  <c:v>766827,957</c:v>
                </c:pt>
                <c:pt idx="905">
                  <c:v>767526,8817</c:v>
                </c:pt>
                <c:pt idx="906">
                  <c:v>768225,8065</c:v>
                </c:pt>
                <c:pt idx="907">
                  <c:v>768924,7312</c:v>
                </c:pt>
                <c:pt idx="908">
                  <c:v>769623,6559</c:v>
                </c:pt>
                <c:pt idx="909">
                  <c:v>770322,5806</c:v>
                </c:pt>
                <c:pt idx="910">
                  <c:v>771021,5054</c:v>
                </c:pt>
                <c:pt idx="911">
                  <c:v>771720,4301</c:v>
                </c:pt>
                <c:pt idx="912">
                  <c:v>772419,3548</c:v>
                </c:pt>
                <c:pt idx="913">
                  <c:v>773118,2796</c:v>
                </c:pt>
                <c:pt idx="914">
                  <c:v>773817,2043</c:v>
                </c:pt>
                <c:pt idx="915">
                  <c:v>774516,129</c:v>
                </c:pt>
                <c:pt idx="916">
                  <c:v>775215,0538</c:v>
                </c:pt>
                <c:pt idx="917">
                  <c:v>775913,9785</c:v>
                </c:pt>
                <c:pt idx="918">
                  <c:v>776612,9032</c:v>
                </c:pt>
                <c:pt idx="919">
                  <c:v>777311,828</c:v>
                </c:pt>
                <c:pt idx="920">
                  <c:v>778010,7527</c:v>
                </c:pt>
                <c:pt idx="921">
                  <c:v>778709,6774</c:v>
                </c:pt>
                <c:pt idx="922">
                  <c:v>779408,6022</c:v>
                </c:pt>
                <c:pt idx="923">
                  <c:v>780107,5269</c:v>
                </c:pt>
                <c:pt idx="924">
                  <c:v>780806,4516</c:v>
                </c:pt>
                <c:pt idx="925">
                  <c:v>781505,3763</c:v>
                </c:pt>
                <c:pt idx="926">
                  <c:v>782204,3011</c:v>
                </c:pt>
                <c:pt idx="927">
                  <c:v>782903,2258</c:v>
                </c:pt>
                <c:pt idx="928">
                  <c:v>783602,1505</c:v>
                </c:pt>
                <c:pt idx="929">
                  <c:v>784301,0753</c:v>
                </c:pt>
                <c:pt idx="930">
                  <c:v>785000</c:v>
                </c:pt>
                <c:pt idx="931">
                  <c:v>785698,9247</c:v>
                </c:pt>
                <c:pt idx="932">
                  <c:v>786397,8495</c:v>
                </c:pt>
                <c:pt idx="933">
                  <c:v>787096,7742</c:v>
                </c:pt>
                <c:pt idx="934">
                  <c:v>787795,6989</c:v>
                </c:pt>
                <c:pt idx="935">
                  <c:v>788494,6237</c:v>
                </c:pt>
                <c:pt idx="936">
                  <c:v>789193,5484</c:v>
                </c:pt>
                <c:pt idx="937">
                  <c:v>789892,4731</c:v>
                </c:pt>
                <c:pt idx="938">
                  <c:v>790591,3978</c:v>
                </c:pt>
                <c:pt idx="939">
                  <c:v>791290,3226</c:v>
                </c:pt>
                <c:pt idx="940">
                  <c:v>791989,2473</c:v>
                </c:pt>
                <c:pt idx="941">
                  <c:v>792688,172</c:v>
                </c:pt>
                <c:pt idx="942">
                  <c:v>793387,0968</c:v>
                </c:pt>
                <c:pt idx="943">
                  <c:v>794086,0215</c:v>
                </c:pt>
                <c:pt idx="944">
                  <c:v>794784,9462</c:v>
                </c:pt>
                <c:pt idx="945">
                  <c:v>795483,871</c:v>
                </c:pt>
                <c:pt idx="946">
                  <c:v>796182,7957</c:v>
                </c:pt>
                <c:pt idx="947">
                  <c:v>796881,7204</c:v>
                </c:pt>
                <c:pt idx="948">
                  <c:v>797580,6452</c:v>
                </c:pt>
                <c:pt idx="949">
                  <c:v>798279,5699</c:v>
                </c:pt>
                <c:pt idx="950">
                  <c:v>798978,4946</c:v>
                </c:pt>
                <c:pt idx="951">
                  <c:v>799677,4194</c:v>
                </c:pt>
                <c:pt idx="952">
                  <c:v>800376,3441</c:v>
                </c:pt>
                <c:pt idx="953">
                  <c:v>801075,2688</c:v>
                </c:pt>
                <c:pt idx="954">
                  <c:v>801774,1935</c:v>
                </c:pt>
                <c:pt idx="955">
                  <c:v>802473,1183</c:v>
                </c:pt>
                <c:pt idx="956">
                  <c:v>803172,043</c:v>
                </c:pt>
                <c:pt idx="957">
                  <c:v>803870,9677</c:v>
                </c:pt>
                <c:pt idx="958">
                  <c:v>804569,8925</c:v>
                </c:pt>
                <c:pt idx="959">
                  <c:v>805268,8172</c:v>
                </c:pt>
                <c:pt idx="960">
                  <c:v>805967,7419</c:v>
                </c:pt>
                <c:pt idx="961">
                  <c:v>806666,6667</c:v>
                </c:pt>
                <c:pt idx="962">
                  <c:v>807365,5914</c:v>
                </c:pt>
                <c:pt idx="963">
                  <c:v>808064,5161</c:v>
                </c:pt>
                <c:pt idx="964">
                  <c:v>808763,4409</c:v>
                </c:pt>
                <c:pt idx="965">
                  <c:v>809462,3656</c:v>
                </c:pt>
                <c:pt idx="966">
                  <c:v>810161,2903</c:v>
                </c:pt>
                <c:pt idx="967">
                  <c:v>810860,2151</c:v>
                </c:pt>
                <c:pt idx="968">
                  <c:v>811559,1398</c:v>
                </c:pt>
                <c:pt idx="969">
                  <c:v>812258,0645</c:v>
                </c:pt>
                <c:pt idx="970">
                  <c:v>812956,9892</c:v>
                </c:pt>
                <c:pt idx="971">
                  <c:v>813655,914</c:v>
                </c:pt>
                <c:pt idx="972">
                  <c:v>814354,8387</c:v>
                </c:pt>
                <c:pt idx="973">
                  <c:v>815053,7634</c:v>
                </c:pt>
                <c:pt idx="974">
                  <c:v>815752,6882</c:v>
                </c:pt>
                <c:pt idx="975">
                  <c:v>816451,6129</c:v>
                </c:pt>
                <c:pt idx="976">
                  <c:v>817150,5376</c:v>
                </c:pt>
                <c:pt idx="977">
                  <c:v>817849,4624</c:v>
                </c:pt>
                <c:pt idx="978">
                  <c:v>818548,3871</c:v>
                </c:pt>
                <c:pt idx="979">
                  <c:v>819247,3118</c:v>
                </c:pt>
                <c:pt idx="980">
                  <c:v>819946,2366</c:v>
                </c:pt>
                <c:pt idx="981">
                  <c:v>820645,1613</c:v>
                </c:pt>
                <c:pt idx="982">
                  <c:v>821344,086</c:v>
                </c:pt>
                <c:pt idx="983">
                  <c:v>822043,0108</c:v>
                </c:pt>
                <c:pt idx="984">
                  <c:v>822741,9355</c:v>
                </c:pt>
                <c:pt idx="985">
                  <c:v>823440,8602</c:v>
                </c:pt>
                <c:pt idx="986">
                  <c:v>824139,7849</c:v>
                </c:pt>
                <c:pt idx="987">
                  <c:v>824838,7097</c:v>
                </c:pt>
                <c:pt idx="988">
                  <c:v>825537,6344</c:v>
                </c:pt>
                <c:pt idx="989">
                  <c:v>826236,5591</c:v>
                </c:pt>
                <c:pt idx="990">
                  <c:v>826935,4839</c:v>
                </c:pt>
                <c:pt idx="991">
                  <c:v>827634,4086</c:v>
                </c:pt>
                <c:pt idx="992">
                  <c:v>828333,3333</c:v>
                </c:pt>
                <c:pt idx="993">
                  <c:v>829032,2581</c:v>
                </c:pt>
                <c:pt idx="994">
                  <c:v>829731,1828</c:v>
                </c:pt>
                <c:pt idx="995">
                  <c:v>830430,1075</c:v>
                </c:pt>
                <c:pt idx="996">
                  <c:v>831129,0323</c:v>
                </c:pt>
                <c:pt idx="997">
                  <c:v>831827,957</c:v>
                </c:pt>
                <c:pt idx="998">
                  <c:v>832526,8817</c:v>
                </c:pt>
                <c:pt idx="999">
                  <c:v>833225,8065</c:v>
                </c:pt>
                <c:pt idx="1000">
                  <c:v>833924,7312</c:v>
                </c:pt>
                <c:pt idx="1001">
                  <c:v>834623,6559</c:v>
                </c:pt>
                <c:pt idx="1002">
                  <c:v>835322,5806</c:v>
                </c:pt>
                <c:pt idx="1003">
                  <c:v>836021,5054</c:v>
                </c:pt>
                <c:pt idx="1004">
                  <c:v>836720,4301</c:v>
                </c:pt>
                <c:pt idx="1005">
                  <c:v>837419,3548</c:v>
                </c:pt>
                <c:pt idx="1006">
                  <c:v>838118,2796</c:v>
                </c:pt>
                <c:pt idx="1007">
                  <c:v>838817,2043</c:v>
                </c:pt>
                <c:pt idx="1008">
                  <c:v>839516,129</c:v>
                </c:pt>
                <c:pt idx="1009">
                  <c:v>840215,0538</c:v>
                </c:pt>
                <c:pt idx="1010">
                  <c:v>840913,9785</c:v>
                </c:pt>
                <c:pt idx="1011">
                  <c:v>841612,9032</c:v>
                </c:pt>
                <c:pt idx="1012">
                  <c:v>842311,828</c:v>
                </c:pt>
                <c:pt idx="1013">
                  <c:v>843010,7527</c:v>
                </c:pt>
                <c:pt idx="1014">
                  <c:v>843709,6774</c:v>
                </c:pt>
                <c:pt idx="1015">
                  <c:v>844408,6022</c:v>
                </c:pt>
                <c:pt idx="1016">
                  <c:v>845107,5269</c:v>
                </c:pt>
                <c:pt idx="1017">
                  <c:v>845806,4516</c:v>
                </c:pt>
                <c:pt idx="1018">
                  <c:v>846505,3763</c:v>
                </c:pt>
                <c:pt idx="1019">
                  <c:v>847204,3011</c:v>
                </c:pt>
                <c:pt idx="1020">
                  <c:v>847903,2258</c:v>
                </c:pt>
                <c:pt idx="1021">
                  <c:v>848602,1505</c:v>
                </c:pt>
                <c:pt idx="1022">
                  <c:v>849301,0753</c:v>
                </c:pt>
                <c:pt idx="1023">
                  <c:v>More</c:v>
                </c:pt>
              </c:strCache>
            </c:strRef>
          </c:cat>
          <c:val>
            <c:numRef>
              <c:f>'Histogram NG'!$B$2:$B$1025</c:f>
              <c:numCache>
                <c:formatCode>General</c:formatCode>
                <c:ptCount val="10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F5-4EA9-9082-CA252D19E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9596096"/>
        <c:axId val="379592816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'Histogram NG'!$A$2:$A$1025</c:f>
              <c:strCache>
                <c:ptCount val="1024"/>
                <c:pt idx="0">
                  <c:v>135000</c:v>
                </c:pt>
                <c:pt idx="1">
                  <c:v>135698,9247</c:v>
                </c:pt>
                <c:pt idx="2">
                  <c:v>136397,8495</c:v>
                </c:pt>
                <c:pt idx="3">
                  <c:v>137096,7742</c:v>
                </c:pt>
                <c:pt idx="4">
                  <c:v>137795,6989</c:v>
                </c:pt>
                <c:pt idx="5">
                  <c:v>138494,6237</c:v>
                </c:pt>
                <c:pt idx="6">
                  <c:v>139193,5484</c:v>
                </c:pt>
                <c:pt idx="7">
                  <c:v>139892,4731</c:v>
                </c:pt>
                <c:pt idx="8">
                  <c:v>140591,3978</c:v>
                </c:pt>
                <c:pt idx="9">
                  <c:v>141290,3226</c:v>
                </c:pt>
                <c:pt idx="10">
                  <c:v>141989,2473</c:v>
                </c:pt>
                <c:pt idx="11">
                  <c:v>142688,172</c:v>
                </c:pt>
                <c:pt idx="12">
                  <c:v>143387,0968</c:v>
                </c:pt>
                <c:pt idx="13">
                  <c:v>144086,0215</c:v>
                </c:pt>
                <c:pt idx="14">
                  <c:v>144784,9462</c:v>
                </c:pt>
                <c:pt idx="15">
                  <c:v>145483,871</c:v>
                </c:pt>
                <c:pt idx="16">
                  <c:v>146182,7957</c:v>
                </c:pt>
                <c:pt idx="17">
                  <c:v>146881,7204</c:v>
                </c:pt>
                <c:pt idx="18">
                  <c:v>147580,6452</c:v>
                </c:pt>
                <c:pt idx="19">
                  <c:v>148279,5699</c:v>
                </c:pt>
                <c:pt idx="20">
                  <c:v>148978,4946</c:v>
                </c:pt>
                <c:pt idx="21">
                  <c:v>149677,4194</c:v>
                </c:pt>
                <c:pt idx="22">
                  <c:v>150376,3441</c:v>
                </c:pt>
                <c:pt idx="23">
                  <c:v>151075,2688</c:v>
                </c:pt>
                <c:pt idx="24">
                  <c:v>151774,1935</c:v>
                </c:pt>
                <c:pt idx="25">
                  <c:v>152473,1183</c:v>
                </c:pt>
                <c:pt idx="26">
                  <c:v>153172,043</c:v>
                </c:pt>
                <c:pt idx="27">
                  <c:v>153870,9677</c:v>
                </c:pt>
                <c:pt idx="28">
                  <c:v>154569,8925</c:v>
                </c:pt>
                <c:pt idx="29">
                  <c:v>155268,8172</c:v>
                </c:pt>
                <c:pt idx="30">
                  <c:v>155967,7419</c:v>
                </c:pt>
                <c:pt idx="31">
                  <c:v>156666,6667</c:v>
                </c:pt>
                <c:pt idx="32">
                  <c:v>157365,5914</c:v>
                </c:pt>
                <c:pt idx="33">
                  <c:v>158064,5161</c:v>
                </c:pt>
                <c:pt idx="34">
                  <c:v>158763,4409</c:v>
                </c:pt>
                <c:pt idx="35">
                  <c:v>159462,3656</c:v>
                </c:pt>
                <c:pt idx="36">
                  <c:v>160161,2903</c:v>
                </c:pt>
                <c:pt idx="37">
                  <c:v>160860,2151</c:v>
                </c:pt>
                <c:pt idx="38">
                  <c:v>161559,1398</c:v>
                </c:pt>
                <c:pt idx="39">
                  <c:v>162258,0645</c:v>
                </c:pt>
                <c:pt idx="40">
                  <c:v>162956,9892</c:v>
                </c:pt>
                <c:pt idx="41">
                  <c:v>163655,914</c:v>
                </c:pt>
                <c:pt idx="42">
                  <c:v>164354,8387</c:v>
                </c:pt>
                <c:pt idx="43">
                  <c:v>165053,7634</c:v>
                </c:pt>
                <c:pt idx="44">
                  <c:v>165752,6882</c:v>
                </c:pt>
                <c:pt idx="45">
                  <c:v>166451,6129</c:v>
                </c:pt>
                <c:pt idx="46">
                  <c:v>167150,5376</c:v>
                </c:pt>
                <c:pt idx="47">
                  <c:v>167849,4624</c:v>
                </c:pt>
                <c:pt idx="48">
                  <c:v>168548,3871</c:v>
                </c:pt>
                <c:pt idx="49">
                  <c:v>169247,3118</c:v>
                </c:pt>
                <c:pt idx="50">
                  <c:v>169946,2366</c:v>
                </c:pt>
                <c:pt idx="51">
                  <c:v>170645,1613</c:v>
                </c:pt>
                <c:pt idx="52">
                  <c:v>171344,086</c:v>
                </c:pt>
                <c:pt idx="53">
                  <c:v>172043,0108</c:v>
                </c:pt>
                <c:pt idx="54">
                  <c:v>172741,9355</c:v>
                </c:pt>
                <c:pt idx="55">
                  <c:v>173440,8602</c:v>
                </c:pt>
                <c:pt idx="56">
                  <c:v>174139,7849</c:v>
                </c:pt>
                <c:pt idx="57">
                  <c:v>174838,7097</c:v>
                </c:pt>
                <c:pt idx="58">
                  <c:v>175537,6344</c:v>
                </c:pt>
                <c:pt idx="59">
                  <c:v>176236,5591</c:v>
                </c:pt>
                <c:pt idx="60">
                  <c:v>176935,4839</c:v>
                </c:pt>
                <c:pt idx="61">
                  <c:v>177634,4086</c:v>
                </c:pt>
                <c:pt idx="62">
                  <c:v>178333,3333</c:v>
                </c:pt>
                <c:pt idx="63">
                  <c:v>179032,2581</c:v>
                </c:pt>
                <c:pt idx="64">
                  <c:v>179731,1828</c:v>
                </c:pt>
                <c:pt idx="65">
                  <c:v>180430,1075</c:v>
                </c:pt>
                <c:pt idx="66">
                  <c:v>181129,0323</c:v>
                </c:pt>
                <c:pt idx="67">
                  <c:v>181827,957</c:v>
                </c:pt>
                <c:pt idx="68">
                  <c:v>182526,8817</c:v>
                </c:pt>
                <c:pt idx="69">
                  <c:v>183225,8065</c:v>
                </c:pt>
                <c:pt idx="70">
                  <c:v>183924,7312</c:v>
                </c:pt>
                <c:pt idx="71">
                  <c:v>184623,6559</c:v>
                </c:pt>
                <c:pt idx="72">
                  <c:v>185322,5806</c:v>
                </c:pt>
                <c:pt idx="73">
                  <c:v>186021,5054</c:v>
                </c:pt>
                <c:pt idx="74">
                  <c:v>186720,4301</c:v>
                </c:pt>
                <c:pt idx="75">
                  <c:v>187419,3548</c:v>
                </c:pt>
                <c:pt idx="76">
                  <c:v>188118,2796</c:v>
                </c:pt>
                <c:pt idx="77">
                  <c:v>188817,2043</c:v>
                </c:pt>
                <c:pt idx="78">
                  <c:v>189516,129</c:v>
                </c:pt>
                <c:pt idx="79">
                  <c:v>190215,0538</c:v>
                </c:pt>
                <c:pt idx="80">
                  <c:v>190913,9785</c:v>
                </c:pt>
                <c:pt idx="81">
                  <c:v>191612,9032</c:v>
                </c:pt>
                <c:pt idx="82">
                  <c:v>192311,828</c:v>
                </c:pt>
                <c:pt idx="83">
                  <c:v>193010,7527</c:v>
                </c:pt>
                <c:pt idx="84">
                  <c:v>193709,6774</c:v>
                </c:pt>
                <c:pt idx="85">
                  <c:v>194408,6022</c:v>
                </c:pt>
                <c:pt idx="86">
                  <c:v>195107,5269</c:v>
                </c:pt>
                <c:pt idx="87">
                  <c:v>195806,4516</c:v>
                </c:pt>
                <c:pt idx="88">
                  <c:v>196505,3763</c:v>
                </c:pt>
                <c:pt idx="89">
                  <c:v>197204,3011</c:v>
                </c:pt>
                <c:pt idx="90">
                  <c:v>197903,2258</c:v>
                </c:pt>
                <c:pt idx="91">
                  <c:v>198602,1505</c:v>
                </c:pt>
                <c:pt idx="92">
                  <c:v>199301,0753</c:v>
                </c:pt>
                <c:pt idx="93">
                  <c:v>200000</c:v>
                </c:pt>
                <c:pt idx="94">
                  <c:v>200698,9247</c:v>
                </c:pt>
                <c:pt idx="95">
                  <c:v>201397,8495</c:v>
                </c:pt>
                <c:pt idx="96">
                  <c:v>202096,7742</c:v>
                </c:pt>
                <c:pt idx="97">
                  <c:v>202795,6989</c:v>
                </c:pt>
                <c:pt idx="98">
                  <c:v>203494,6237</c:v>
                </c:pt>
                <c:pt idx="99">
                  <c:v>204193,5484</c:v>
                </c:pt>
                <c:pt idx="100">
                  <c:v>204892,4731</c:v>
                </c:pt>
                <c:pt idx="101">
                  <c:v>205591,3978</c:v>
                </c:pt>
                <c:pt idx="102">
                  <c:v>206290,3226</c:v>
                </c:pt>
                <c:pt idx="103">
                  <c:v>206989,2473</c:v>
                </c:pt>
                <c:pt idx="104">
                  <c:v>207688,172</c:v>
                </c:pt>
                <c:pt idx="105">
                  <c:v>208387,0968</c:v>
                </c:pt>
                <c:pt idx="106">
                  <c:v>209086,0215</c:v>
                </c:pt>
                <c:pt idx="107">
                  <c:v>209784,9462</c:v>
                </c:pt>
                <c:pt idx="108">
                  <c:v>210483,871</c:v>
                </c:pt>
                <c:pt idx="109">
                  <c:v>211182,7957</c:v>
                </c:pt>
                <c:pt idx="110">
                  <c:v>211881,7204</c:v>
                </c:pt>
                <c:pt idx="111">
                  <c:v>212580,6452</c:v>
                </c:pt>
                <c:pt idx="112">
                  <c:v>213279,5699</c:v>
                </c:pt>
                <c:pt idx="113">
                  <c:v>213978,4946</c:v>
                </c:pt>
                <c:pt idx="114">
                  <c:v>214677,4194</c:v>
                </c:pt>
                <c:pt idx="115">
                  <c:v>215376,3441</c:v>
                </c:pt>
                <c:pt idx="116">
                  <c:v>216075,2688</c:v>
                </c:pt>
                <c:pt idx="117">
                  <c:v>216774,1935</c:v>
                </c:pt>
                <c:pt idx="118">
                  <c:v>217473,1183</c:v>
                </c:pt>
                <c:pt idx="119">
                  <c:v>218172,043</c:v>
                </c:pt>
                <c:pt idx="120">
                  <c:v>218870,9677</c:v>
                </c:pt>
                <c:pt idx="121">
                  <c:v>219569,8925</c:v>
                </c:pt>
                <c:pt idx="122">
                  <c:v>220268,8172</c:v>
                </c:pt>
                <c:pt idx="123">
                  <c:v>220967,7419</c:v>
                </c:pt>
                <c:pt idx="124">
                  <c:v>221666,6667</c:v>
                </c:pt>
                <c:pt idx="125">
                  <c:v>222365,5914</c:v>
                </c:pt>
                <c:pt idx="126">
                  <c:v>223064,5161</c:v>
                </c:pt>
                <c:pt idx="127">
                  <c:v>223763,4409</c:v>
                </c:pt>
                <c:pt idx="128">
                  <c:v>224462,3656</c:v>
                </c:pt>
                <c:pt idx="129">
                  <c:v>225161,2903</c:v>
                </c:pt>
                <c:pt idx="130">
                  <c:v>225860,2151</c:v>
                </c:pt>
                <c:pt idx="131">
                  <c:v>226559,1398</c:v>
                </c:pt>
                <c:pt idx="132">
                  <c:v>227258,0645</c:v>
                </c:pt>
                <c:pt idx="133">
                  <c:v>227956,9892</c:v>
                </c:pt>
                <c:pt idx="134">
                  <c:v>228655,914</c:v>
                </c:pt>
                <c:pt idx="135">
                  <c:v>229354,8387</c:v>
                </c:pt>
                <c:pt idx="136">
                  <c:v>230053,7634</c:v>
                </c:pt>
                <c:pt idx="137">
                  <c:v>230752,6882</c:v>
                </c:pt>
                <c:pt idx="138">
                  <c:v>231451,6129</c:v>
                </c:pt>
                <c:pt idx="139">
                  <c:v>232150,5376</c:v>
                </c:pt>
                <c:pt idx="140">
                  <c:v>232849,4624</c:v>
                </c:pt>
                <c:pt idx="141">
                  <c:v>233548,3871</c:v>
                </c:pt>
                <c:pt idx="142">
                  <c:v>234247,3118</c:v>
                </c:pt>
                <c:pt idx="143">
                  <c:v>234946,2366</c:v>
                </c:pt>
                <c:pt idx="144">
                  <c:v>235645,1613</c:v>
                </c:pt>
                <c:pt idx="145">
                  <c:v>236344,086</c:v>
                </c:pt>
                <c:pt idx="146">
                  <c:v>237043,0108</c:v>
                </c:pt>
                <c:pt idx="147">
                  <c:v>237741,9355</c:v>
                </c:pt>
                <c:pt idx="148">
                  <c:v>238440,8602</c:v>
                </c:pt>
                <c:pt idx="149">
                  <c:v>239139,7849</c:v>
                </c:pt>
                <c:pt idx="150">
                  <c:v>239838,7097</c:v>
                </c:pt>
                <c:pt idx="151">
                  <c:v>240537,6344</c:v>
                </c:pt>
                <c:pt idx="152">
                  <c:v>241236,5591</c:v>
                </c:pt>
                <c:pt idx="153">
                  <c:v>241935,4839</c:v>
                </c:pt>
                <c:pt idx="154">
                  <c:v>242634,4086</c:v>
                </c:pt>
                <c:pt idx="155">
                  <c:v>243333,3333</c:v>
                </c:pt>
                <c:pt idx="156">
                  <c:v>244032,2581</c:v>
                </c:pt>
                <c:pt idx="157">
                  <c:v>244731,1828</c:v>
                </c:pt>
                <c:pt idx="158">
                  <c:v>245430,1075</c:v>
                </c:pt>
                <c:pt idx="159">
                  <c:v>246129,0323</c:v>
                </c:pt>
                <c:pt idx="160">
                  <c:v>246827,957</c:v>
                </c:pt>
                <c:pt idx="161">
                  <c:v>247526,8817</c:v>
                </c:pt>
                <c:pt idx="162">
                  <c:v>248225,8065</c:v>
                </c:pt>
                <c:pt idx="163">
                  <c:v>248924,7312</c:v>
                </c:pt>
                <c:pt idx="164">
                  <c:v>249623,6559</c:v>
                </c:pt>
                <c:pt idx="165">
                  <c:v>250322,5806</c:v>
                </c:pt>
                <c:pt idx="166">
                  <c:v>251021,5054</c:v>
                </c:pt>
                <c:pt idx="167">
                  <c:v>251720,4301</c:v>
                </c:pt>
                <c:pt idx="168">
                  <c:v>252419,3548</c:v>
                </c:pt>
                <c:pt idx="169">
                  <c:v>253118,2796</c:v>
                </c:pt>
                <c:pt idx="170">
                  <c:v>253817,2043</c:v>
                </c:pt>
                <c:pt idx="171">
                  <c:v>254516,129</c:v>
                </c:pt>
                <c:pt idx="172">
                  <c:v>255215,0538</c:v>
                </c:pt>
                <c:pt idx="173">
                  <c:v>255913,9785</c:v>
                </c:pt>
                <c:pt idx="174">
                  <c:v>256612,9032</c:v>
                </c:pt>
                <c:pt idx="175">
                  <c:v>257311,828</c:v>
                </c:pt>
                <c:pt idx="176">
                  <c:v>258010,7527</c:v>
                </c:pt>
                <c:pt idx="177">
                  <c:v>258709,6774</c:v>
                </c:pt>
                <c:pt idx="178">
                  <c:v>259408,6022</c:v>
                </c:pt>
                <c:pt idx="179">
                  <c:v>260107,5269</c:v>
                </c:pt>
                <c:pt idx="180">
                  <c:v>260806,4516</c:v>
                </c:pt>
                <c:pt idx="181">
                  <c:v>261505,3763</c:v>
                </c:pt>
                <c:pt idx="182">
                  <c:v>262204,3011</c:v>
                </c:pt>
                <c:pt idx="183">
                  <c:v>262903,2258</c:v>
                </c:pt>
                <c:pt idx="184">
                  <c:v>263602,1505</c:v>
                </c:pt>
                <c:pt idx="185">
                  <c:v>264301,0753</c:v>
                </c:pt>
                <c:pt idx="186">
                  <c:v>265000</c:v>
                </c:pt>
                <c:pt idx="187">
                  <c:v>265698,9247</c:v>
                </c:pt>
                <c:pt idx="188">
                  <c:v>266397,8495</c:v>
                </c:pt>
                <c:pt idx="189">
                  <c:v>267096,7742</c:v>
                </c:pt>
                <c:pt idx="190">
                  <c:v>267795,6989</c:v>
                </c:pt>
                <c:pt idx="191">
                  <c:v>268494,6237</c:v>
                </c:pt>
                <c:pt idx="192">
                  <c:v>269193,5484</c:v>
                </c:pt>
                <c:pt idx="193">
                  <c:v>269892,4731</c:v>
                </c:pt>
                <c:pt idx="194">
                  <c:v>270591,3978</c:v>
                </c:pt>
                <c:pt idx="195">
                  <c:v>271290,3226</c:v>
                </c:pt>
                <c:pt idx="196">
                  <c:v>271989,2473</c:v>
                </c:pt>
                <c:pt idx="197">
                  <c:v>272688,172</c:v>
                </c:pt>
                <c:pt idx="198">
                  <c:v>273387,0968</c:v>
                </c:pt>
                <c:pt idx="199">
                  <c:v>274086,0215</c:v>
                </c:pt>
                <c:pt idx="200">
                  <c:v>274784,9462</c:v>
                </c:pt>
                <c:pt idx="201">
                  <c:v>275483,871</c:v>
                </c:pt>
                <c:pt idx="202">
                  <c:v>276182,7957</c:v>
                </c:pt>
                <c:pt idx="203">
                  <c:v>276881,7204</c:v>
                </c:pt>
                <c:pt idx="204">
                  <c:v>277580,6452</c:v>
                </c:pt>
                <c:pt idx="205">
                  <c:v>278279,5699</c:v>
                </c:pt>
                <c:pt idx="206">
                  <c:v>278978,4946</c:v>
                </c:pt>
                <c:pt idx="207">
                  <c:v>279677,4194</c:v>
                </c:pt>
                <c:pt idx="208">
                  <c:v>280376,3441</c:v>
                </c:pt>
                <c:pt idx="209">
                  <c:v>281075,2688</c:v>
                </c:pt>
                <c:pt idx="210">
                  <c:v>281774,1935</c:v>
                </c:pt>
                <c:pt idx="211">
                  <c:v>282473,1183</c:v>
                </c:pt>
                <c:pt idx="212">
                  <c:v>283172,043</c:v>
                </c:pt>
                <c:pt idx="213">
                  <c:v>283870,9677</c:v>
                </c:pt>
                <c:pt idx="214">
                  <c:v>284569,8925</c:v>
                </c:pt>
                <c:pt idx="215">
                  <c:v>285268,8172</c:v>
                </c:pt>
                <c:pt idx="216">
                  <c:v>285967,7419</c:v>
                </c:pt>
                <c:pt idx="217">
                  <c:v>286666,6667</c:v>
                </c:pt>
                <c:pt idx="218">
                  <c:v>287365,5914</c:v>
                </c:pt>
                <c:pt idx="219">
                  <c:v>288064,5161</c:v>
                </c:pt>
                <c:pt idx="220">
                  <c:v>288763,4409</c:v>
                </c:pt>
                <c:pt idx="221">
                  <c:v>289462,3656</c:v>
                </c:pt>
                <c:pt idx="222">
                  <c:v>290161,2903</c:v>
                </c:pt>
                <c:pt idx="223">
                  <c:v>290860,2151</c:v>
                </c:pt>
                <c:pt idx="224">
                  <c:v>291559,1398</c:v>
                </c:pt>
                <c:pt idx="225">
                  <c:v>292258,0645</c:v>
                </c:pt>
                <c:pt idx="226">
                  <c:v>292956,9892</c:v>
                </c:pt>
                <c:pt idx="227">
                  <c:v>293655,914</c:v>
                </c:pt>
                <c:pt idx="228">
                  <c:v>294354,8387</c:v>
                </c:pt>
                <c:pt idx="229">
                  <c:v>295053,7634</c:v>
                </c:pt>
                <c:pt idx="230">
                  <c:v>295752,6882</c:v>
                </c:pt>
                <c:pt idx="231">
                  <c:v>296451,6129</c:v>
                </c:pt>
                <c:pt idx="232">
                  <c:v>297150,5376</c:v>
                </c:pt>
                <c:pt idx="233">
                  <c:v>297849,4624</c:v>
                </c:pt>
                <c:pt idx="234">
                  <c:v>298548,3871</c:v>
                </c:pt>
                <c:pt idx="235">
                  <c:v>299247,3118</c:v>
                </c:pt>
                <c:pt idx="236">
                  <c:v>299946,2366</c:v>
                </c:pt>
                <c:pt idx="237">
                  <c:v>300645,1613</c:v>
                </c:pt>
                <c:pt idx="238">
                  <c:v>301344,086</c:v>
                </c:pt>
                <c:pt idx="239">
                  <c:v>302043,0108</c:v>
                </c:pt>
                <c:pt idx="240">
                  <c:v>302741,9355</c:v>
                </c:pt>
                <c:pt idx="241">
                  <c:v>303440,8602</c:v>
                </c:pt>
                <c:pt idx="242">
                  <c:v>304139,7849</c:v>
                </c:pt>
                <c:pt idx="243">
                  <c:v>304838,7097</c:v>
                </c:pt>
                <c:pt idx="244">
                  <c:v>305537,6344</c:v>
                </c:pt>
                <c:pt idx="245">
                  <c:v>306236,5591</c:v>
                </c:pt>
                <c:pt idx="246">
                  <c:v>306935,4839</c:v>
                </c:pt>
                <c:pt idx="247">
                  <c:v>307634,4086</c:v>
                </c:pt>
                <c:pt idx="248">
                  <c:v>308333,3333</c:v>
                </c:pt>
                <c:pt idx="249">
                  <c:v>309032,2581</c:v>
                </c:pt>
                <c:pt idx="250">
                  <c:v>309731,1828</c:v>
                </c:pt>
                <c:pt idx="251">
                  <c:v>310430,1075</c:v>
                </c:pt>
                <c:pt idx="252">
                  <c:v>311129,0323</c:v>
                </c:pt>
                <c:pt idx="253">
                  <c:v>311827,957</c:v>
                </c:pt>
                <c:pt idx="254">
                  <c:v>312526,8817</c:v>
                </c:pt>
                <c:pt idx="255">
                  <c:v>313225,8065</c:v>
                </c:pt>
                <c:pt idx="256">
                  <c:v>313924,7312</c:v>
                </c:pt>
                <c:pt idx="257">
                  <c:v>314623,6559</c:v>
                </c:pt>
                <c:pt idx="258">
                  <c:v>315322,5806</c:v>
                </c:pt>
                <c:pt idx="259">
                  <c:v>316021,5054</c:v>
                </c:pt>
                <c:pt idx="260">
                  <c:v>316720,4301</c:v>
                </c:pt>
                <c:pt idx="261">
                  <c:v>317419,3548</c:v>
                </c:pt>
                <c:pt idx="262">
                  <c:v>318118,2796</c:v>
                </c:pt>
                <c:pt idx="263">
                  <c:v>318817,2043</c:v>
                </c:pt>
                <c:pt idx="264">
                  <c:v>319516,129</c:v>
                </c:pt>
                <c:pt idx="265">
                  <c:v>320215,0538</c:v>
                </c:pt>
                <c:pt idx="266">
                  <c:v>320913,9785</c:v>
                </c:pt>
                <c:pt idx="267">
                  <c:v>321612,9032</c:v>
                </c:pt>
                <c:pt idx="268">
                  <c:v>322311,828</c:v>
                </c:pt>
                <c:pt idx="269">
                  <c:v>323010,7527</c:v>
                </c:pt>
                <c:pt idx="270">
                  <c:v>323709,6774</c:v>
                </c:pt>
                <c:pt idx="271">
                  <c:v>324408,6022</c:v>
                </c:pt>
                <c:pt idx="272">
                  <c:v>325107,5269</c:v>
                </c:pt>
                <c:pt idx="273">
                  <c:v>325806,4516</c:v>
                </c:pt>
                <c:pt idx="274">
                  <c:v>326505,3763</c:v>
                </c:pt>
                <c:pt idx="275">
                  <c:v>327204,3011</c:v>
                </c:pt>
                <c:pt idx="276">
                  <c:v>327903,2258</c:v>
                </c:pt>
                <c:pt idx="277">
                  <c:v>328602,1505</c:v>
                </c:pt>
                <c:pt idx="278">
                  <c:v>329301,0753</c:v>
                </c:pt>
                <c:pt idx="279">
                  <c:v>330000</c:v>
                </c:pt>
                <c:pt idx="280">
                  <c:v>330698,9247</c:v>
                </c:pt>
                <c:pt idx="281">
                  <c:v>331397,8495</c:v>
                </c:pt>
                <c:pt idx="282">
                  <c:v>332096,7742</c:v>
                </c:pt>
                <c:pt idx="283">
                  <c:v>332795,6989</c:v>
                </c:pt>
                <c:pt idx="284">
                  <c:v>333494,6237</c:v>
                </c:pt>
                <c:pt idx="285">
                  <c:v>334193,5484</c:v>
                </c:pt>
                <c:pt idx="286">
                  <c:v>334892,4731</c:v>
                </c:pt>
                <c:pt idx="287">
                  <c:v>335591,3978</c:v>
                </c:pt>
                <c:pt idx="288">
                  <c:v>336290,3226</c:v>
                </c:pt>
                <c:pt idx="289">
                  <c:v>336989,2473</c:v>
                </c:pt>
                <c:pt idx="290">
                  <c:v>337688,172</c:v>
                </c:pt>
                <c:pt idx="291">
                  <c:v>338387,0968</c:v>
                </c:pt>
                <c:pt idx="292">
                  <c:v>339086,0215</c:v>
                </c:pt>
                <c:pt idx="293">
                  <c:v>339784,9462</c:v>
                </c:pt>
                <c:pt idx="294">
                  <c:v>340483,871</c:v>
                </c:pt>
                <c:pt idx="295">
                  <c:v>341182,7957</c:v>
                </c:pt>
                <c:pt idx="296">
                  <c:v>341881,7204</c:v>
                </c:pt>
                <c:pt idx="297">
                  <c:v>342580,6452</c:v>
                </c:pt>
                <c:pt idx="298">
                  <c:v>343279,5699</c:v>
                </c:pt>
                <c:pt idx="299">
                  <c:v>343978,4946</c:v>
                </c:pt>
                <c:pt idx="300">
                  <c:v>344677,4194</c:v>
                </c:pt>
                <c:pt idx="301">
                  <c:v>345376,3441</c:v>
                </c:pt>
                <c:pt idx="302">
                  <c:v>346075,2688</c:v>
                </c:pt>
                <c:pt idx="303">
                  <c:v>346774,1935</c:v>
                </c:pt>
                <c:pt idx="304">
                  <c:v>347473,1183</c:v>
                </c:pt>
                <c:pt idx="305">
                  <c:v>348172,043</c:v>
                </c:pt>
                <c:pt idx="306">
                  <c:v>348870,9677</c:v>
                </c:pt>
                <c:pt idx="307">
                  <c:v>349569,8925</c:v>
                </c:pt>
                <c:pt idx="308">
                  <c:v>350268,8172</c:v>
                </c:pt>
                <c:pt idx="309">
                  <c:v>350967,7419</c:v>
                </c:pt>
                <c:pt idx="310">
                  <c:v>351666,6667</c:v>
                </c:pt>
                <c:pt idx="311">
                  <c:v>352365,5914</c:v>
                </c:pt>
                <c:pt idx="312">
                  <c:v>353064,5161</c:v>
                </c:pt>
                <c:pt idx="313">
                  <c:v>353763,4409</c:v>
                </c:pt>
                <c:pt idx="314">
                  <c:v>354462,3656</c:v>
                </c:pt>
                <c:pt idx="315">
                  <c:v>355161,2903</c:v>
                </c:pt>
                <c:pt idx="316">
                  <c:v>355860,2151</c:v>
                </c:pt>
                <c:pt idx="317">
                  <c:v>356559,1398</c:v>
                </c:pt>
                <c:pt idx="318">
                  <c:v>357258,0645</c:v>
                </c:pt>
                <c:pt idx="319">
                  <c:v>357956,9892</c:v>
                </c:pt>
                <c:pt idx="320">
                  <c:v>358655,914</c:v>
                </c:pt>
                <c:pt idx="321">
                  <c:v>359354,8387</c:v>
                </c:pt>
                <c:pt idx="322">
                  <c:v>360053,7634</c:v>
                </c:pt>
                <c:pt idx="323">
                  <c:v>360752,6882</c:v>
                </c:pt>
                <c:pt idx="324">
                  <c:v>361451,6129</c:v>
                </c:pt>
                <c:pt idx="325">
                  <c:v>362150,5376</c:v>
                </c:pt>
                <c:pt idx="326">
                  <c:v>362849,4624</c:v>
                </c:pt>
                <c:pt idx="327">
                  <c:v>363548,3871</c:v>
                </c:pt>
                <c:pt idx="328">
                  <c:v>364247,3118</c:v>
                </c:pt>
                <c:pt idx="329">
                  <c:v>364946,2366</c:v>
                </c:pt>
                <c:pt idx="330">
                  <c:v>365645,1613</c:v>
                </c:pt>
                <c:pt idx="331">
                  <c:v>366344,086</c:v>
                </c:pt>
                <c:pt idx="332">
                  <c:v>367043,0108</c:v>
                </c:pt>
                <c:pt idx="333">
                  <c:v>367741,9355</c:v>
                </c:pt>
                <c:pt idx="334">
                  <c:v>368440,8602</c:v>
                </c:pt>
                <c:pt idx="335">
                  <c:v>369139,7849</c:v>
                </c:pt>
                <c:pt idx="336">
                  <c:v>369838,7097</c:v>
                </c:pt>
                <c:pt idx="337">
                  <c:v>370537,6344</c:v>
                </c:pt>
                <c:pt idx="338">
                  <c:v>371236,5591</c:v>
                </c:pt>
                <c:pt idx="339">
                  <c:v>371935,4839</c:v>
                </c:pt>
                <c:pt idx="340">
                  <c:v>372634,4086</c:v>
                </c:pt>
                <c:pt idx="341">
                  <c:v>373333,3333</c:v>
                </c:pt>
                <c:pt idx="342">
                  <c:v>374032,2581</c:v>
                </c:pt>
                <c:pt idx="343">
                  <c:v>374731,1828</c:v>
                </c:pt>
                <c:pt idx="344">
                  <c:v>375430,1075</c:v>
                </c:pt>
                <c:pt idx="345">
                  <c:v>376129,0323</c:v>
                </c:pt>
                <c:pt idx="346">
                  <c:v>376827,957</c:v>
                </c:pt>
                <c:pt idx="347">
                  <c:v>377526,8817</c:v>
                </c:pt>
                <c:pt idx="348">
                  <c:v>378225,8065</c:v>
                </c:pt>
                <c:pt idx="349">
                  <c:v>378924,7312</c:v>
                </c:pt>
                <c:pt idx="350">
                  <c:v>379623,6559</c:v>
                </c:pt>
                <c:pt idx="351">
                  <c:v>380322,5806</c:v>
                </c:pt>
                <c:pt idx="352">
                  <c:v>381021,5054</c:v>
                </c:pt>
                <c:pt idx="353">
                  <c:v>381720,4301</c:v>
                </c:pt>
                <c:pt idx="354">
                  <c:v>382419,3548</c:v>
                </c:pt>
                <c:pt idx="355">
                  <c:v>383118,2796</c:v>
                </c:pt>
                <c:pt idx="356">
                  <c:v>383817,2043</c:v>
                </c:pt>
                <c:pt idx="357">
                  <c:v>384516,129</c:v>
                </c:pt>
                <c:pt idx="358">
                  <c:v>385215,0538</c:v>
                </c:pt>
                <c:pt idx="359">
                  <c:v>385913,9785</c:v>
                </c:pt>
                <c:pt idx="360">
                  <c:v>386612,9032</c:v>
                </c:pt>
                <c:pt idx="361">
                  <c:v>387311,828</c:v>
                </c:pt>
                <c:pt idx="362">
                  <c:v>388010,7527</c:v>
                </c:pt>
                <c:pt idx="363">
                  <c:v>388709,6774</c:v>
                </c:pt>
                <c:pt idx="364">
                  <c:v>389408,6022</c:v>
                </c:pt>
                <c:pt idx="365">
                  <c:v>390107,5269</c:v>
                </c:pt>
                <c:pt idx="366">
                  <c:v>390806,4516</c:v>
                </c:pt>
                <c:pt idx="367">
                  <c:v>391505,3763</c:v>
                </c:pt>
                <c:pt idx="368">
                  <c:v>392204,3011</c:v>
                </c:pt>
                <c:pt idx="369">
                  <c:v>392903,2258</c:v>
                </c:pt>
                <c:pt idx="370">
                  <c:v>393602,1505</c:v>
                </c:pt>
                <c:pt idx="371">
                  <c:v>394301,0753</c:v>
                </c:pt>
                <c:pt idx="372">
                  <c:v>395000</c:v>
                </c:pt>
                <c:pt idx="373">
                  <c:v>395698,9247</c:v>
                </c:pt>
                <c:pt idx="374">
                  <c:v>396397,8495</c:v>
                </c:pt>
                <c:pt idx="375">
                  <c:v>397096,7742</c:v>
                </c:pt>
                <c:pt idx="376">
                  <c:v>397795,6989</c:v>
                </c:pt>
                <c:pt idx="377">
                  <c:v>398494,6237</c:v>
                </c:pt>
                <c:pt idx="378">
                  <c:v>399193,5484</c:v>
                </c:pt>
                <c:pt idx="379">
                  <c:v>399892,4731</c:v>
                </c:pt>
                <c:pt idx="380">
                  <c:v>400591,3978</c:v>
                </c:pt>
                <c:pt idx="381">
                  <c:v>401290,3226</c:v>
                </c:pt>
                <c:pt idx="382">
                  <c:v>401989,2473</c:v>
                </c:pt>
                <c:pt idx="383">
                  <c:v>402688,172</c:v>
                </c:pt>
                <c:pt idx="384">
                  <c:v>403387,0968</c:v>
                </c:pt>
                <c:pt idx="385">
                  <c:v>404086,0215</c:v>
                </c:pt>
                <c:pt idx="386">
                  <c:v>404784,9462</c:v>
                </c:pt>
                <c:pt idx="387">
                  <c:v>405483,871</c:v>
                </c:pt>
                <c:pt idx="388">
                  <c:v>406182,7957</c:v>
                </c:pt>
                <c:pt idx="389">
                  <c:v>406881,7204</c:v>
                </c:pt>
                <c:pt idx="390">
                  <c:v>407580,6452</c:v>
                </c:pt>
                <c:pt idx="391">
                  <c:v>408279,5699</c:v>
                </c:pt>
                <c:pt idx="392">
                  <c:v>408978,4946</c:v>
                </c:pt>
                <c:pt idx="393">
                  <c:v>409677,4194</c:v>
                </c:pt>
                <c:pt idx="394">
                  <c:v>410376,3441</c:v>
                </c:pt>
                <c:pt idx="395">
                  <c:v>411075,2688</c:v>
                </c:pt>
                <c:pt idx="396">
                  <c:v>411774,1935</c:v>
                </c:pt>
                <c:pt idx="397">
                  <c:v>412473,1183</c:v>
                </c:pt>
                <c:pt idx="398">
                  <c:v>413172,043</c:v>
                </c:pt>
                <c:pt idx="399">
                  <c:v>413870,9677</c:v>
                </c:pt>
                <c:pt idx="400">
                  <c:v>414569,8925</c:v>
                </c:pt>
                <c:pt idx="401">
                  <c:v>415268,8172</c:v>
                </c:pt>
                <c:pt idx="402">
                  <c:v>415967,7419</c:v>
                </c:pt>
                <c:pt idx="403">
                  <c:v>416666,6667</c:v>
                </c:pt>
                <c:pt idx="404">
                  <c:v>417365,5914</c:v>
                </c:pt>
                <c:pt idx="405">
                  <c:v>418064,5161</c:v>
                </c:pt>
                <c:pt idx="406">
                  <c:v>418763,4409</c:v>
                </c:pt>
                <c:pt idx="407">
                  <c:v>419462,3656</c:v>
                </c:pt>
                <c:pt idx="408">
                  <c:v>420161,2903</c:v>
                </c:pt>
                <c:pt idx="409">
                  <c:v>420860,2151</c:v>
                </c:pt>
                <c:pt idx="410">
                  <c:v>421559,1398</c:v>
                </c:pt>
                <c:pt idx="411">
                  <c:v>422258,0645</c:v>
                </c:pt>
                <c:pt idx="412">
                  <c:v>422956,9892</c:v>
                </c:pt>
                <c:pt idx="413">
                  <c:v>423655,914</c:v>
                </c:pt>
                <c:pt idx="414">
                  <c:v>424354,8387</c:v>
                </c:pt>
                <c:pt idx="415">
                  <c:v>425053,7634</c:v>
                </c:pt>
                <c:pt idx="416">
                  <c:v>425752,6882</c:v>
                </c:pt>
                <c:pt idx="417">
                  <c:v>426451,6129</c:v>
                </c:pt>
                <c:pt idx="418">
                  <c:v>427150,5376</c:v>
                </c:pt>
                <c:pt idx="419">
                  <c:v>427849,4624</c:v>
                </c:pt>
                <c:pt idx="420">
                  <c:v>428548,3871</c:v>
                </c:pt>
                <c:pt idx="421">
                  <c:v>429247,3118</c:v>
                </c:pt>
                <c:pt idx="422">
                  <c:v>429946,2366</c:v>
                </c:pt>
                <c:pt idx="423">
                  <c:v>430645,1613</c:v>
                </c:pt>
                <c:pt idx="424">
                  <c:v>431344,086</c:v>
                </c:pt>
                <c:pt idx="425">
                  <c:v>432043,0108</c:v>
                </c:pt>
                <c:pt idx="426">
                  <c:v>432741,9355</c:v>
                </c:pt>
                <c:pt idx="427">
                  <c:v>433440,8602</c:v>
                </c:pt>
                <c:pt idx="428">
                  <c:v>434139,7849</c:v>
                </c:pt>
                <c:pt idx="429">
                  <c:v>434838,7097</c:v>
                </c:pt>
                <c:pt idx="430">
                  <c:v>435537,6344</c:v>
                </c:pt>
                <c:pt idx="431">
                  <c:v>436236,5591</c:v>
                </c:pt>
                <c:pt idx="432">
                  <c:v>436935,4839</c:v>
                </c:pt>
                <c:pt idx="433">
                  <c:v>437634,4086</c:v>
                </c:pt>
                <c:pt idx="434">
                  <c:v>438333,3333</c:v>
                </c:pt>
                <c:pt idx="435">
                  <c:v>439032,2581</c:v>
                </c:pt>
                <c:pt idx="436">
                  <c:v>439731,1828</c:v>
                </c:pt>
                <c:pt idx="437">
                  <c:v>440430,1075</c:v>
                </c:pt>
                <c:pt idx="438">
                  <c:v>441129,0323</c:v>
                </c:pt>
                <c:pt idx="439">
                  <c:v>441827,957</c:v>
                </c:pt>
                <c:pt idx="440">
                  <c:v>442526,8817</c:v>
                </c:pt>
                <c:pt idx="441">
                  <c:v>443225,8065</c:v>
                </c:pt>
                <c:pt idx="442">
                  <c:v>443924,7312</c:v>
                </c:pt>
                <c:pt idx="443">
                  <c:v>444623,6559</c:v>
                </c:pt>
                <c:pt idx="444">
                  <c:v>445322,5806</c:v>
                </c:pt>
                <c:pt idx="445">
                  <c:v>446021,5054</c:v>
                </c:pt>
                <c:pt idx="446">
                  <c:v>446720,4301</c:v>
                </c:pt>
                <c:pt idx="447">
                  <c:v>447419,3548</c:v>
                </c:pt>
                <c:pt idx="448">
                  <c:v>448118,2796</c:v>
                </c:pt>
                <c:pt idx="449">
                  <c:v>448817,2043</c:v>
                </c:pt>
                <c:pt idx="450">
                  <c:v>449516,129</c:v>
                </c:pt>
                <c:pt idx="451">
                  <c:v>450215,0538</c:v>
                </c:pt>
                <c:pt idx="452">
                  <c:v>450913,9785</c:v>
                </c:pt>
                <c:pt idx="453">
                  <c:v>451612,9032</c:v>
                </c:pt>
                <c:pt idx="454">
                  <c:v>452311,828</c:v>
                </c:pt>
                <c:pt idx="455">
                  <c:v>453010,7527</c:v>
                </c:pt>
                <c:pt idx="456">
                  <c:v>453709,6774</c:v>
                </c:pt>
                <c:pt idx="457">
                  <c:v>454408,6022</c:v>
                </c:pt>
                <c:pt idx="458">
                  <c:v>455107,5269</c:v>
                </c:pt>
                <c:pt idx="459">
                  <c:v>455806,4516</c:v>
                </c:pt>
                <c:pt idx="460">
                  <c:v>456505,3763</c:v>
                </c:pt>
                <c:pt idx="461">
                  <c:v>457204,3011</c:v>
                </c:pt>
                <c:pt idx="462">
                  <c:v>457903,2258</c:v>
                </c:pt>
                <c:pt idx="463">
                  <c:v>458602,1505</c:v>
                </c:pt>
                <c:pt idx="464">
                  <c:v>459301,0753</c:v>
                </c:pt>
                <c:pt idx="465">
                  <c:v>460000</c:v>
                </c:pt>
                <c:pt idx="466">
                  <c:v>460698,9247</c:v>
                </c:pt>
                <c:pt idx="467">
                  <c:v>461397,8495</c:v>
                </c:pt>
                <c:pt idx="468">
                  <c:v>462096,7742</c:v>
                </c:pt>
                <c:pt idx="469">
                  <c:v>462795,6989</c:v>
                </c:pt>
                <c:pt idx="470">
                  <c:v>463494,6237</c:v>
                </c:pt>
                <c:pt idx="471">
                  <c:v>464193,5484</c:v>
                </c:pt>
                <c:pt idx="472">
                  <c:v>464892,4731</c:v>
                </c:pt>
                <c:pt idx="473">
                  <c:v>465591,3978</c:v>
                </c:pt>
                <c:pt idx="474">
                  <c:v>466290,3226</c:v>
                </c:pt>
                <c:pt idx="475">
                  <c:v>466989,2473</c:v>
                </c:pt>
                <c:pt idx="476">
                  <c:v>467688,172</c:v>
                </c:pt>
                <c:pt idx="477">
                  <c:v>468387,0968</c:v>
                </c:pt>
                <c:pt idx="478">
                  <c:v>469086,0215</c:v>
                </c:pt>
                <c:pt idx="479">
                  <c:v>469784,9462</c:v>
                </c:pt>
                <c:pt idx="480">
                  <c:v>470483,871</c:v>
                </c:pt>
                <c:pt idx="481">
                  <c:v>471182,7957</c:v>
                </c:pt>
                <c:pt idx="482">
                  <c:v>471881,7204</c:v>
                </c:pt>
                <c:pt idx="483">
                  <c:v>472580,6452</c:v>
                </c:pt>
                <c:pt idx="484">
                  <c:v>473279,5699</c:v>
                </c:pt>
                <c:pt idx="485">
                  <c:v>473978,4946</c:v>
                </c:pt>
                <c:pt idx="486">
                  <c:v>474677,4194</c:v>
                </c:pt>
                <c:pt idx="487">
                  <c:v>475376,3441</c:v>
                </c:pt>
                <c:pt idx="488">
                  <c:v>476075,2688</c:v>
                </c:pt>
                <c:pt idx="489">
                  <c:v>476774,1935</c:v>
                </c:pt>
                <c:pt idx="490">
                  <c:v>477473,1183</c:v>
                </c:pt>
                <c:pt idx="491">
                  <c:v>478172,043</c:v>
                </c:pt>
                <c:pt idx="492">
                  <c:v>478870,9677</c:v>
                </c:pt>
                <c:pt idx="493">
                  <c:v>479569,8925</c:v>
                </c:pt>
                <c:pt idx="494">
                  <c:v>480268,8172</c:v>
                </c:pt>
                <c:pt idx="495">
                  <c:v>480967,7419</c:v>
                </c:pt>
                <c:pt idx="496">
                  <c:v>481666,6667</c:v>
                </c:pt>
                <c:pt idx="497">
                  <c:v>482365,5914</c:v>
                </c:pt>
                <c:pt idx="498">
                  <c:v>483064,5161</c:v>
                </c:pt>
                <c:pt idx="499">
                  <c:v>483763,4409</c:v>
                </c:pt>
                <c:pt idx="500">
                  <c:v>484462,3656</c:v>
                </c:pt>
                <c:pt idx="501">
                  <c:v>485161,2903</c:v>
                </c:pt>
                <c:pt idx="502">
                  <c:v>485860,2151</c:v>
                </c:pt>
                <c:pt idx="503">
                  <c:v>486559,1398</c:v>
                </c:pt>
                <c:pt idx="504">
                  <c:v>487258,0645</c:v>
                </c:pt>
                <c:pt idx="505">
                  <c:v>487956,9892</c:v>
                </c:pt>
                <c:pt idx="506">
                  <c:v>488655,914</c:v>
                </c:pt>
                <c:pt idx="507">
                  <c:v>489354,8387</c:v>
                </c:pt>
                <c:pt idx="508">
                  <c:v>490053,7634</c:v>
                </c:pt>
                <c:pt idx="509">
                  <c:v>490752,6882</c:v>
                </c:pt>
                <c:pt idx="510">
                  <c:v>491451,6129</c:v>
                </c:pt>
                <c:pt idx="511">
                  <c:v>492150,5376</c:v>
                </c:pt>
                <c:pt idx="512">
                  <c:v>492849,4624</c:v>
                </c:pt>
                <c:pt idx="513">
                  <c:v>493548,3871</c:v>
                </c:pt>
                <c:pt idx="514">
                  <c:v>494247,3118</c:v>
                </c:pt>
                <c:pt idx="515">
                  <c:v>494946,2366</c:v>
                </c:pt>
                <c:pt idx="516">
                  <c:v>495645,1613</c:v>
                </c:pt>
                <c:pt idx="517">
                  <c:v>496344,086</c:v>
                </c:pt>
                <c:pt idx="518">
                  <c:v>497043,0108</c:v>
                </c:pt>
                <c:pt idx="519">
                  <c:v>497741,9355</c:v>
                </c:pt>
                <c:pt idx="520">
                  <c:v>498440,8602</c:v>
                </c:pt>
                <c:pt idx="521">
                  <c:v>499139,7849</c:v>
                </c:pt>
                <c:pt idx="522">
                  <c:v>499838,7097</c:v>
                </c:pt>
                <c:pt idx="523">
                  <c:v>500537,6344</c:v>
                </c:pt>
                <c:pt idx="524">
                  <c:v>501236,5591</c:v>
                </c:pt>
                <c:pt idx="525">
                  <c:v>501935,4839</c:v>
                </c:pt>
                <c:pt idx="526">
                  <c:v>502634,4086</c:v>
                </c:pt>
                <c:pt idx="527">
                  <c:v>503333,3333</c:v>
                </c:pt>
                <c:pt idx="528">
                  <c:v>504032,2581</c:v>
                </c:pt>
                <c:pt idx="529">
                  <c:v>504731,1828</c:v>
                </c:pt>
                <c:pt idx="530">
                  <c:v>505430,1075</c:v>
                </c:pt>
                <c:pt idx="531">
                  <c:v>506129,0323</c:v>
                </c:pt>
                <c:pt idx="532">
                  <c:v>506827,957</c:v>
                </c:pt>
                <c:pt idx="533">
                  <c:v>507526,8817</c:v>
                </c:pt>
                <c:pt idx="534">
                  <c:v>508225,8065</c:v>
                </c:pt>
                <c:pt idx="535">
                  <c:v>508924,7312</c:v>
                </c:pt>
                <c:pt idx="536">
                  <c:v>509623,6559</c:v>
                </c:pt>
                <c:pt idx="537">
                  <c:v>510322,5806</c:v>
                </c:pt>
                <c:pt idx="538">
                  <c:v>511021,5054</c:v>
                </c:pt>
                <c:pt idx="539">
                  <c:v>511720,4301</c:v>
                </c:pt>
                <c:pt idx="540">
                  <c:v>512419,3548</c:v>
                </c:pt>
                <c:pt idx="541">
                  <c:v>513118,2796</c:v>
                </c:pt>
                <c:pt idx="542">
                  <c:v>513817,2043</c:v>
                </c:pt>
                <c:pt idx="543">
                  <c:v>514516,129</c:v>
                </c:pt>
                <c:pt idx="544">
                  <c:v>515215,0538</c:v>
                </c:pt>
                <c:pt idx="545">
                  <c:v>515913,9785</c:v>
                </c:pt>
                <c:pt idx="546">
                  <c:v>516612,9032</c:v>
                </c:pt>
                <c:pt idx="547">
                  <c:v>517311,828</c:v>
                </c:pt>
                <c:pt idx="548">
                  <c:v>518010,7527</c:v>
                </c:pt>
                <c:pt idx="549">
                  <c:v>518709,6774</c:v>
                </c:pt>
                <c:pt idx="550">
                  <c:v>519408,6022</c:v>
                </c:pt>
                <c:pt idx="551">
                  <c:v>520107,5269</c:v>
                </c:pt>
                <c:pt idx="552">
                  <c:v>520806,4516</c:v>
                </c:pt>
                <c:pt idx="553">
                  <c:v>521505,3763</c:v>
                </c:pt>
                <c:pt idx="554">
                  <c:v>522204,3011</c:v>
                </c:pt>
                <c:pt idx="555">
                  <c:v>522903,2258</c:v>
                </c:pt>
                <c:pt idx="556">
                  <c:v>523602,1505</c:v>
                </c:pt>
                <c:pt idx="557">
                  <c:v>524301,0753</c:v>
                </c:pt>
                <c:pt idx="558">
                  <c:v>525000</c:v>
                </c:pt>
                <c:pt idx="559">
                  <c:v>525698,9247</c:v>
                </c:pt>
                <c:pt idx="560">
                  <c:v>526397,8495</c:v>
                </c:pt>
                <c:pt idx="561">
                  <c:v>527096,7742</c:v>
                </c:pt>
                <c:pt idx="562">
                  <c:v>527795,6989</c:v>
                </c:pt>
                <c:pt idx="563">
                  <c:v>528494,6237</c:v>
                </c:pt>
                <c:pt idx="564">
                  <c:v>529193,5484</c:v>
                </c:pt>
                <c:pt idx="565">
                  <c:v>529892,4731</c:v>
                </c:pt>
                <c:pt idx="566">
                  <c:v>530591,3978</c:v>
                </c:pt>
                <c:pt idx="567">
                  <c:v>531290,3226</c:v>
                </c:pt>
                <c:pt idx="568">
                  <c:v>531989,2473</c:v>
                </c:pt>
                <c:pt idx="569">
                  <c:v>532688,172</c:v>
                </c:pt>
                <c:pt idx="570">
                  <c:v>533387,0968</c:v>
                </c:pt>
                <c:pt idx="571">
                  <c:v>534086,0215</c:v>
                </c:pt>
                <c:pt idx="572">
                  <c:v>534784,9462</c:v>
                </c:pt>
                <c:pt idx="573">
                  <c:v>535483,871</c:v>
                </c:pt>
                <c:pt idx="574">
                  <c:v>536182,7957</c:v>
                </c:pt>
                <c:pt idx="575">
                  <c:v>536881,7204</c:v>
                </c:pt>
                <c:pt idx="576">
                  <c:v>537580,6452</c:v>
                </c:pt>
                <c:pt idx="577">
                  <c:v>538279,5699</c:v>
                </c:pt>
                <c:pt idx="578">
                  <c:v>538978,4946</c:v>
                </c:pt>
                <c:pt idx="579">
                  <c:v>539677,4194</c:v>
                </c:pt>
                <c:pt idx="580">
                  <c:v>540376,3441</c:v>
                </c:pt>
                <c:pt idx="581">
                  <c:v>541075,2688</c:v>
                </c:pt>
                <c:pt idx="582">
                  <c:v>541774,1935</c:v>
                </c:pt>
                <c:pt idx="583">
                  <c:v>542473,1183</c:v>
                </c:pt>
                <c:pt idx="584">
                  <c:v>543172,043</c:v>
                </c:pt>
                <c:pt idx="585">
                  <c:v>543870,9677</c:v>
                </c:pt>
                <c:pt idx="586">
                  <c:v>544569,8925</c:v>
                </c:pt>
                <c:pt idx="587">
                  <c:v>545268,8172</c:v>
                </c:pt>
                <c:pt idx="588">
                  <c:v>545967,7419</c:v>
                </c:pt>
                <c:pt idx="589">
                  <c:v>546666,6667</c:v>
                </c:pt>
                <c:pt idx="590">
                  <c:v>547365,5914</c:v>
                </c:pt>
                <c:pt idx="591">
                  <c:v>548064,5161</c:v>
                </c:pt>
                <c:pt idx="592">
                  <c:v>548763,4409</c:v>
                </c:pt>
                <c:pt idx="593">
                  <c:v>549462,3656</c:v>
                </c:pt>
                <c:pt idx="594">
                  <c:v>550161,2903</c:v>
                </c:pt>
                <c:pt idx="595">
                  <c:v>550860,2151</c:v>
                </c:pt>
                <c:pt idx="596">
                  <c:v>551559,1398</c:v>
                </c:pt>
                <c:pt idx="597">
                  <c:v>552258,0645</c:v>
                </c:pt>
                <c:pt idx="598">
                  <c:v>552956,9892</c:v>
                </c:pt>
                <c:pt idx="599">
                  <c:v>553655,914</c:v>
                </c:pt>
                <c:pt idx="600">
                  <c:v>554354,8387</c:v>
                </c:pt>
                <c:pt idx="601">
                  <c:v>555053,7634</c:v>
                </c:pt>
                <c:pt idx="602">
                  <c:v>555752,6882</c:v>
                </c:pt>
                <c:pt idx="603">
                  <c:v>556451,6129</c:v>
                </c:pt>
                <c:pt idx="604">
                  <c:v>557150,5376</c:v>
                </c:pt>
                <c:pt idx="605">
                  <c:v>557849,4624</c:v>
                </c:pt>
                <c:pt idx="606">
                  <c:v>558548,3871</c:v>
                </c:pt>
                <c:pt idx="607">
                  <c:v>559247,3118</c:v>
                </c:pt>
                <c:pt idx="608">
                  <c:v>559946,2366</c:v>
                </c:pt>
                <c:pt idx="609">
                  <c:v>560645,1613</c:v>
                </c:pt>
                <c:pt idx="610">
                  <c:v>561344,086</c:v>
                </c:pt>
                <c:pt idx="611">
                  <c:v>562043,0108</c:v>
                </c:pt>
                <c:pt idx="612">
                  <c:v>562741,9355</c:v>
                </c:pt>
                <c:pt idx="613">
                  <c:v>563440,8602</c:v>
                </c:pt>
                <c:pt idx="614">
                  <c:v>564139,7849</c:v>
                </c:pt>
                <c:pt idx="615">
                  <c:v>564838,7097</c:v>
                </c:pt>
                <c:pt idx="616">
                  <c:v>565537,6344</c:v>
                </c:pt>
                <c:pt idx="617">
                  <c:v>566236,5591</c:v>
                </c:pt>
                <c:pt idx="618">
                  <c:v>566935,4839</c:v>
                </c:pt>
                <c:pt idx="619">
                  <c:v>567634,4086</c:v>
                </c:pt>
                <c:pt idx="620">
                  <c:v>568333,3333</c:v>
                </c:pt>
                <c:pt idx="621">
                  <c:v>569032,2581</c:v>
                </c:pt>
                <c:pt idx="622">
                  <c:v>569731,1828</c:v>
                </c:pt>
                <c:pt idx="623">
                  <c:v>570430,1075</c:v>
                </c:pt>
                <c:pt idx="624">
                  <c:v>571129,0323</c:v>
                </c:pt>
                <c:pt idx="625">
                  <c:v>571827,957</c:v>
                </c:pt>
                <c:pt idx="626">
                  <c:v>572526,8817</c:v>
                </c:pt>
                <c:pt idx="627">
                  <c:v>573225,8065</c:v>
                </c:pt>
                <c:pt idx="628">
                  <c:v>573924,7312</c:v>
                </c:pt>
                <c:pt idx="629">
                  <c:v>574623,6559</c:v>
                </c:pt>
                <c:pt idx="630">
                  <c:v>575322,5806</c:v>
                </c:pt>
                <c:pt idx="631">
                  <c:v>576021,5054</c:v>
                </c:pt>
                <c:pt idx="632">
                  <c:v>576720,4301</c:v>
                </c:pt>
                <c:pt idx="633">
                  <c:v>577419,3548</c:v>
                </c:pt>
                <c:pt idx="634">
                  <c:v>578118,2796</c:v>
                </c:pt>
                <c:pt idx="635">
                  <c:v>578817,2043</c:v>
                </c:pt>
                <c:pt idx="636">
                  <c:v>579516,129</c:v>
                </c:pt>
                <c:pt idx="637">
                  <c:v>580215,0538</c:v>
                </c:pt>
                <c:pt idx="638">
                  <c:v>580913,9785</c:v>
                </c:pt>
                <c:pt idx="639">
                  <c:v>581612,9032</c:v>
                </c:pt>
                <c:pt idx="640">
                  <c:v>582311,828</c:v>
                </c:pt>
                <c:pt idx="641">
                  <c:v>583010,7527</c:v>
                </c:pt>
                <c:pt idx="642">
                  <c:v>583709,6774</c:v>
                </c:pt>
                <c:pt idx="643">
                  <c:v>584408,6022</c:v>
                </c:pt>
                <c:pt idx="644">
                  <c:v>585107,5269</c:v>
                </c:pt>
                <c:pt idx="645">
                  <c:v>585806,4516</c:v>
                </c:pt>
                <c:pt idx="646">
                  <c:v>586505,3763</c:v>
                </c:pt>
                <c:pt idx="647">
                  <c:v>587204,3011</c:v>
                </c:pt>
                <c:pt idx="648">
                  <c:v>587903,2258</c:v>
                </c:pt>
                <c:pt idx="649">
                  <c:v>588602,1505</c:v>
                </c:pt>
                <c:pt idx="650">
                  <c:v>589301,0753</c:v>
                </c:pt>
                <c:pt idx="651">
                  <c:v>590000</c:v>
                </c:pt>
                <c:pt idx="652">
                  <c:v>590698,9247</c:v>
                </c:pt>
                <c:pt idx="653">
                  <c:v>591397,8495</c:v>
                </c:pt>
                <c:pt idx="654">
                  <c:v>592096,7742</c:v>
                </c:pt>
                <c:pt idx="655">
                  <c:v>592795,6989</c:v>
                </c:pt>
                <c:pt idx="656">
                  <c:v>593494,6237</c:v>
                </c:pt>
                <c:pt idx="657">
                  <c:v>594193,5484</c:v>
                </c:pt>
                <c:pt idx="658">
                  <c:v>594892,4731</c:v>
                </c:pt>
                <c:pt idx="659">
                  <c:v>595591,3978</c:v>
                </c:pt>
                <c:pt idx="660">
                  <c:v>596290,3226</c:v>
                </c:pt>
                <c:pt idx="661">
                  <c:v>596989,2473</c:v>
                </c:pt>
                <c:pt idx="662">
                  <c:v>597688,172</c:v>
                </c:pt>
                <c:pt idx="663">
                  <c:v>598387,0968</c:v>
                </c:pt>
                <c:pt idx="664">
                  <c:v>599086,0215</c:v>
                </c:pt>
                <c:pt idx="665">
                  <c:v>599784,9462</c:v>
                </c:pt>
                <c:pt idx="666">
                  <c:v>600483,871</c:v>
                </c:pt>
                <c:pt idx="667">
                  <c:v>601182,7957</c:v>
                </c:pt>
                <c:pt idx="668">
                  <c:v>601881,7204</c:v>
                </c:pt>
                <c:pt idx="669">
                  <c:v>602580,6452</c:v>
                </c:pt>
                <c:pt idx="670">
                  <c:v>603279,5699</c:v>
                </c:pt>
                <c:pt idx="671">
                  <c:v>603978,4946</c:v>
                </c:pt>
                <c:pt idx="672">
                  <c:v>604677,4194</c:v>
                </c:pt>
                <c:pt idx="673">
                  <c:v>605376,3441</c:v>
                </c:pt>
                <c:pt idx="674">
                  <c:v>606075,2688</c:v>
                </c:pt>
                <c:pt idx="675">
                  <c:v>606774,1935</c:v>
                </c:pt>
                <c:pt idx="676">
                  <c:v>607473,1183</c:v>
                </c:pt>
                <c:pt idx="677">
                  <c:v>608172,043</c:v>
                </c:pt>
                <c:pt idx="678">
                  <c:v>608870,9677</c:v>
                </c:pt>
                <c:pt idx="679">
                  <c:v>609569,8925</c:v>
                </c:pt>
                <c:pt idx="680">
                  <c:v>610268,8172</c:v>
                </c:pt>
                <c:pt idx="681">
                  <c:v>610967,7419</c:v>
                </c:pt>
                <c:pt idx="682">
                  <c:v>611666,6667</c:v>
                </c:pt>
                <c:pt idx="683">
                  <c:v>612365,5914</c:v>
                </c:pt>
                <c:pt idx="684">
                  <c:v>613064,5161</c:v>
                </c:pt>
                <c:pt idx="685">
                  <c:v>613763,4409</c:v>
                </c:pt>
                <c:pt idx="686">
                  <c:v>614462,3656</c:v>
                </c:pt>
                <c:pt idx="687">
                  <c:v>615161,2903</c:v>
                </c:pt>
                <c:pt idx="688">
                  <c:v>615860,2151</c:v>
                </c:pt>
                <c:pt idx="689">
                  <c:v>616559,1398</c:v>
                </c:pt>
                <c:pt idx="690">
                  <c:v>617258,0645</c:v>
                </c:pt>
                <c:pt idx="691">
                  <c:v>617956,9892</c:v>
                </c:pt>
                <c:pt idx="692">
                  <c:v>618655,914</c:v>
                </c:pt>
                <c:pt idx="693">
                  <c:v>619354,8387</c:v>
                </c:pt>
                <c:pt idx="694">
                  <c:v>620053,7634</c:v>
                </c:pt>
                <c:pt idx="695">
                  <c:v>620752,6882</c:v>
                </c:pt>
                <c:pt idx="696">
                  <c:v>621451,6129</c:v>
                </c:pt>
                <c:pt idx="697">
                  <c:v>622150,5376</c:v>
                </c:pt>
                <c:pt idx="698">
                  <c:v>622849,4624</c:v>
                </c:pt>
                <c:pt idx="699">
                  <c:v>623548,3871</c:v>
                </c:pt>
                <c:pt idx="700">
                  <c:v>624247,3118</c:v>
                </c:pt>
                <c:pt idx="701">
                  <c:v>624946,2366</c:v>
                </c:pt>
                <c:pt idx="702">
                  <c:v>625645,1613</c:v>
                </c:pt>
                <c:pt idx="703">
                  <c:v>626344,086</c:v>
                </c:pt>
                <c:pt idx="704">
                  <c:v>627043,0108</c:v>
                </c:pt>
                <c:pt idx="705">
                  <c:v>627741,9355</c:v>
                </c:pt>
                <c:pt idx="706">
                  <c:v>628440,8602</c:v>
                </c:pt>
                <c:pt idx="707">
                  <c:v>629139,7849</c:v>
                </c:pt>
                <c:pt idx="708">
                  <c:v>629838,7097</c:v>
                </c:pt>
                <c:pt idx="709">
                  <c:v>630537,6344</c:v>
                </c:pt>
                <c:pt idx="710">
                  <c:v>631236,5591</c:v>
                </c:pt>
                <c:pt idx="711">
                  <c:v>631935,4839</c:v>
                </c:pt>
                <c:pt idx="712">
                  <c:v>632634,4086</c:v>
                </c:pt>
                <c:pt idx="713">
                  <c:v>633333,3333</c:v>
                </c:pt>
                <c:pt idx="714">
                  <c:v>634032,2581</c:v>
                </c:pt>
                <c:pt idx="715">
                  <c:v>634731,1828</c:v>
                </c:pt>
                <c:pt idx="716">
                  <c:v>635430,1075</c:v>
                </c:pt>
                <c:pt idx="717">
                  <c:v>636129,0323</c:v>
                </c:pt>
                <c:pt idx="718">
                  <c:v>636827,957</c:v>
                </c:pt>
                <c:pt idx="719">
                  <c:v>637526,8817</c:v>
                </c:pt>
                <c:pt idx="720">
                  <c:v>638225,8065</c:v>
                </c:pt>
                <c:pt idx="721">
                  <c:v>638924,7312</c:v>
                </c:pt>
                <c:pt idx="722">
                  <c:v>639623,6559</c:v>
                </c:pt>
                <c:pt idx="723">
                  <c:v>640322,5806</c:v>
                </c:pt>
                <c:pt idx="724">
                  <c:v>641021,5054</c:v>
                </c:pt>
                <c:pt idx="725">
                  <c:v>641720,4301</c:v>
                </c:pt>
                <c:pt idx="726">
                  <c:v>642419,3548</c:v>
                </c:pt>
                <c:pt idx="727">
                  <c:v>643118,2796</c:v>
                </c:pt>
                <c:pt idx="728">
                  <c:v>643817,2043</c:v>
                </c:pt>
                <c:pt idx="729">
                  <c:v>644516,129</c:v>
                </c:pt>
                <c:pt idx="730">
                  <c:v>645215,0538</c:v>
                </c:pt>
                <c:pt idx="731">
                  <c:v>645913,9785</c:v>
                </c:pt>
                <c:pt idx="732">
                  <c:v>646612,9032</c:v>
                </c:pt>
                <c:pt idx="733">
                  <c:v>647311,828</c:v>
                </c:pt>
                <c:pt idx="734">
                  <c:v>648010,7527</c:v>
                </c:pt>
                <c:pt idx="735">
                  <c:v>648709,6774</c:v>
                </c:pt>
                <c:pt idx="736">
                  <c:v>649408,6022</c:v>
                </c:pt>
                <c:pt idx="737">
                  <c:v>650107,5269</c:v>
                </c:pt>
                <c:pt idx="738">
                  <c:v>650806,4516</c:v>
                </c:pt>
                <c:pt idx="739">
                  <c:v>651505,3763</c:v>
                </c:pt>
                <c:pt idx="740">
                  <c:v>652204,3011</c:v>
                </c:pt>
                <c:pt idx="741">
                  <c:v>652903,2258</c:v>
                </c:pt>
                <c:pt idx="742">
                  <c:v>653602,1505</c:v>
                </c:pt>
                <c:pt idx="743">
                  <c:v>654301,0753</c:v>
                </c:pt>
                <c:pt idx="744">
                  <c:v>655000</c:v>
                </c:pt>
                <c:pt idx="745">
                  <c:v>655698,9247</c:v>
                </c:pt>
                <c:pt idx="746">
                  <c:v>656397,8495</c:v>
                </c:pt>
                <c:pt idx="747">
                  <c:v>657096,7742</c:v>
                </c:pt>
                <c:pt idx="748">
                  <c:v>657795,6989</c:v>
                </c:pt>
                <c:pt idx="749">
                  <c:v>658494,6237</c:v>
                </c:pt>
                <c:pt idx="750">
                  <c:v>659193,5484</c:v>
                </c:pt>
                <c:pt idx="751">
                  <c:v>659892,4731</c:v>
                </c:pt>
                <c:pt idx="752">
                  <c:v>660591,3978</c:v>
                </c:pt>
                <c:pt idx="753">
                  <c:v>661290,3226</c:v>
                </c:pt>
                <c:pt idx="754">
                  <c:v>661989,2473</c:v>
                </c:pt>
                <c:pt idx="755">
                  <c:v>662688,172</c:v>
                </c:pt>
                <c:pt idx="756">
                  <c:v>663387,0968</c:v>
                </c:pt>
                <c:pt idx="757">
                  <c:v>664086,0215</c:v>
                </c:pt>
                <c:pt idx="758">
                  <c:v>664784,9462</c:v>
                </c:pt>
                <c:pt idx="759">
                  <c:v>665483,871</c:v>
                </c:pt>
                <c:pt idx="760">
                  <c:v>666182,7957</c:v>
                </c:pt>
                <c:pt idx="761">
                  <c:v>666881,7204</c:v>
                </c:pt>
                <c:pt idx="762">
                  <c:v>667580,6452</c:v>
                </c:pt>
                <c:pt idx="763">
                  <c:v>668279,5699</c:v>
                </c:pt>
                <c:pt idx="764">
                  <c:v>668978,4946</c:v>
                </c:pt>
                <c:pt idx="765">
                  <c:v>669677,4194</c:v>
                </c:pt>
                <c:pt idx="766">
                  <c:v>670376,3441</c:v>
                </c:pt>
                <c:pt idx="767">
                  <c:v>671075,2688</c:v>
                </c:pt>
                <c:pt idx="768">
                  <c:v>671774,1935</c:v>
                </c:pt>
                <c:pt idx="769">
                  <c:v>672473,1183</c:v>
                </c:pt>
                <c:pt idx="770">
                  <c:v>673172,043</c:v>
                </c:pt>
                <c:pt idx="771">
                  <c:v>673870,9677</c:v>
                </c:pt>
                <c:pt idx="772">
                  <c:v>674569,8925</c:v>
                </c:pt>
                <c:pt idx="773">
                  <c:v>675268,8172</c:v>
                </c:pt>
                <c:pt idx="774">
                  <c:v>675967,7419</c:v>
                </c:pt>
                <c:pt idx="775">
                  <c:v>676666,6667</c:v>
                </c:pt>
                <c:pt idx="776">
                  <c:v>677365,5914</c:v>
                </c:pt>
                <c:pt idx="777">
                  <c:v>678064,5161</c:v>
                </c:pt>
                <c:pt idx="778">
                  <c:v>678763,4409</c:v>
                </c:pt>
                <c:pt idx="779">
                  <c:v>679462,3656</c:v>
                </c:pt>
                <c:pt idx="780">
                  <c:v>680161,2903</c:v>
                </c:pt>
                <c:pt idx="781">
                  <c:v>680860,2151</c:v>
                </c:pt>
                <c:pt idx="782">
                  <c:v>681559,1398</c:v>
                </c:pt>
                <c:pt idx="783">
                  <c:v>682258,0645</c:v>
                </c:pt>
                <c:pt idx="784">
                  <c:v>682956,9892</c:v>
                </c:pt>
                <c:pt idx="785">
                  <c:v>683655,914</c:v>
                </c:pt>
                <c:pt idx="786">
                  <c:v>684354,8387</c:v>
                </c:pt>
                <c:pt idx="787">
                  <c:v>685053,7634</c:v>
                </c:pt>
                <c:pt idx="788">
                  <c:v>685752,6882</c:v>
                </c:pt>
                <c:pt idx="789">
                  <c:v>686451,6129</c:v>
                </c:pt>
                <c:pt idx="790">
                  <c:v>687150,5376</c:v>
                </c:pt>
                <c:pt idx="791">
                  <c:v>687849,4624</c:v>
                </c:pt>
                <c:pt idx="792">
                  <c:v>688548,3871</c:v>
                </c:pt>
                <c:pt idx="793">
                  <c:v>689247,3118</c:v>
                </c:pt>
                <c:pt idx="794">
                  <c:v>689946,2366</c:v>
                </c:pt>
                <c:pt idx="795">
                  <c:v>690645,1613</c:v>
                </c:pt>
                <c:pt idx="796">
                  <c:v>691344,086</c:v>
                </c:pt>
                <c:pt idx="797">
                  <c:v>692043,0108</c:v>
                </c:pt>
                <c:pt idx="798">
                  <c:v>692741,9355</c:v>
                </c:pt>
                <c:pt idx="799">
                  <c:v>693440,8602</c:v>
                </c:pt>
                <c:pt idx="800">
                  <c:v>694139,7849</c:v>
                </c:pt>
                <c:pt idx="801">
                  <c:v>694838,7097</c:v>
                </c:pt>
                <c:pt idx="802">
                  <c:v>695537,6344</c:v>
                </c:pt>
                <c:pt idx="803">
                  <c:v>696236,5591</c:v>
                </c:pt>
                <c:pt idx="804">
                  <c:v>696935,4839</c:v>
                </c:pt>
                <c:pt idx="805">
                  <c:v>697634,4086</c:v>
                </c:pt>
                <c:pt idx="806">
                  <c:v>698333,3333</c:v>
                </c:pt>
                <c:pt idx="807">
                  <c:v>699032,2581</c:v>
                </c:pt>
                <c:pt idx="808">
                  <c:v>699731,1828</c:v>
                </c:pt>
                <c:pt idx="809">
                  <c:v>700430,1075</c:v>
                </c:pt>
                <c:pt idx="810">
                  <c:v>701129,0323</c:v>
                </c:pt>
                <c:pt idx="811">
                  <c:v>701827,957</c:v>
                </c:pt>
                <c:pt idx="812">
                  <c:v>702526,8817</c:v>
                </c:pt>
                <c:pt idx="813">
                  <c:v>703225,8065</c:v>
                </c:pt>
                <c:pt idx="814">
                  <c:v>703924,7312</c:v>
                </c:pt>
                <c:pt idx="815">
                  <c:v>704623,6559</c:v>
                </c:pt>
                <c:pt idx="816">
                  <c:v>705322,5806</c:v>
                </c:pt>
                <c:pt idx="817">
                  <c:v>706021,5054</c:v>
                </c:pt>
                <c:pt idx="818">
                  <c:v>706720,4301</c:v>
                </c:pt>
                <c:pt idx="819">
                  <c:v>707419,3548</c:v>
                </c:pt>
                <c:pt idx="820">
                  <c:v>708118,2796</c:v>
                </c:pt>
                <c:pt idx="821">
                  <c:v>708817,2043</c:v>
                </c:pt>
                <c:pt idx="822">
                  <c:v>709516,129</c:v>
                </c:pt>
                <c:pt idx="823">
                  <c:v>710215,0538</c:v>
                </c:pt>
                <c:pt idx="824">
                  <c:v>710913,9785</c:v>
                </c:pt>
                <c:pt idx="825">
                  <c:v>711612,9032</c:v>
                </c:pt>
                <c:pt idx="826">
                  <c:v>712311,828</c:v>
                </c:pt>
                <c:pt idx="827">
                  <c:v>713010,7527</c:v>
                </c:pt>
                <c:pt idx="828">
                  <c:v>713709,6774</c:v>
                </c:pt>
                <c:pt idx="829">
                  <c:v>714408,6022</c:v>
                </c:pt>
                <c:pt idx="830">
                  <c:v>715107,5269</c:v>
                </c:pt>
                <c:pt idx="831">
                  <c:v>715806,4516</c:v>
                </c:pt>
                <c:pt idx="832">
                  <c:v>716505,3763</c:v>
                </c:pt>
                <c:pt idx="833">
                  <c:v>717204,3011</c:v>
                </c:pt>
                <c:pt idx="834">
                  <c:v>717903,2258</c:v>
                </c:pt>
                <c:pt idx="835">
                  <c:v>718602,1505</c:v>
                </c:pt>
                <c:pt idx="836">
                  <c:v>719301,0753</c:v>
                </c:pt>
                <c:pt idx="837">
                  <c:v>720000</c:v>
                </c:pt>
                <c:pt idx="838">
                  <c:v>720698,9247</c:v>
                </c:pt>
                <c:pt idx="839">
                  <c:v>721397,8495</c:v>
                </c:pt>
                <c:pt idx="840">
                  <c:v>722096,7742</c:v>
                </c:pt>
                <c:pt idx="841">
                  <c:v>722795,6989</c:v>
                </c:pt>
                <c:pt idx="842">
                  <c:v>723494,6237</c:v>
                </c:pt>
                <c:pt idx="843">
                  <c:v>724193,5484</c:v>
                </c:pt>
                <c:pt idx="844">
                  <c:v>724892,4731</c:v>
                </c:pt>
                <c:pt idx="845">
                  <c:v>725591,3978</c:v>
                </c:pt>
                <c:pt idx="846">
                  <c:v>726290,3226</c:v>
                </c:pt>
                <c:pt idx="847">
                  <c:v>726989,2473</c:v>
                </c:pt>
                <c:pt idx="848">
                  <c:v>727688,172</c:v>
                </c:pt>
                <c:pt idx="849">
                  <c:v>728387,0968</c:v>
                </c:pt>
                <c:pt idx="850">
                  <c:v>729086,0215</c:v>
                </c:pt>
                <c:pt idx="851">
                  <c:v>729784,9462</c:v>
                </c:pt>
                <c:pt idx="852">
                  <c:v>730483,871</c:v>
                </c:pt>
                <c:pt idx="853">
                  <c:v>731182,7957</c:v>
                </c:pt>
                <c:pt idx="854">
                  <c:v>731881,7204</c:v>
                </c:pt>
                <c:pt idx="855">
                  <c:v>732580,6452</c:v>
                </c:pt>
                <c:pt idx="856">
                  <c:v>733279,5699</c:v>
                </c:pt>
                <c:pt idx="857">
                  <c:v>733978,4946</c:v>
                </c:pt>
                <c:pt idx="858">
                  <c:v>734677,4194</c:v>
                </c:pt>
                <c:pt idx="859">
                  <c:v>735376,3441</c:v>
                </c:pt>
                <c:pt idx="860">
                  <c:v>736075,2688</c:v>
                </c:pt>
                <c:pt idx="861">
                  <c:v>736774,1935</c:v>
                </c:pt>
                <c:pt idx="862">
                  <c:v>737473,1183</c:v>
                </c:pt>
                <c:pt idx="863">
                  <c:v>738172,043</c:v>
                </c:pt>
                <c:pt idx="864">
                  <c:v>738870,9677</c:v>
                </c:pt>
                <c:pt idx="865">
                  <c:v>739569,8925</c:v>
                </c:pt>
                <c:pt idx="866">
                  <c:v>740268,8172</c:v>
                </c:pt>
                <c:pt idx="867">
                  <c:v>740967,7419</c:v>
                </c:pt>
                <c:pt idx="868">
                  <c:v>741666,6667</c:v>
                </c:pt>
                <c:pt idx="869">
                  <c:v>742365,5914</c:v>
                </c:pt>
                <c:pt idx="870">
                  <c:v>743064,5161</c:v>
                </c:pt>
                <c:pt idx="871">
                  <c:v>743763,4409</c:v>
                </c:pt>
                <c:pt idx="872">
                  <c:v>744462,3656</c:v>
                </c:pt>
                <c:pt idx="873">
                  <c:v>745161,2903</c:v>
                </c:pt>
                <c:pt idx="874">
                  <c:v>745860,2151</c:v>
                </c:pt>
                <c:pt idx="875">
                  <c:v>746559,1398</c:v>
                </c:pt>
                <c:pt idx="876">
                  <c:v>747258,0645</c:v>
                </c:pt>
                <c:pt idx="877">
                  <c:v>747956,9892</c:v>
                </c:pt>
                <c:pt idx="878">
                  <c:v>748655,914</c:v>
                </c:pt>
                <c:pt idx="879">
                  <c:v>749354,8387</c:v>
                </c:pt>
                <c:pt idx="880">
                  <c:v>750053,7634</c:v>
                </c:pt>
                <c:pt idx="881">
                  <c:v>750752,6882</c:v>
                </c:pt>
                <c:pt idx="882">
                  <c:v>751451,6129</c:v>
                </c:pt>
                <c:pt idx="883">
                  <c:v>752150,5376</c:v>
                </c:pt>
                <c:pt idx="884">
                  <c:v>752849,4624</c:v>
                </c:pt>
                <c:pt idx="885">
                  <c:v>753548,3871</c:v>
                </c:pt>
                <c:pt idx="886">
                  <c:v>754247,3118</c:v>
                </c:pt>
                <c:pt idx="887">
                  <c:v>754946,2366</c:v>
                </c:pt>
                <c:pt idx="888">
                  <c:v>755645,1613</c:v>
                </c:pt>
                <c:pt idx="889">
                  <c:v>756344,086</c:v>
                </c:pt>
                <c:pt idx="890">
                  <c:v>757043,0108</c:v>
                </c:pt>
                <c:pt idx="891">
                  <c:v>757741,9355</c:v>
                </c:pt>
                <c:pt idx="892">
                  <c:v>758440,8602</c:v>
                </c:pt>
                <c:pt idx="893">
                  <c:v>759139,7849</c:v>
                </c:pt>
                <c:pt idx="894">
                  <c:v>759838,7097</c:v>
                </c:pt>
                <c:pt idx="895">
                  <c:v>760537,6344</c:v>
                </c:pt>
                <c:pt idx="896">
                  <c:v>761236,5591</c:v>
                </c:pt>
                <c:pt idx="897">
                  <c:v>761935,4839</c:v>
                </c:pt>
                <c:pt idx="898">
                  <c:v>762634,4086</c:v>
                </c:pt>
                <c:pt idx="899">
                  <c:v>763333,3333</c:v>
                </c:pt>
                <c:pt idx="900">
                  <c:v>764032,2581</c:v>
                </c:pt>
                <c:pt idx="901">
                  <c:v>764731,1828</c:v>
                </c:pt>
                <c:pt idx="902">
                  <c:v>765430,1075</c:v>
                </c:pt>
                <c:pt idx="903">
                  <c:v>766129,0323</c:v>
                </c:pt>
                <c:pt idx="904">
                  <c:v>766827,957</c:v>
                </c:pt>
                <c:pt idx="905">
                  <c:v>767526,8817</c:v>
                </c:pt>
                <c:pt idx="906">
                  <c:v>768225,8065</c:v>
                </c:pt>
                <c:pt idx="907">
                  <c:v>768924,7312</c:v>
                </c:pt>
                <c:pt idx="908">
                  <c:v>769623,6559</c:v>
                </c:pt>
                <c:pt idx="909">
                  <c:v>770322,5806</c:v>
                </c:pt>
                <c:pt idx="910">
                  <c:v>771021,5054</c:v>
                </c:pt>
                <c:pt idx="911">
                  <c:v>771720,4301</c:v>
                </c:pt>
                <c:pt idx="912">
                  <c:v>772419,3548</c:v>
                </c:pt>
                <c:pt idx="913">
                  <c:v>773118,2796</c:v>
                </c:pt>
                <c:pt idx="914">
                  <c:v>773817,2043</c:v>
                </c:pt>
                <c:pt idx="915">
                  <c:v>774516,129</c:v>
                </c:pt>
                <c:pt idx="916">
                  <c:v>775215,0538</c:v>
                </c:pt>
                <c:pt idx="917">
                  <c:v>775913,9785</c:v>
                </c:pt>
                <c:pt idx="918">
                  <c:v>776612,9032</c:v>
                </c:pt>
                <c:pt idx="919">
                  <c:v>777311,828</c:v>
                </c:pt>
                <c:pt idx="920">
                  <c:v>778010,7527</c:v>
                </c:pt>
                <c:pt idx="921">
                  <c:v>778709,6774</c:v>
                </c:pt>
                <c:pt idx="922">
                  <c:v>779408,6022</c:v>
                </c:pt>
                <c:pt idx="923">
                  <c:v>780107,5269</c:v>
                </c:pt>
                <c:pt idx="924">
                  <c:v>780806,4516</c:v>
                </c:pt>
                <c:pt idx="925">
                  <c:v>781505,3763</c:v>
                </c:pt>
                <c:pt idx="926">
                  <c:v>782204,3011</c:v>
                </c:pt>
                <c:pt idx="927">
                  <c:v>782903,2258</c:v>
                </c:pt>
                <c:pt idx="928">
                  <c:v>783602,1505</c:v>
                </c:pt>
                <c:pt idx="929">
                  <c:v>784301,0753</c:v>
                </c:pt>
                <c:pt idx="930">
                  <c:v>785000</c:v>
                </c:pt>
                <c:pt idx="931">
                  <c:v>785698,9247</c:v>
                </c:pt>
                <c:pt idx="932">
                  <c:v>786397,8495</c:v>
                </c:pt>
                <c:pt idx="933">
                  <c:v>787096,7742</c:v>
                </c:pt>
                <c:pt idx="934">
                  <c:v>787795,6989</c:v>
                </c:pt>
                <c:pt idx="935">
                  <c:v>788494,6237</c:v>
                </c:pt>
                <c:pt idx="936">
                  <c:v>789193,5484</c:v>
                </c:pt>
                <c:pt idx="937">
                  <c:v>789892,4731</c:v>
                </c:pt>
                <c:pt idx="938">
                  <c:v>790591,3978</c:v>
                </c:pt>
                <c:pt idx="939">
                  <c:v>791290,3226</c:v>
                </c:pt>
                <c:pt idx="940">
                  <c:v>791989,2473</c:v>
                </c:pt>
                <c:pt idx="941">
                  <c:v>792688,172</c:v>
                </c:pt>
                <c:pt idx="942">
                  <c:v>793387,0968</c:v>
                </c:pt>
                <c:pt idx="943">
                  <c:v>794086,0215</c:v>
                </c:pt>
                <c:pt idx="944">
                  <c:v>794784,9462</c:v>
                </c:pt>
                <c:pt idx="945">
                  <c:v>795483,871</c:v>
                </c:pt>
                <c:pt idx="946">
                  <c:v>796182,7957</c:v>
                </c:pt>
                <c:pt idx="947">
                  <c:v>796881,7204</c:v>
                </c:pt>
                <c:pt idx="948">
                  <c:v>797580,6452</c:v>
                </c:pt>
                <c:pt idx="949">
                  <c:v>798279,5699</c:v>
                </c:pt>
                <c:pt idx="950">
                  <c:v>798978,4946</c:v>
                </c:pt>
                <c:pt idx="951">
                  <c:v>799677,4194</c:v>
                </c:pt>
                <c:pt idx="952">
                  <c:v>800376,3441</c:v>
                </c:pt>
                <c:pt idx="953">
                  <c:v>801075,2688</c:v>
                </c:pt>
                <c:pt idx="954">
                  <c:v>801774,1935</c:v>
                </c:pt>
                <c:pt idx="955">
                  <c:v>802473,1183</c:v>
                </c:pt>
                <c:pt idx="956">
                  <c:v>803172,043</c:v>
                </c:pt>
                <c:pt idx="957">
                  <c:v>803870,9677</c:v>
                </c:pt>
                <c:pt idx="958">
                  <c:v>804569,8925</c:v>
                </c:pt>
                <c:pt idx="959">
                  <c:v>805268,8172</c:v>
                </c:pt>
                <c:pt idx="960">
                  <c:v>805967,7419</c:v>
                </c:pt>
                <c:pt idx="961">
                  <c:v>806666,6667</c:v>
                </c:pt>
                <c:pt idx="962">
                  <c:v>807365,5914</c:v>
                </c:pt>
                <c:pt idx="963">
                  <c:v>808064,5161</c:v>
                </c:pt>
                <c:pt idx="964">
                  <c:v>808763,4409</c:v>
                </c:pt>
                <c:pt idx="965">
                  <c:v>809462,3656</c:v>
                </c:pt>
                <c:pt idx="966">
                  <c:v>810161,2903</c:v>
                </c:pt>
                <c:pt idx="967">
                  <c:v>810860,2151</c:v>
                </c:pt>
                <c:pt idx="968">
                  <c:v>811559,1398</c:v>
                </c:pt>
                <c:pt idx="969">
                  <c:v>812258,0645</c:v>
                </c:pt>
                <c:pt idx="970">
                  <c:v>812956,9892</c:v>
                </c:pt>
                <c:pt idx="971">
                  <c:v>813655,914</c:v>
                </c:pt>
                <c:pt idx="972">
                  <c:v>814354,8387</c:v>
                </c:pt>
                <c:pt idx="973">
                  <c:v>815053,7634</c:v>
                </c:pt>
                <c:pt idx="974">
                  <c:v>815752,6882</c:v>
                </c:pt>
                <c:pt idx="975">
                  <c:v>816451,6129</c:v>
                </c:pt>
                <c:pt idx="976">
                  <c:v>817150,5376</c:v>
                </c:pt>
                <c:pt idx="977">
                  <c:v>817849,4624</c:v>
                </c:pt>
                <c:pt idx="978">
                  <c:v>818548,3871</c:v>
                </c:pt>
                <c:pt idx="979">
                  <c:v>819247,3118</c:v>
                </c:pt>
                <c:pt idx="980">
                  <c:v>819946,2366</c:v>
                </c:pt>
                <c:pt idx="981">
                  <c:v>820645,1613</c:v>
                </c:pt>
                <c:pt idx="982">
                  <c:v>821344,086</c:v>
                </c:pt>
                <c:pt idx="983">
                  <c:v>822043,0108</c:v>
                </c:pt>
                <c:pt idx="984">
                  <c:v>822741,9355</c:v>
                </c:pt>
                <c:pt idx="985">
                  <c:v>823440,8602</c:v>
                </c:pt>
                <c:pt idx="986">
                  <c:v>824139,7849</c:v>
                </c:pt>
                <c:pt idx="987">
                  <c:v>824838,7097</c:v>
                </c:pt>
                <c:pt idx="988">
                  <c:v>825537,6344</c:v>
                </c:pt>
                <c:pt idx="989">
                  <c:v>826236,5591</c:v>
                </c:pt>
                <c:pt idx="990">
                  <c:v>826935,4839</c:v>
                </c:pt>
                <c:pt idx="991">
                  <c:v>827634,4086</c:v>
                </c:pt>
                <c:pt idx="992">
                  <c:v>828333,3333</c:v>
                </c:pt>
                <c:pt idx="993">
                  <c:v>829032,2581</c:v>
                </c:pt>
                <c:pt idx="994">
                  <c:v>829731,1828</c:v>
                </c:pt>
                <c:pt idx="995">
                  <c:v>830430,1075</c:v>
                </c:pt>
                <c:pt idx="996">
                  <c:v>831129,0323</c:v>
                </c:pt>
                <c:pt idx="997">
                  <c:v>831827,957</c:v>
                </c:pt>
                <c:pt idx="998">
                  <c:v>832526,8817</c:v>
                </c:pt>
                <c:pt idx="999">
                  <c:v>833225,8065</c:v>
                </c:pt>
                <c:pt idx="1000">
                  <c:v>833924,7312</c:v>
                </c:pt>
                <c:pt idx="1001">
                  <c:v>834623,6559</c:v>
                </c:pt>
                <c:pt idx="1002">
                  <c:v>835322,5806</c:v>
                </c:pt>
                <c:pt idx="1003">
                  <c:v>836021,5054</c:v>
                </c:pt>
                <c:pt idx="1004">
                  <c:v>836720,4301</c:v>
                </c:pt>
                <c:pt idx="1005">
                  <c:v>837419,3548</c:v>
                </c:pt>
                <c:pt idx="1006">
                  <c:v>838118,2796</c:v>
                </c:pt>
                <c:pt idx="1007">
                  <c:v>838817,2043</c:v>
                </c:pt>
                <c:pt idx="1008">
                  <c:v>839516,129</c:v>
                </c:pt>
                <c:pt idx="1009">
                  <c:v>840215,0538</c:v>
                </c:pt>
                <c:pt idx="1010">
                  <c:v>840913,9785</c:v>
                </c:pt>
                <c:pt idx="1011">
                  <c:v>841612,9032</c:v>
                </c:pt>
                <c:pt idx="1012">
                  <c:v>842311,828</c:v>
                </c:pt>
                <c:pt idx="1013">
                  <c:v>843010,7527</c:v>
                </c:pt>
                <c:pt idx="1014">
                  <c:v>843709,6774</c:v>
                </c:pt>
                <c:pt idx="1015">
                  <c:v>844408,6022</c:v>
                </c:pt>
                <c:pt idx="1016">
                  <c:v>845107,5269</c:v>
                </c:pt>
                <c:pt idx="1017">
                  <c:v>845806,4516</c:v>
                </c:pt>
                <c:pt idx="1018">
                  <c:v>846505,3763</c:v>
                </c:pt>
                <c:pt idx="1019">
                  <c:v>847204,3011</c:v>
                </c:pt>
                <c:pt idx="1020">
                  <c:v>847903,2258</c:v>
                </c:pt>
                <c:pt idx="1021">
                  <c:v>848602,1505</c:v>
                </c:pt>
                <c:pt idx="1022">
                  <c:v>849301,0753</c:v>
                </c:pt>
                <c:pt idx="1023">
                  <c:v>More</c:v>
                </c:pt>
              </c:strCache>
            </c:strRef>
          </c:cat>
          <c:val>
            <c:numRef>
              <c:f>'Histogram NG'!$C$2:$C$1025</c:f>
              <c:numCache>
                <c:formatCode>0.00%</c:formatCode>
                <c:ptCount val="1024"/>
                <c:pt idx="0">
                  <c:v>1.9607843137254902E-2</c:v>
                </c:pt>
                <c:pt idx="1">
                  <c:v>1.9607843137254902E-2</c:v>
                </c:pt>
                <c:pt idx="2">
                  <c:v>1.9607843137254902E-2</c:v>
                </c:pt>
                <c:pt idx="3">
                  <c:v>1.9607843137254902E-2</c:v>
                </c:pt>
                <c:pt idx="4">
                  <c:v>1.9607843137254902E-2</c:v>
                </c:pt>
                <c:pt idx="5">
                  <c:v>1.9607843137254902E-2</c:v>
                </c:pt>
                <c:pt idx="6">
                  <c:v>1.9607843137254902E-2</c:v>
                </c:pt>
                <c:pt idx="7">
                  <c:v>1.9607843137254902E-2</c:v>
                </c:pt>
                <c:pt idx="8">
                  <c:v>1.9607843137254902E-2</c:v>
                </c:pt>
                <c:pt idx="9">
                  <c:v>1.9607843137254902E-2</c:v>
                </c:pt>
                <c:pt idx="10">
                  <c:v>1.9607843137254902E-2</c:v>
                </c:pt>
                <c:pt idx="11">
                  <c:v>1.9607843137254902E-2</c:v>
                </c:pt>
                <c:pt idx="12">
                  <c:v>1.9607843137254902E-2</c:v>
                </c:pt>
                <c:pt idx="13">
                  <c:v>1.9607843137254902E-2</c:v>
                </c:pt>
                <c:pt idx="14">
                  <c:v>1.9607843137254902E-2</c:v>
                </c:pt>
                <c:pt idx="15">
                  <c:v>1.9607843137254902E-2</c:v>
                </c:pt>
                <c:pt idx="16">
                  <c:v>1.9607843137254902E-2</c:v>
                </c:pt>
                <c:pt idx="17">
                  <c:v>1.9607843137254902E-2</c:v>
                </c:pt>
                <c:pt idx="18">
                  <c:v>1.9607843137254902E-2</c:v>
                </c:pt>
                <c:pt idx="19">
                  <c:v>1.9607843137254902E-2</c:v>
                </c:pt>
                <c:pt idx="20">
                  <c:v>1.9607843137254902E-2</c:v>
                </c:pt>
                <c:pt idx="21">
                  <c:v>1.9607843137254902E-2</c:v>
                </c:pt>
                <c:pt idx="22">
                  <c:v>1.9607843137254902E-2</c:v>
                </c:pt>
                <c:pt idx="23">
                  <c:v>1.9607843137254902E-2</c:v>
                </c:pt>
                <c:pt idx="24">
                  <c:v>1.9607843137254902E-2</c:v>
                </c:pt>
                <c:pt idx="25">
                  <c:v>1.9607843137254902E-2</c:v>
                </c:pt>
                <c:pt idx="26">
                  <c:v>1.9607843137254902E-2</c:v>
                </c:pt>
                <c:pt idx="27">
                  <c:v>1.9607843137254902E-2</c:v>
                </c:pt>
                <c:pt idx="28">
                  <c:v>1.9607843137254902E-2</c:v>
                </c:pt>
                <c:pt idx="29">
                  <c:v>3.9215686274509803E-2</c:v>
                </c:pt>
                <c:pt idx="30">
                  <c:v>3.9215686274509803E-2</c:v>
                </c:pt>
                <c:pt idx="31">
                  <c:v>3.9215686274509803E-2</c:v>
                </c:pt>
                <c:pt idx="32">
                  <c:v>3.9215686274509803E-2</c:v>
                </c:pt>
                <c:pt idx="33">
                  <c:v>3.9215686274509803E-2</c:v>
                </c:pt>
                <c:pt idx="34">
                  <c:v>3.9215686274509803E-2</c:v>
                </c:pt>
                <c:pt idx="35">
                  <c:v>3.9215686274509803E-2</c:v>
                </c:pt>
                <c:pt idx="36">
                  <c:v>3.9215686274509803E-2</c:v>
                </c:pt>
                <c:pt idx="37">
                  <c:v>3.9215686274509803E-2</c:v>
                </c:pt>
                <c:pt idx="38">
                  <c:v>3.9215686274509803E-2</c:v>
                </c:pt>
                <c:pt idx="39">
                  <c:v>3.9215686274509803E-2</c:v>
                </c:pt>
                <c:pt idx="40">
                  <c:v>3.9215686274509803E-2</c:v>
                </c:pt>
                <c:pt idx="41">
                  <c:v>3.9215686274509803E-2</c:v>
                </c:pt>
                <c:pt idx="42">
                  <c:v>3.9215686274509803E-2</c:v>
                </c:pt>
                <c:pt idx="43">
                  <c:v>3.9215686274509803E-2</c:v>
                </c:pt>
                <c:pt idx="44">
                  <c:v>3.9215686274509803E-2</c:v>
                </c:pt>
                <c:pt idx="45">
                  <c:v>3.9215686274509803E-2</c:v>
                </c:pt>
                <c:pt idx="46">
                  <c:v>3.9215686274509803E-2</c:v>
                </c:pt>
                <c:pt idx="47">
                  <c:v>3.9215686274509803E-2</c:v>
                </c:pt>
                <c:pt idx="48">
                  <c:v>3.9215686274509803E-2</c:v>
                </c:pt>
                <c:pt idx="49">
                  <c:v>3.9215686274509803E-2</c:v>
                </c:pt>
                <c:pt idx="50">
                  <c:v>3.9215686274509803E-2</c:v>
                </c:pt>
                <c:pt idx="51">
                  <c:v>3.9215686274509803E-2</c:v>
                </c:pt>
                <c:pt idx="52">
                  <c:v>3.9215686274509803E-2</c:v>
                </c:pt>
                <c:pt idx="53">
                  <c:v>3.9215686274509803E-2</c:v>
                </c:pt>
                <c:pt idx="54">
                  <c:v>3.9215686274509803E-2</c:v>
                </c:pt>
                <c:pt idx="55">
                  <c:v>3.9215686274509803E-2</c:v>
                </c:pt>
                <c:pt idx="56">
                  <c:v>3.9215686274509803E-2</c:v>
                </c:pt>
                <c:pt idx="57">
                  <c:v>3.9215686274509803E-2</c:v>
                </c:pt>
                <c:pt idx="58">
                  <c:v>7.8431372549019607E-2</c:v>
                </c:pt>
                <c:pt idx="59">
                  <c:v>7.8431372549019607E-2</c:v>
                </c:pt>
                <c:pt idx="60">
                  <c:v>7.8431372549019607E-2</c:v>
                </c:pt>
                <c:pt idx="61">
                  <c:v>7.8431372549019607E-2</c:v>
                </c:pt>
                <c:pt idx="62">
                  <c:v>9.8039215686274508E-2</c:v>
                </c:pt>
                <c:pt idx="63">
                  <c:v>9.8039215686274508E-2</c:v>
                </c:pt>
                <c:pt idx="64">
                  <c:v>9.8039215686274508E-2</c:v>
                </c:pt>
                <c:pt idx="65">
                  <c:v>0.11764705882352941</c:v>
                </c:pt>
                <c:pt idx="66">
                  <c:v>0.11764705882352941</c:v>
                </c:pt>
                <c:pt idx="67">
                  <c:v>0.11764705882352941</c:v>
                </c:pt>
                <c:pt idx="68">
                  <c:v>0.11764705882352941</c:v>
                </c:pt>
                <c:pt idx="69">
                  <c:v>0.11764705882352941</c:v>
                </c:pt>
                <c:pt idx="70">
                  <c:v>0.11764705882352941</c:v>
                </c:pt>
                <c:pt idx="71">
                  <c:v>0.11764705882352941</c:v>
                </c:pt>
                <c:pt idx="72">
                  <c:v>0.13725490196078433</c:v>
                </c:pt>
                <c:pt idx="73">
                  <c:v>0.13725490196078433</c:v>
                </c:pt>
                <c:pt idx="74">
                  <c:v>0.13725490196078433</c:v>
                </c:pt>
                <c:pt idx="75">
                  <c:v>0.13725490196078433</c:v>
                </c:pt>
                <c:pt idx="76">
                  <c:v>0.13725490196078433</c:v>
                </c:pt>
                <c:pt idx="77">
                  <c:v>0.13725490196078433</c:v>
                </c:pt>
                <c:pt idx="78">
                  <c:v>0.13725490196078433</c:v>
                </c:pt>
                <c:pt idx="79">
                  <c:v>0.13725490196078433</c:v>
                </c:pt>
                <c:pt idx="80">
                  <c:v>0.13725490196078433</c:v>
                </c:pt>
                <c:pt idx="81">
                  <c:v>0.13725490196078433</c:v>
                </c:pt>
                <c:pt idx="82">
                  <c:v>0.13725490196078433</c:v>
                </c:pt>
                <c:pt idx="83">
                  <c:v>0.13725490196078433</c:v>
                </c:pt>
                <c:pt idx="84">
                  <c:v>0.13725490196078433</c:v>
                </c:pt>
                <c:pt idx="85">
                  <c:v>0.13725490196078433</c:v>
                </c:pt>
                <c:pt idx="86">
                  <c:v>0.13725490196078433</c:v>
                </c:pt>
                <c:pt idx="87">
                  <c:v>0.13725490196078433</c:v>
                </c:pt>
                <c:pt idx="88">
                  <c:v>0.13725490196078433</c:v>
                </c:pt>
                <c:pt idx="89">
                  <c:v>0.13725490196078433</c:v>
                </c:pt>
                <c:pt idx="90">
                  <c:v>0.13725490196078433</c:v>
                </c:pt>
                <c:pt idx="91">
                  <c:v>0.13725490196078433</c:v>
                </c:pt>
                <c:pt idx="92">
                  <c:v>0.13725490196078433</c:v>
                </c:pt>
                <c:pt idx="93">
                  <c:v>0.15686274509803921</c:v>
                </c:pt>
                <c:pt idx="94">
                  <c:v>0.15686274509803921</c:v>
                </c:pt>
                <c:pt idx="95">
                  <c:v>0.15686274509803921</c:v>
                </c:pt>
                <c:pt idx="96">
                  <c:v>0.15686274509803921</c:v>
                </c:pt>
                <c:pt idx="97">
                  <c:v>0.15686274509803921</c:v>
                </c:pt>
                <c:pt idx="98">
                  <c:v>0.15686274509803921</c:v>
                </c:pt>
                <c:pt idx="99">
                  <c:v>0.15686274509803921</c:v>
                </c:pt>
                <c:pt idx="100">
                  <c:v>0.15686274509803921</c:v>
                </c:pt>
                <c:pt idx="101">
                  <c:v>0.17647058823529413</c:v>
                </c:pt>
                <c:pt idx="102">
                  <c:v>0.17647058823529413</c:v>
                </c:pt>
                <c:pt idx="103">
                  <c:v>0.17647058823529413</c:v>
                </c:pt>
                <c:pt idx="104">
                  <c:v>0.17647058823529413</c:v>
                </c:pt>
                <c:pt idx="105">
                  <c:v>0.17647058823529413</c:v>
                </c:pt>
                <c:pt idx="106">
                  <c:v>0.17647058823529413</c:v>
                </c:pt>
                <c:pt idx="107">
                  <c:v>0.17647058823529413</c:v>
                </c:pt>
                <c:pt idx="108">
                  <c:v>0.17647058823529413</c:v>
                </c:pt>
                <c:pt idx="109">
                  <c:v>0.17647058823529413</c:v>
                </c:pt>
                <c:pt idx="110">
                  <c:v>0.17647058823529413</c:v>
                </c:pt>
                <c:pt idx="111">
                  <c:v>0.17647058823529413</c:v>
                </c:pt>
                <c:pt idx="112">
                  <c:v>0.17647058823529413</c:v>
                </c:pt>
                <c:pt idx="113">
                  <c:v>0.17647058823529413</c:v>
                </c:pt>
                <c:pt idx="114">
                  <c:v>0.17647058823529413</c:v>
                </c:pt>
                <c:pt idx="115">
                  <c:v>0.17647058823529413</c:v>
                </c:pt>
                <c:pt idx="116">
                  <c:v>0.17647058823529413</c:v>
                </c:pt>
                <c:pt idx="117">
                  <c:v>0.17647058823529413</c:v>
                </c:pt>
                <c:pt idx="118">
                  <c:v>0.17647058823529413</c:v>
                </c:pt>
                <c:pt idx="119">
                  <c:v>0.17647058823529413</c:v>
                </c:pt>
                <c:pt idx="120">
                  <c:v>0.17647058823529413</c:v>
                </c:pt>
                <c:pt idx="121">
                  <c:v>0.17647058823529413</c:v>
                </c:pt>
                <c:pt idx="122">
                  <c:v>0.21568627450980393</c:v>
                </c:pt>
                <c:pt idx="123">
                  <c:v>0.21568627450980393</c:v>
                </c:pt>
                <c:pt idx="124">
                  <c:v>0.21568627450980393</c:v>
                </c:pt>
                <c:pt idx="125">
                  <c:v>0.21568627450980393</c:v>
                </c:pt>
                <c:pt idx="126">
                  <c:v>0.21568627450980393</c:v>
                </c:pt>
                <c:pt idx="127">
                  <c:v>0.21568627450980393</c:v>
                </c:pt>
                <c:pt idx="128">
                  <c:v>0.21568627450980393</c:v>
                </c:pt>
                <c:pt idx="129">
                  <c:v>0.23529411764705882</c:v>
                </c:pt>
                <c:pt idx="130">
                  <c:v>0.23529411764705882</c:v>
                </c:pt>
                <c:pt idx="131">
                  <c:v>0.23529411764705882</c:v>
                </c:pt>
                <c:pt idx="132">
                  <c:v>0.23529411764705882</c:v>
                </c:pt>
                <c:pt idx="133">
                  <c:v>0.23529411764705882</c:v>
                </c:pt>
                <c:pt idx="134">
                  <c:v>0.23529411764705882</c:v>
                </c:pt>
                <c:pt idx="135">
                  <c:v>0.23529411764705882</c:v>
                </c:pt>
                <c:pt idx="136">
                  <c:v>0.25490196078431371</c:v>
                </c:pt>
                <c:pt idx="137">
                  <c:v>0.25490196078431371</c:v>
                </c:pt>
                <c:pt idx="138">
                  <c:v>0.25490196078431371</c:v>
                </c:pt>
                <c:pt idx="139">
                  <c:v>0.27450980392156865</c:v>
                </c:pt>
                <c:pt idx="140">
                  <c:v>0.27450980392156865</c:v>
                </c:pt>
                <c:pt idx="141">
                  <c:v>0.27450980392156865</c:v>
                </c:pt>
                <c:pt idx="142">
                  <c:v>0.27450980392156865</c:v>
                </c:pt>
                <c:pt idx="143">
                  <c:v>0.27450980392156865</c:v>
                </c:pt>
                <c:pt idx="144">
                  <c:v>0.31372549019607843</c:v>
                </c:pt>
                <c:pt idx="145">
                  <c:v>0.31372549019607843</c:v>
                </c:pt>
                <c:pt idx="146">
                  <c:v>0.31372549019607843</c:v>
                </c:pt>
                <c:pt idx="147">
                  <c:v>0.31372549019607843</c:v>
                </c:pt>
                <c:pt idx="148">
                  <c:v>0.31372549019607843</c:v>
                </c:pt>
                <c:pt idx="149">
                  <c:v>0.31372549019607843</c:v>
                </c:pt>
                <c:pt idx="150">
                  <c:v>0.31372549019607843</c:v>
                </c:pt>
                <c:pt idx="151">
                  <c:v>0.31372549019607843</c:v>
                </c:pt>
                <c:pt idx="152">
                  <c:v>0.31372549019607843</c:v>
                </c:pt>
                <c:pt idx="153">
                  <c:v>0.31372549019607843</c:v>
                </c:pt>
                <c:pt idx="154">
                  <c:v>0.31372549019607843</c:v>
                </c:pt>
                <c:pt idx="155">
                  <c:v>0.31372549019607843</c:v>
                </c:pt>
                <c:pt idx="156">
                  <c:v>0.31372549019607843</c:v>
                </c:pt>
                <c:pt idx="157">
                  <c:v>0.31372549019607843</c:v>
                </c:pt>
                <c:pt idx="158">
                  <c:v>0.33333333333333331</c:v>
                </c:pt>
                <c:pt idx="159">
                  <c:v>0.33333333333333331</c:v>
                </c:pt>
                <c:pt idx="160">
                  <c:v>0.33333333333333331</c:v>
                </c:pt>
                <c:pt idx="161">
                  <c:v>0.33333333333333331</c:v>
                </c:pt>
                <c:pt idx="162">
                  <c:v>0.33333333333333331</c:v>
                </c:pt>
                <c:pt idx="163">
                  <c:v>0.33333333333333331</c:v>
                </c:pt>
                <c:pt idx="164">
                  <c:v>0.33333333333333331</c:v>
                </c:pt>
                <c:pt idx="165">
                  <c:v>0.35294117647058826</c:v>
                </c:pt>
                <c:pt idx="166">
                  <c:v>0.35294117647058826</c:v>
                </c:pt>
                <c:pt idx="167">
                  <c:v>0.35294117647058826</c:v>
                </c:pt>
                <c:pt idx="168">
                  <c:v>0.35294117647058826</c:v>
                </c:pt>
                <c:pt idx="169">
                  <c:v>0.35294117647058826</c:v>
                </c:pt>
                <c:pt idx="170">
                  <c:v>0.35294117647058826</c:v>
                </c:pt>
                <c:pt idx="171">
                  <c:v>0.35294117647058826</c:v>
                </c:pt>
                <c:pt idx="172">
                  <c:v>0.35294117647058826</c:v>
                </c:pt>
                <c:pt idx="173">
                  <c:v>0.35294117647058826</c:v>
                </c:pt>
                <c:pt idx="174">
                  <c:v>0.35294117647058826</c:v>
                </c:pt>
                <c:pt idx="175">
                  <c:v>0.35294117647058826</c:v>
                </c:pt>
                <c:pt idx="176">
                  <c:v>0.35294117647058826</c:v>
                </c:pt>
                <c:pt idx="177">
                  <c:v>0.35294117647058826</c:v>
                </c:pt>
                <c:pt idx="178">
                  <c:v>0.35294117647058826</c:v>
                </c:pt>
                <c:pt idx="179">
                  <c:v>0.35294117647058826</c:v>
                </c:pt>
                <c:pt idx="180">
                  <c:v>0.35294117647058826</c:v>
                </c:pt>
                <c:pt idx="181">
                  <c:v>0.35294117647058826</c:v>
                </c:pt>
                <c:pt idx="182">
                  <c:v>0.35294117647058826</c:v>
                </c:pt>
                <c:pt idx="183">
                  <c:v>0.35294117647058826</c:v>
                </c:pt>
                <c:pt idx="184">
                  <c:v>0.35294117647058826</c:v>
                </c:pt>
                <c:pt idx="185">
                  <c:v>0.35294117647058826</c:v>
                </c:pt>
                <c:pt idx="186">
                  <c:v>0.35294117647058826</c:v>
                </c:pt>
                <c:pt idx="187">
                  <c:v>0.35294117647058826</c:v>
                </c:pt>
                <c:pt idx="188">
                  <c:v>0.35294117647058826</c:v>
                </c:pt>
                <c:pt idx="189">
                  <c:v>0.35294117647058826</c:v>
                </c:pt>
                <c:pt idx="190">
                  <c:v>0.35294117647058826</c:v>
                </c:pt>
                <c:pt idx="191">
                  <c:v>0.35294117647058826</c:v>
                </c:pt>
                <c:pt idx="192">
                  <c:v>0.35294117647058826</c:v>
                </c:pt>
                <c:pt idx="193">
                  <c:v>0.35294117647058826</c:v>
                </c:pt>
                <c:pt idx="194">
                  <c:v>0.39215686274509803</c:v>
                </c:pt>
                <c:pt idx="195">
                  <c:v>0.39215686274509803</c:v>
                </c:pt>
                <c:pt idx="196">
                  <c:v>0.39215686274509803</c:v>
                </c:pt>
                <c:pt idx="197">
                  <c:v>0.39215686274509803</c:v>
                </c:pt>
                <c:pt idx="198">
                  <c:v>0.39215686274509803</c:v>
                </c:pt>
                <c:pt idx="199">
                  <c:v>0.39215686274509803</c:v>
                </c:pt>
                <c:pt idx="200">
                  <c:v>0.39215686274509803</c:v>
                </c:pt>
                <c:pt idx="201">
                  <c:v>0.41176470588235292</c:v>
                </c:pt>
                <c:pt idx="202">
                  <c:v>0.41176470588235292</c:v>
                </c:pt>
                <c:pt idx="203">
                  <c:v>0.41176470588235292</c:v>
                </c:pt>
                <c:pt idx="204">
                  <c:v>0.41176470588235292</c:v>
                </c:pt>
                <c:pt idx="205">
                  <c:v>0.41176470588235292</c:v>
                </c:pt>
                <c:pt idx="206">
                  <c:v>0.41176470588235292</c:v>
                </c:pt>
                <c:pt idx="207">
                  <c:v>0.41176470588235292</c:v>
                </c:pt>
                <c:pt idx="208">
                  <c:v>0.41176470588235292</c:v>
                </c:pt>
                <c:pt idx="209">
                  <c:v>0.41176470588235292</c:v>
                </c:pt>
                <c:pt idx="210">
                  <c:v>0.41176470588235292</c:v>
                </c:pt>
                <c:pt idx="211">
                  <c:v>0.41176470588235292</c:v>
                </c:pt>
                <c:pt idx="212">
                  <c:v>0.41176470588235292</c:v>
                </c:pt>
                <c:pt idx="213">
                  <c:v>0.41176470588235292</c:v>
                </c:pt>
                <c:pt idx="214">
                  <c:v>0.41176470588235292</c:v>
                </c:pt>
                <c:pt idx="215">
                  <c:v>0.43137254901960786</c:v>
                </c:pt>
                <c:pt idx="216">
                  <c:v>0.43137254901960786</c:v>
                </c:pt>
                <c:pt idx="217">
                  <c:v>0.43137254901960786</c:v>
                </c:pt>
                <c:pt idx="218">
                  <c:v>0.43137254901960786</c:v>
                </c:pt>
                <c:pt idx="219">
                  <c:v>0.45098039215686275</c:v>
                </c:pt>
                <c:pt idx="220">
                  <c:v>0.45098039215686275</c:v>
                </c:pt>
                <c:pt idx="221">
                  <c:v>0.45098039215686275</c:v>
                </c:pt>
                <c:pt idx="222">
                  <c:v>0.45098039215686275</c:v>
                </c:pt>
                <c:pt idx="223">
                  <c:v>0.45098039215686275</c:v>
                </c:pt>
                <c:pt idx="224">
                  <c:v>0.45098039215686275</c:v>
                </c:pt>
                <c:pt idx="225">
                  <c:v>0.45098039215686275</c:v>
                </c:pt>
                <c:pt idx="226">
                  <c:v>0.45098039215686275</c:v>
                </c:pt>
                <c:pt idx="227">
                  <c:v>0.45098039215686275</c:v>
                </c:pt>
                <c:pt idx="228">
                  <c:v>0.45098039215686275</c:v>
                </c:pt>
                <c:pt idx="229">
                  <c:v>0.47058823529411764</c:v>
                </c:pt>
                <c:pt idx="230">
                  <c:v>0.47058823529411764</c:v>
                </c:pt>
                <c:pt idx="231">
                  <c:v>0.47058823529411764</c:v>
                </c:pt>
                <c:pt idx="232">
                  <c:v>0.47058823529411764</c:v>
                </c:pt>
                <c:pt idx="233">
                  <c:v>0.47058823529411764</c:v>
                </c:pt>
                <c:pt idx="234">
                  <c:v>0.47058823529411764</c:v>
                </c:pt>
                <c:pt idx="235">
                  <c:v>0.47058823529411764</c:v>
                </c:pt>
                <c:pt idx="236">
                  <c:v>0.47058823529411764</c:v>
                </c:pt>
                <c:pt idx="237">
                  <c:v>0.49019607843137253</c:v>
                </c:pt>
                <c:pt idx="238">
                  <c:v>0.49019607843137253</c:v>
                </c:pt>
                <c:pt idx="239">
                  <c:v>0.49019607843137253</c:v>
                </c:pt>
                <c:pt idx="240">
                  <c:v>0.49019607843137253</c:v>
                </c:pt>
                <c:pt idx="241">
                  <c:v>0.49019607843137253</c:v>
                </c:pt>
                <c:pt idx="242">
                  <c:v>0.49019607843137253</c:v>
                </c:pt>
                <c:pt idx="243">
                  <c:v>0.49019607843137253</c:v>
                </c:pt>
                <c:pt idx="244">
                  <c:v>0.49019607843137253</c:v>
                </c:pt>
                <c:pt idx="245">
                  <c:v>0.49019607843137253</c:v>
                </c:pt>
                <c:pt idx="246">
                  <c:v>0.49019607843137253</c:v>
                </c:pt>
                <c:pt idx="247">
                  <c:v>0.49019607843137253</c:v>
                </c:pt>
                <c:pt idx="248">
                  <c:v>0.49019607843137253</c:v>
                </c:pt>
                <c:pt idx="249">
                  <c:v>0.49019607843137253</c:v>
                </c:pt>
                <c:pt idx="250">
                  <c:v>0.49019607843137253</c:v>
                </c:pt>
                <c:pt idx="251">
                  <c:v>0.49019607843137253</c:v>
                </c:pt>
                <c:pt idx="252">
                  <c:v>0.49019607843137253</c:v>
                </c:pt>
                <c:pt idx="253">
                  <c:v>0.49019607843137253</c:v>
                </c:pt>
                <c:pt idx="254">
                  <c:v>0.49019607843137253</c:v>
                </c:pt>
                <c:pt idx="255">
                  <c:v>0.49019607843137253</c:v>
                </c:pt>
                <c:pt idx="256">
                  <c:v>0.49019607843137253</c:v>
                </c:pt>
                <c:pt idx="257">
                  <c:v>0.49019607843137253</c:v>
                </c:pt>
                <c:pt idx="258">
                  <c:v>0.49019607843137253</c:v>
                </c:pt>
                <c:pt idx="259">
                  <c:v>0.49019607843137253</c:v>
                </c:pt>
                <c:pt idx="260">
                  <c:v>0.49019607843137253</c:v>
                </c:pt>
                <c:pt idx="261">
                  <c:v>0.49019607843137253</c:v>
                </c:pt>
                <c:pt idx="262">
                  <c:v>0.49019607843137253</c:v>
                </c:pt>
                <c:pt idx="263">
                  <c:v>0.49019607843137253</c:v>
                </c:pt>
                <c:pt idx="264">
                  <c:v>0.50980392156862742</c:v>
                </c:pt>
                <c:pt idx="265">
                  <c:v>0.50980392156862742</c:v>
                </c:pt>
                <c:pt idx="266">
                  <c:v>0.50980392156862742</c:v>
                </c:pt>
                <c:pt idx="267">
                  <c:v>0.50980392156862742</c:v>
                </c:pt>
                <c:pt idx="268">
                  <c:v>0.50980392156862742</c:v>
                </c:pt>
                <c:pt idx="269">
                  <c:v>0.50980392156862742</c:v>
                </c:pt>
                <c:pt idx="270">
                  <c:v>0.50980392156862742</c:v>
                </c:pt>
                <c:pt idx="271">
                  <c:v>0.50980392156862742</c:v>
                </c:pt>
                <c:pt idx="272">
                  <c:v>0.52941176470588236</c:v>
                </c:pt>
                <c:pt idx="273">
                  <c:v>0.52941176470588236</c:v>
                </c:pt>
                <c:pt idx="274">
                  <c:v>0.52941176470588236</c:v>
                </c:pt>
                <c:pt idx="275">
                  <c:v>0.52941176470588236</c:v>
                </c:pt>
                <c:pt idx="276">
                  <c:v>0.52941176470588236</c:v>
                </c:pt>
                <c:pt idx="277">
                  <c:v>0.52941176470588236</c:v>
                </c:pt>
                <c:pt idx="278">
                  <c:v>0.52941176470588236</c:v>
                </c:pt>
                <c:pt idx="279">
                  <c:v>0.5490196078431373</c:v>
                </c:pt>
                <c:pt idx="280">
                  <c:v>0.5490196078431373</c:v>
                </c:pt>
                <c:pt idx="281">
                  <c:v>0.5490196078431373</c:v>
                </c:pt>
                <c:pt idx="282">
                  <c:v>0.5490196078431373</c:v>
                </c:pt>
                <c:pt idx="283">
                  <c:v>0.5490196078431373</c:v>
                </c:pt>
                <c:pt idx="284">
                  <c:v>0.5490196078431373</c:v>
                </c:pt>
                <c:pt idx="285">
                  <c:v>0.5490196078431373</c:v>
                </c:pt>
                <c:pt idx="286">
                  <c:v>0.5490196078431373</c:v>
                </c:pt>
                <c:pt idx="287">
                  <c:v>0.5490196078431373</c:v>
                </c:pt>
                <c:pt idx="288">
                  <c:v>0.5490196078431373</c:v>
                </c:pt>
                <c:pt idx="289">
                  <c:v>0.5490196078431373</c:v>
                </c:pt>
                <c:pt idx="290">
                  <c:v>0.5490196078431373</c:v>
                </c:pt>
                <c:pt idx="291">
                  <c:v>0.5490196078431373</c:v>
                </c:pt>
                <c:pt idx="292">
                  <c:v>0.5490196078431373</c:v>
                </c:pt>
                <c:pt idx="293">
                  <c:v>0.5490196078431373</c:v>
                </c:pt>
                <c:pt idx="294">
                  <c:v>0.5490196078431373</c:v>
                </c:pt>
                <c:pt idx="295">
                  <c:v>0.5490196078431373</c:v>
                </c:pt>
                <c:pt idx="296">
                  <c:v>0.5490196078431373</c:v>
                </c:pt>
                <c:pt idx="297">
                  <c:v>0.5490196078431373</c:v>
                </c:pt>
                <c:pt idx="298">
                  <c:v>0.56862745098039214</c:v>
                </c:pt>
                <c:pt idx="299">
                  <c:v>0.56862745098039214</c:v>
                </c:pt>
                <c:pt idx="300">
                  <c:v>0.56862745098039214</c:v>
                </c:pt>
                <c:pt idx="301">
                  <c:v>0.56862745098039214</c:v>
                </c:pt>
                <c:pt idx="302">
                  <c:v>0.56862745098039214</c:v>
                </c:pt>
                <c:pt idx="303">
                  <c:v>0.56862745098039214</c:v>
                </c:pt>
                <c:pt idx="304">
                  <c:v>0.56862745098039214</c:v>
                </c:pt>
                <c:pt idx="305">
                  <c:v>0.56862745098039214</c:v>
                </c:pt>
                <c:pt idx="306">
                  <c:v>0.56862745098039214</c:v>
                </c:pt>
                <c:pt idx="307">
                  <c:v>0.56862745098039214</c:v>
                </c:pt>
                <c:pt idx="308">
                  <c:v>0.60784313725490191</c:v>
                </c:pt>
                <c:pt idx="309">
                  <c:v>0.60784313725490191</c:v>
                </c:pt>
                <c:pt idx="310">
                  <c:v>0.60784313725490191</c:v>
                </c:pt>
                <c:pt idx="311">
                  <c:v>0.60784313725490191</c:v>
                </c:pt>
                <c:pt idx="312">
                  <c:v>0.60784313725490191</c:v>
                </c:pt>
                <c:pt idx="313">
                  <c:v>0.60784313725490191</c:v>
                </c:pt>
                <c:pt idx="314">
                  <c:v>0.60784313725490191</c:v>
                </c:pt>
                <c:pt idx="315">
                  <c:v>0.60784313725490191</c:v>
                </c:pt>
                <c:pt idx="316">
                  <c:v>0.60784313725490191</c:v>
                </c:pt>
                <c:pt idx="317">
                  <c:v>0.60784313725490191</c:v>
                </c:pt>
                <c:pt idx="318">
                  <c:v>0.60784313725490191</c:v>
                </c:pt>
                <c:pt idx="319">
                  <c:v>0.60784313725490191</c:v>
                </c:pt>
                <c:pt idx="320">
                  <c:v>0.60784313725490191</c:v>
                </c:pt>
                <c:pt idx="321">
                  <c:v>0.60784313725490191</c:v>
                </c:pt>
                <c:pt idx="322">
                  <c:v>0.60784313725490191</c:v>
                </c:pt>
                <c:pt idx="323">
                  <c:v>0.60784313725490191</c:v>
                </c:pt>
                <c:pt idx="324">
                  <c:v>0.60784313725490191</c:v>
                </c:pt>
                <c:pt idx="325">
                  <c:v>0.60784313725490191</c:v>
                </c:pt>
                <c:pt idx="326">
                  <c:v>0.60784313725490191</c:v>
                </c:pt>
                <c:pt idx="327">
                  <c:v>0.60784313725490191</c:v>
                </c:pt>
                <c:pt idx="328">
                  <c:v>0.60784313725490191</c:v>
                </c:pt>
                <c:pt idx="329">
                  <c:v>0.60784313725490191</c:v>
                </c:pt>
                <c:pt idx="330">
                  <c:v>0.60784313725490191</c:v>
                </c:pt>
                <c:pt idx="331">
                  <c:v>0.60784313725490191</c:v>
                </c:pt>
                <c:pt idx="332">
                  <c:v>0.60784313725490191</c:v>
                </c:pt>
                <c:pt idx="333">
                  <c:v>0.60784313725490191</c:v>
                </c:pt>
                <c:pt idx="334">
                  <c:v>0.60784313725490191</c:v>
                </c:pt>
                <c:pt idx="335">
                  <c:v>0.60784313725490191</c:v>
                </c:pt>
                <c:pt idx="336">
                  <c:v>0.60784313725490191</c:v>
                </c:pt>
                <c:pt idx="337">
                  <c:v>0.62745098039215685</c:v>
                </c:pt>
                <c:pt idx="338">
                  <c:v>0.62745098039215685</c:v>
                </c:pt>
                <c:pt idx="339">
                  <c:v>0.62745098039215685</c:v>
                </c:pt>
                <c:pt idx="340">
                  <c:v>0.62745098039215685</c:v>
                </c:pt>
                <c:pt idx="341">
                  <c:v>0.62745098039215685</c:v>
                </c:pt>
                <c:pt idx="342">
                  <c:v>0.62745098039215685</c:v>
                </c:pt>
                <c:pt idx="343">
                  <c:v>0.62745098039215685</c:v>
                </c:pt>
                <c:pt idx="344">
                  <c:v>0.68627450980392157</c:v>
                </c:pt>
                <c:pt idx="345">
                  <c:v>0.68627450980392157</c:v>
                </c:pt>
                <c:pt idx="346">
                  <c:v>0.68627450980392157</c:v>
                </c:pt>
                <c:pt idx="347">
                  <c:v>0.68627450980392157</c:v>
                </c:pt>
                <c:pt idx="348">
                  <c:v>0.68627450980392157</c:v>
                </c:pt>
                <c:pt idx="349">
                  <c:v>0.68627450980392157</c:v>
                </c:pt>
                <c:pt idx="350">
                  <c:v>0.68627450980392157</c:v>
                </c:pt>
                <c:pt idx="351">
                  <c:v>0.68627450980392157</c:v>
                </c:pt>
                <c:pt idx="352">
                  <c:v>0.68627450980392157</c:v>
                </c:pt>
                <c:pt idx="353">
                  <c:v>0.68627450980392157</c:v>
                </c:pt>
                <c:pt idx="354">
                  <c:v>0.68627450980392157</c:v>
                </c:pt>
                <c:pt idx="355">
                  <c:v>0.68627450980392157</c:v>
                </c:pt>
                <c:pt idx="356">
                  <c:v>0.68627450980392157</c:v>
                </c:pt>
                <c:pt idx="357">
                  <c:v>0.68627450980392157</c:v>
                </c:pt>
                <c:pt idx="358">
                  <c:v>0.68627450980392157</c:v>
                </c:pt>
                <c:pt idx="359">
                  <c:v>0.68627450980392157</c:v>
                </c:pt>
                <c:pt idx="360">
                  <c:v>0.68627450980392157</c:v>
                </c:pt>
                <c:pt idx="361">
                  <c:v>0.68627450980392157</c:v>
                </c:pt>
                <c:pt idx="362">
                  <c:v>0.68627450980392157</c:v>
                </c:pt>
                <c:pt idx="363">
                  <c:v>0.68627450980392157</c:v>
                </c:pt>
                <c:pt idx="364">
                  <c:v>0.68627450980392157</c:v>
                </c:pt>
                <c:pt idx="365">
                  <c:v>0.68627450980392157</c:v>
                </c:pt>
                <c:pt idx="366">
                  <c:v>0.68627450980392157</c:v>
                </c:pt>
                <c:pt idx="367">
                  <c:v>0.68627450980392157</c:v>
                </c:pt>
                <c:pt idx="368">
                  <c:v>0.70588235294117652</c:v>
                </c:pt>
                <c:pt idx="369">
                  <c:v>0.70588235294117652</c:v>
                </c:pt>
                <c:pt idx="370">
                  <c:v>0.70588235294117652</c:v>
                </c:pt>
                <c:pt idx="371">
                  <c:v>0.70588235294117652</c:v>
                </c:pt>
                <c:pt idx="372">
                  <c:v>0.70588235294117652</c:v>
                </c:pt>
                <c:pt idx="373">
                  <c:v>0.70588235294117652</c:v>
                </c:pt>
                <c:pt idx="374">
                  <c:v>0.70588235294117652</c:v>
                </c:pt>
                <c:pt idx="375">
                  <c:v>0.70588235294117652</c:v>
                </c:pt>
                <c:pt idx="376">
                  <c:v>0.70588235294117652</c:v>
                </c:pt>
                <c:pt idx="377">
                  <c:v>0.70588235294117652</c:v>
                </c:pt>
                <c:pt idx="378">
                  <c:v>0.70588235294117652</c:v>
                </c:pt>
                <c:pt idx="379">
                  <c:v>0.70588235294117652</c:v>
                </c:pt>
                <c:pt idx="380">
                  <c:v>0.72549019607843135</c:v>
                </c:pt>
                <c:pt idx="381">
                  <c:v>0.72549019607843135</c:v>
                </c:pt>
                <c:pt idx="382">
                  <c:v>0.72549019607843135</c:v>
                </c:pt>
                <c:pt idx="383">
                  <c:v>0.72549019607843135</c:v>
                </c:pt>
                <c:pt idx="384">
                  <c:v>0.72549019607843135</c:v>
                </c:pt>
                <c:pt idx="385">
                  <c:v>0.72549019607843135</c:v>
                </c:pt>
                <c:pt idx="386">
                  <c:v>0.72549019607843135</c:v>
                </c:pt>
                <c:pt idx="387">
                  <c:v>0.72549019607843135</c:v>
                </c:pt>
                <c:pt idx="388">
                  <c:v>0.72549019607843135</c:v>
                </c:pt>
                <c:pt idx="389">
                  <c:v>0.72549019607843135</c:v>
                </c:pt>
                <c:pt idx="390">
                  <c:v>0.72549019607843135</c:v>
                </c:pt>
                <c:pt idx="391">
                  <c:v>0.72549019607843135</c:v>
                </c:pt>
                <c:pt idx="392">
                  <c:v>0.72549019607843135</c:v>
                </c:pt>
                <c:pt idx="393">
                  <c:v>0.72549019607843135</c:v>
                </c:pt>
                <c:pt idx="394">
                  <c:v>0.72549019607843135</c:v>
                </c:pt>
                <c:pt idx="395">
                  <c:v>0.72549019607843135</c:v>
                </c:pt>
                <c:pt idx="396">
                  <c:v>0.72549019607843135</c:v>
                </c:pt>
                <c:pt idx="397">
                  <c:v>0.72549019607843135</c:v>
                </c:pt>
                <c:pt idx="398">
                  <c:v>0.72549019607843135</c:v>
                </c:pt>
                <c:pt idx="399">
                  <c:v>0.72549019607843135</c:v>
                </c:pt>
                <c:pt idx="400">
                  <c:v>0.72549019607843135</c:v>
                </c:pt>
                <c:pt idx="401">
                  <c:v>0.72549019607843135</c:v>
                </c:pt>
                <c:pt idx="402">
                  <c:v>0.72549019607843135</c:v>
                </c:pt>
                <c:pt idx="403">
                  <c:v>0.72549019607843135</c:v>
                </c:pt>
                <c:pt idx="404">
                  <c:v>0.72549019607843135</c:v>
                </c:pt>
                <c:pt idx="405">
                  <c:v>0.72549019607843135</c:v>
                </c:pt>
                <c:pt idx="406">
                  <c:v>0.72549019607843135</c:v>
                </c:pt>
                <c:pt idx="407">
                  <c:v>0.72549019607843135</c:v>
                </c:pt>
                <c:pt idx="408">
                  <c:v>0.72549019607843135</c:v>
                </c:pt>
                <c:pt idx="409">
                  <c:v>0.72549019607843135</c:v>
                </c:pt>
                <c:pt idx="410">
                  <c:v>0.72549019607843135</c:v>
                </c:pt>
                <c:pt idx="411">
                  <c:v>0.72549019607843135</c:v>
                </c:pt>
                <c:pt idx="412">
                  <c:v>0.72549019607843135</c:v>
                </c:pt>
                <c:pt idx="413">
                  <c:v>0.72549019607843135</c:v>
                </c:pt>
                <c:pt idx="414">
                  <c:v>0.72549019607843135</c:v>
                </c:pt>
                <c:pt idx="415">
                  <c:v>0.74509803921568629</c:v>
                </c:pt>
                <c:pt idx="416">
                  <c:v>0.74509803921568629</c:v>
                </c:pt>
                <c:pt idx="417">
                  <c:v>0.74509803921568629</c:v>
                </c:pt>
                <c:pt idx="418">
                  <c:v>0.74509803921568629</c:v>
                </c:pt>
                <c:pt idx="419">
                  <c:v>0.74509803921568629</c:v>
                </c:pt>
                <c:pt idx="420">
                  <c:v>0.74509803921568629</c:v>
                </c:pt>
                <c:pt idx="421">
                  <c:v>0.74509803921568629</c:v>
                </c:pt>
                <c:pt idx="422">
                  <c:v>0.74509803921568629</c:v>
                </c:pt>
                <c:pt idx="423">
                  <c:v>0.74509803921568629</c:v>
                </c:pt>
                <c:pt idx="424">
                  <c:v>0.74509803921568629</c:v>
                </c:pt>
                <c:pt idx="425">
                  <c:v>0.74509803921568629</c:v>
                </c:pt>
                <c:pt idx="426">
                  <c:v>0.74509803921568629</c:v>
                </c:pt>
                <c:pt idx="427">
                  <c:v>0.74509803921568629</c:v>
                </c:pt>
                <c:pt idx="428">
                  <c:v>0.74509803921568629</c:v>
                </c:pt>
                <c:pt idx="429">
                  <c:v>0.74509803921568629</c:v>
                </c:pt>
                <c:pt idx="430">
                  <c:v>0.74509803921568629</c:v>
                </c:pt>
                <c:pt idx="431">
                  <c:v>0.74509803921568629</c:v>
                </c:pt>
                <c:pt idx="432">
                  <c:v>0.74509803921568629</c:v>
                </c:pt>
                <c:pt idx="433">
                  <c:v>0.74509803921568629</c:v>
                </c:pt>
                <c:pt idx="434">
                  <c:v>0.74509803921568629</c:v>
                </c:pt>
                <c:pt idx="435">
                  <c:v>0.74509803921568629</c:v>
                </c:pt>
                <c:pt idx="436">
                  <c:v>0.74509803921568629</c:v>
                </c:pt>
                <c:pt idx="437">
                  <c:v>0.74509803921568629</c:v>
                </c:pt>
                <c:pt idx="438">
                  <c:v>0.74509803921568629</c:v>
                </c:pt>
                <c:pt idx="439">
                  <c:v>0.74509803921568629</c:v>
                </c:pt>
                <c:pt idx="440">
                  <c:v>0.74509803921568629</c:v>
                </c:pt>
                <c:pt idx="441">
                  <c:v>0.74509803921568629</c:v>
                </c:pt>
                <c:pt idx="442">
                  <c:v>0.74509803921568629</c:v>
                </c:pt>
                <c:pt idx="443">
                  <c:v>0.74509803921568629</c:v>
                </c:pt>
                <c:pt idx="444">
                  <c:v>0.74509803921568629</c:v>
                </c:pt>
                <c:pt idx="445">
                  <c:v>0.74509803921568629</c:v>
                </c:pt>
                <c:pt idx="446">
                  <c:v>0.74509803921568629</c:v>
                </c:pt>
                <c:pt idx="447">
                  <c:v>0.74509803921568629</c:v>
                </c:pt>
                <c:pt idx="448">
                  <c:v>0.74509803921568629</c:v>
                </c:pt>
                <c:pt idx="449">
                  <c:v>0.74509803921568629</c:v>
                </c:pt>
                <c:pt idx="450">
                  <c:v>0.76470588235294112</c:v>
                </c:pt>
                <c:pt idx="451">
                  <c:v>0.82352941176470584</c:v>
                </c:pt>
                <c:pt idx="452">
                  <c:v>0.82352941176470584</c:v>
                </c:pt>
                <c:pt idx="453">
                  <c:v>0.82352941176470584</c:v>
                </c:pt>
                <c:pt idx="454">
                  <c:v>0.82352941176470584</c:v>
                </c:pt>
                <c:pt idx="455">
                  <c:v>0.82352941176470584</c:v>
                </c:pt>
                <c:pt idx="456">
                  <c:v>0.82352941176470584</c:v>
                </c:pt>
                <c:pt idx="457">
                  <c:v>0.82352941176470584</c:v>
                </c:pt>
                <c:pt idx="458">
                  <c:v>0.82352941176470584</c:v>
                </c:pt>
                <c:pt idx="459">
                  <c:v>0.82352941176470584</c:v>
                </c:pt>
                <c:pt idx="460">
                  <c:v>0.82352941176470584</c:v>
                </c:pt>
                <c:pt idx="461">
                  <c:v>0.82352941176470584</c:v>
                </c:pt>
                <c:pt idx="462">
                  <c:v>0.82352941176470584</c:v>
                </c:pt>
                <c:pt idx="463">
                  <c:v>0.82352941176470584</c:v>
                </c:pt>
                <c:pt idx="464">
                  <c:v>0.82352941176470584</c:v>
                </c:pt>
                <c:pt idx="465">
                  <c:v>0.82352941176470584</c:v>
                </c:pt>
                <c:pt idx="466">
                  <c:v>0.82352941176470584</c:v>
                </c:pt>
                <c:pt idx="467">
                  <c:v>0.82352941176470584</c:v>
                </c:pt>
                <c:pt idx="468">
                  <c:v>0.82352941176470584</c:v>
                </c:pt>
                <c:pt idx="469">
                  <c:v>0.82352941176470584</c:v>
                </c:pt>
                <c:pt idx="470">
                  <c:v>0.82352941176470584</c:v>
                </c:pt>
                <c:pt idx="471">
                  <c:v>0.82352941176470584</c:v>
                </c:pt>
                <c:pt idx="472">
                  <c:v>0.82352941176470584</c:v>
                </c:pt>
                <c:pt idx="473">
                  <c:v>0.84313725490196079</c:v>
                </c:pt>
                <c:pt idx="474">
                  <c:v>0.84313725490196079</c:v>
                </c:pt>
                <c:pt idx="475">
                  <c:v>0.84313725490196079</c:v>
                </c:pt>
                <c:pt idx="476">
                  <c:v>0.84313725490196079</c:v>
                </c:pt>
                <c:pt idx="477">
                  <c:v>0.84313725490196079</c:v>
                </c:pt>
                <c:pt idx="478">
                  <c:v>0.84313725490196079</c:v>
                </c:pt>
                <c:pt idx="479">
                  <c:v>0.84313725490196079</c:v>
                </c:pt>
                <c:pt idx="480">
                  <c:v>0.84313725490196079</c:v>
                </c:pt>
                <c:pt idx="481">
                  <c:v>0.84313725490196079</c:v>
                </c:pt>
                <c:pt idx="482">
                  <c:v>0.84313725490196079</c:v>
                </c:pt>
                <c:pt idx="483">
                  <c:v>0.84313725490196079</c:v>
                </c:pt>
                <c:pt idx="484">
                  <c:v>0.84313725490196079</c:v>
                </c:pt>
                <c:pt idx="485">
                  <c:v>0.84313725490196079</c:v>
                </c:pt>
                <c:pt idx="486">
                  <c:v>0.84313725490196079</c:v>
                </c:pt>
                <c:pt idx="487">
                  <c:v>0.86274509803921573</c:v>
                </c:pt>
                <c:pt idx="488">
                  <c:v>0.86274509803921573</c:v>
                </c:pt>
                <c:pt idx="489">
                  <c:v>0.86274509803921573</c:v>
                </c:pt>
                <c:pt idx="490">
                  <c:v>0.86274509803921573</c:v>
                </c:pt>
                <c:pt idx="491">
                  <c:v>0.86274509803921573</c:v>
                </c:pt>
                <c:pt idx="492">
                  <c:v>0.86274509803921573</c:v>
                </c:pt>
                <c:pt idx="493">
                  <c:v>0.86274509803921573</c:v>
                </c:pt>
                <c:pt idx="494">
                  <c:v>0.86274509803921573</c:v>
                </c:pt>
                <c:pt idx="495">
                  <c:v>0.86274509803921573</c:v>
                </c:pt>
                <c:pt idx="496">
                  <c:v>0.86274509803921573</c:v>
                </c:pt>
                <c:pt idx="497">
                  <c:v>0.86274509803921573</c:v>
                </c:pt>
                <c:pt idx="498">
                  <c:v>0.86274509803921573</c:v>
                </c:pt>
                <c:pt idx="499">
                  <c:v>0.86274509803921573</c:v>
                </c:pt>
                <c:pt idx="500">
                  <c:v>0.86274509803921573</c:v>
                </c:pt>
                <c:pt idx="501">
                  <c:v>0.86274509803921573</c:v>
                </c:pt>
                <c:pt idx="502">
                  <c:v>0.86274509803921573</c:v>
                </c:pt>
                <c:pt idx="503">
                  <c:v>0.86274509803921573</c:v>
                </c:pt>
                <c:pt idx="504">
                  <c:v>0.86274509803921573</c:v>
                </c:pt>
                <c:pt idx="505">
                  <c:v>0.86274509803921573</c:v>
                </c:pt>
                <c:pt idx="506">
                  <c:v>0.86274509803921573</c:v>
                </c:pt>
                <c:pt idx="507">
                  <c:v>0.86274509803921573</c:v>
                </c:pt>
                <c:pt idx="508">
                  <c:v>0.86274509803921573</c:v>
                </c:pt>
                <c:pt idx="509">
                  <c:v>0.86274509803921573</c:v>
                </c:pt>
                <c:pt idx="510">
                  <c:v>0.86274509803921573</c:v>
                </c:pt>
                <c:pt idx="511">
                  <c:v>0.86274509803921573</c:v>
                </c:pt>
                <c:pt idx="512">
                  <c:v>0.86274509803921573</c:v>
                </c:pt>
                <c:pt idx="513">
                  <c:v>0.86274509803921573</c:v>
                </c:pt>
                <c:pt idx="514">
                  <c:v>0.86274509803921573</c:v>
                </c:pt>
                <c:pt idx="515">
                  <c:v>0.86274509803921573</c:v>
                </c:pt>
                <c:pt idx="516">
                  <c:v>0.88235294117647056</c:v>
                </c:pt>
                <c:pt idx="517">
                  <c:v>0.88235294117647056</c:v>
                </c:pt>
                <c:pt idx="518">
                  <c:v>0.88235294117647056</c:v>
                </c:pt>
                <c:pt idx="519">
                  <c:v>0.88235294117647056</c:v>
                </c:pt>
                <c:pt idx="520">
                  <c:v>0.88235294117647056</c:v>
                </c:pt>
                <c:pt idx="521">
                  <c:v>0.88235294117647056</c:v>
                </c:pt>
                <c:pt idx="522">
                  <c:v>0.88235294117647056</c:v>
                </c:pt>
                <c:pt idx="523">
                  <c:v>0.88235294117647056</c:v>
                </c:pt>
                <c:pt idx="524">
                  <c:v>0.88235294117647056</c:v>
                </c:pt>
                <c:pt idx="525">
                  <c:v>0.88235294117647056</c:v>
                </c:pt>
                <c:pt idx="526">
                  <c:v>0.88235294117647056</c:v>
                </c:pt>
                <c:pt idx="527">
                  <c:v>0.88235294117647056</c:v>
                </c:pt>
                <c:pt idx="528">
                  <c:v>0.88235294117647056</c:v>
                </c:pt>
                <c:pt idx="529">
                  <c:v>0.88235294117647056</c:v>
                </c:pt>
                <c:pt idx="530">
                  <c:v>0.88235294117647056</c:v>
                </c:pt>
                <c:pt idx="531">
                  <c:v>0.88235294117647056</c:v>
                </c:pt>
                <c:pt idx="532">
                  <c:v>0.88235294117647056</c:v>
                </c:pt>
                <c:pt idx="533">
                  <c:v>0.88235294117647056</c:v>
                </c:pt>
                <c:pt idx="534">
                  <c:v>0.88235294117647056</c:v>
                </c:pt>
                <c:pt idx="535">
                  <c:v>0.88235294117647056</c:v>
                </c:pt>
                <c:pt idx="536">
                  <c:v>0.88235294117647056</c:v>
                </c:pt>
                <c:pt idx="537">
                  <c:v>0.88235294117647056</c:v>
                </c:pt>
                <c:pt idx="538">
                  <c:v>0.88235294117647056</c:v>
                </c:pt>
                <c:pt idx="539">
                  <c:v>0.88235294117647056</c:v>
                </c:pt>
                <c:pt idx="540">
                  <c:v>0.88235294117647056</c:v>
                </c:pt>
                <c:pt idx="541">
                  <c:v>0.88235294117647056</c:v>
                </c:pt>
                <c:pt idx="542">
                  <c:v>0.88235294117647056</c:v>
                </c:pt>
                <c:pt idx="543">
                  <c:v>0.88235294117647056</c:v>
                </c:pt>
                <c:pt idx="544">
                  <c:v>0.88235294117647056</c:v>
                </c:pt>
                <c:pt idx="545">
                  <c:v>0.88235294117647056</c:v>
                </c:pt>
                <c:pt idx="546">
                  <c:v>0.88235294117647056</c:v>
                </c:pt>
                <c:pt idx="547">
                  <c:v>0.88235294117647056</c:v>
                </c:pt>
                <c:pt idx="548">
                  <c:v>0.88235294117647056</c:v>
                </c:pt>
                <c:pt idx="549">
                  <c:v>0.88235294117647056</c:v>
                </c:pt>
                <c:pt idx="550">
                  <c:v>0.88235294117647056</c:v>
                </c:pt>
                <c:pt idx="551">
                  <c:v>0.88235294117647056</c:v>
                </c:pt>
                <c:pt idx="552">
                  <c:v>0.88235294117647056</c:v>
                </c:pt>
                <c:pt idx="553">
                  <c:v>0.88235294117647056</c:v>
                </c:pt>
                <c:pt idx="554">
                  <c:v>0.88235294117647056</c:v>
                </c:pt>
                <c:pt idx="555">
                  <c:v>0.88235294117647056</c:v>
                </c:pt>
                <c:pt idx="556">
                  <c:v>0.88235294117647056</c:v>
                </c:pt>
                <c:pt idx="557">
                  <c:v>0.88235294117647056</c:v>
                </c:pt>
                <c:pt idx="558">
                  <c:v>0.90196078431372551</c:v>
                </c:pt>
                <c:pt idx="559">
                  <c:v>0.90196078431372551</c:v>
                </c:pt>
                <c:pt idx="560">
                  <c:v>0.90196078431372551</c:v>
                </c:pt>
                <c:pt idx="561">
                  <c:v>0.90196078431372551</c:v>
                </c:pt>
                <c:pt idx="562">
                  <c:v>0.90196078431372551</c:v>
                </c:pt>
                <c:pt idx="563">
                  <c:v>0.90196078431372551</c:v>
                </c:pt>
                <c:pt idx="564">
                  <c:v>0.90196078431372551</c:v>
                </c:pt>
                <c:pt idx="565">
                  <c:v>0.90196078431372551</c:v>
                </c:pt>
                <c:pt idx="566">
                  <c:v>0.90196078431372551</c:v>
                </c:pt>
                <c:pt idx="567">
                  <c:v>0.90196078431372551</c:v>
                </c:pt>
                <c:pt idx="568">
                  <c:v>0.90196078431372551</c:v>
                </c:pt>
                <c:pt idx="569">
                  <c:v>0.90196078431372551</c:v>
                </c:pt>
                <c:pt idx="570">
                  <c:v>0.90196078431372551</c:v>
                </c:pt>
                <c:pt idx="571">
                  <c:v>0.90196078431372551</c:v>
                </c:pt>
                <c:pt idx="572">
                  <c:v>0.90196078431372551</c:v>
                </c:pt>
                <c:pt idx="573">
                  <c:v>0.90196078431372551</c:v>
                </c:pt>
                <c:pt idx="574">
                  <c:v>0.90196078431372551</c:v>
                </c:pt>
                <c:pt idx="575">
                  <c:v>0.90196078431372551</c:v>
                </c:pt>
                <c:pt idx="576">
                  <c:v>0.90196078431372551</c:v>
                </c:pt>
                <c:pt idx="577">
                  <c:v>0.90196078431372551</c:v>
                </c:pt>
                <c:pt idx="578">
                  <c:v>0.90196078431372551</c:v>
                </c:pt>
                <c:pt idx="579">
                  <c:v>0.90196078431372551</c:v>
                </c:pt>
                <c:pt idx="580">
                  <c:v>0.90196078431372551</c:v>
                </c:pt>
                <c:pt idx="581">
                  <c:v>0.90196078431372551</c:v>
                </c:pt>
                <c:pt idx="582">
                  <c:v>0.90196078431372551</c:v>
                </c:pt>
                <c:pt idx="583">
                  <c:v>0.90196078431372551</c:v>
                </c:pt>
                <c:pt idx="584">
                  <c:v>0.90196078431372551</c:v>
                </c:pt>
                <c:pt idx="585">
                  <c:v>0.90196078431372551</c:v>
                </c:pt>
                <c:pt idx="586">
                  <c:v>0.90196078431372551</c:v>
                </c:pt>
                <c:pt idx="587">
                  <c:v>0.92156862745098034</c:v>
                </c:pt>
                <c:pt idx="588">
                  <c:v>0.92156862745098034</c:v>
                </c:pt>
                <c:pt idx="589">
                  <c:v>0.92156862745098034</c:v>
                </c:pt>
                <c:pt idx="590">
                  <c:v>0.92156862745098034</c:v>
                </c:pt>
                <c:pt idx="591">
                  <c:v>0.92156862745098034</c:v>
                </c:pt>
                <c:pt idx="592">
                  <c:v>0.92156862745098034</c:v>
                </c:pt>
                <c:pt idx="593">
                  <c:v>0.92156862745098034</c:v>
                </c:pt>
                <c:pt idx="594">
                  <c:v>0.92156862745098034</c:v>
                </c:pt>
                <c:pt idx="595">
                  <c:v>0.92156862745098034</c:v>
                </c:pt>
                <c:pt idx="596">
                  <c:v>0.92156862745098034</c:v>
                </c:pt>
                <c:pt idx="597">
                  <c:v>0.92156862745098034</c:v>
                </c:pt>
                <c:pt idx="598">
                  <c:v>0.92156862745098034</c:v>
                </c:pt>
                <c:pt idx="599">
                  <c:v>0.92156862745098034</c:v>
                </c:pt>
                <c:pt idx="600">
                  <c:v>0.92156862745098034</c:v>
                </c:pt>
                <c:pt idx="601">
                  <c:v>0.92156862745098034</c:v>
                </c:pt>
                <c:pt idx="602">
                  <c:v>0.92156862745098034</c:v>
                </c:pt>
                <c:pt idx="603">
                  <c:v>0.92156862745098034</c:v>
                </c:pt>
                <c:pt idx="604">
                  <c:v>0.92156862745098034</c:v>
                </c:pt>
                <c:pt idx="605">
                  <c:v>0.92156862745098034</c:v>
                </c:pt>
                <c:pt idx="606">
                  <c:v>0.92156862745098034</c:v>
                </c:pt>
                <c:pt idx="607">
                  <c:v>0.92156862745098034</c:v>
                </c:pt>
                <c:pt idx="608">
                  <c:v>0.92156862745098034</c:v>
                </c:pt>
                <c:pt idx="609">
                  <c:v>0.92156862745098034</c:v>
                </c:pt>
                <c:pt idx="610">
                  <c:v>0.92156862745098034</c:v>
                </c:pt>
                <c:pt idx="611">
                  <c:v>0.92156862745098034</c:v>
                </c:pt>
                <c:pt idx="612">
                  <c:v>0.92156862745098034</c:v>
                </c:pt>
                <c:pt idx="613">
                  <c:v>0.92156862745098034</c:v>
                </c:pt>
                <c:pt idx="614">
                  <c:v>0.92156862745098034</c:v>
                </c:pt>
                <c:pt idx="615">
                  <c:v>0.92156862745098034</c:v>
                </c:pt>
                <c:pt idx="616">
                  <c:v>0.92156862745098034</c:v>
                </c:pt>
                <c:pt idx="617">
                  <c:v>0.92156862745098034</c:v>
                </c:pt>
                <c:pt idx="618">
                  <c:v>0.92156862745098034</c:v>
                </c:pt>
                <c:pt idx="619">
                  <c:v>0.92156862745098034</c:v>
                </c:pt>
                <c:pt idx="620">
                  <c:v>0.92156862745098034</c:v>
                </c:pt>
                <c:pt idx="621">
                  <c:v>0.92156862745098034</c:v>
                </c:pt>
                <c:pt idx="622">
                  <c:v>0.92156862745098034</c:v>
                </c:pt>
                <c:pt idx="623">
                  <c:v>0.92156862745098034</c:v>
                </c:pt>
                <c:pt idx="624">
                  <c:v>0.92156862745098034</c:v>
                </c:pt>
                <c:pt idx="625">
                  <c:v>0.92156862745098034</c:v>
                </c:pt>
                <c:pt idx="626">
                  <c:v>0.92156862745098034</c:v>
                </c:pt>
                <c:pt idx="627">
                  <c:v>0.92156862745098034</c:v>
                </c:pt>
                <c:pt idx="628">
                  <c:v>0.92156862745098034</c:v>
                </c:pt>
                <c:pt idx="629">
                  <c:v>0.92156862745098034</c:v>
                </c:pt>
                <c:pt idx="630">
                  <c:v>0.92156862745098034</c:v>
                </c:pt>
                <c:pt idx="631">
                  <c:v>0.92156862745098034</c:v>
                </c:pt>
                <c:pt idx="632">
                  <c:v>0.92156862745098034</c:v>
                </c:pt>
                <c:pt idx="633">
                  <c:v>0.92156862745098034</c:v>
                </c:pt>
                <c:pt idx="634">
                  <c:v>0.92156862745098034</c:v>
                </c:pt>
                <c:pt idx="635">
                  <c:v>0.92156862745098034</c:v>
                </c:pt>
                <c:pt idx="636">
                  <c:v>0.92156862745098034</c:v>
                </c:pt>
                <c:pt idx="637">
                  <c:v>0.94117647058823528</c:v>
                </c:pt>
                <c:pt idx="638">
                  <c:v>0.94117647058823528</c:v>
                </c:pt>
                <c:pt idx="639">
                  <c:v>0.94117647058823528</c:v>
                </c:pt>
                <c:pt idx="640">
                  <c:v>0.94117647058823528</c:v>
                </c:pt>
                <c:pt idx="641">
                  <c:v>0.94117647058823528</c:v>
                </c:pt>
                <c:pt idx="642">
                  <c:v>0.94117647058823528</c:v>
                </c:pt>
                <c:pt idx="643">
                  <c:v>0.94117647058823528</c:v>
                </c:pt>
                <c:pt idx="644">
                  <c:v>0.94117647058823528</c:v>
                </c:pt>
                <c:pt idx="645">
                  <c:v>0.94117647058823528</c:v>
                </c:pt>
                <c:pt idx="646">
                  <c:v>0.94117647058823528</c:v>
                </c:pt>
                <c:pt idx="647">
                  <c:v>0.94117647058823528</c:v>
                </c:pt>
                <c:pt idx="648">
                  <c:v>0.94117647058823528</c:v>
                </c:pt>
                <c:pt idx="649">
                  <c:v>0.94117647058823528</c:v>
                </c:pt>
                <c:pt idx="650">
                  <c:v>0.94117647058823528</c:v>
                </c:pt>
                <c:pt idx="651">
                  <c:v>0.94117647058823528</c:v>
                </c:pt>
                <c:pt idx="652">
                  <c:v>0.94117647058823528</c:v>
                </c:pt>
                <c:pt idx="653">
                  <c:v>0.94117647058823528</c:v>
                </c:pt>
                <c:pt idx="654">
                  <c:v>0.94117647058823528</c:v>
                </c:pt>
                <c:pt idx="655">
                  <c:v>0.94117647058823528</c:v>
                </c:pt>
                <c:pt idx="656">
                  <c:v>0.94117647058823528</c:v>
                </c:pt>
                <c:pt idx="657">
                  <c:v>0.94117647058823528</c:v>
                </c:pt>
                <c:pt idx="658">
                  <c:v>0.94117647058823528</c:v>
                </c:pt>
                <c:pt idx="659">
                  <c:v>0.94117647058823528</c:v>
                </c:pt>
                <c:pt idx="660">
                  <c:v>0.94117647058823528</c:v>
                </c:pt>
                <c:pt idx="661">
                  <c:v>0.94117647058823528</c:v>
                </c:pt>
                <c:pt idx="662">
                  <c:v>0.94117647058823528</c:v>
                </c:pt>
                <c:pt idx="663">
                  <c:v>0.94117647058823528</c:v>
                </c:pt>
                <c:pt idx="664">
                  <c:v>0.94117647058823528</c:v>
                </c:pt>
                <c:pt idx="665">
                  <c:v>0.94117647058823528</c:v>
                </c:pt>
                <c:pt idx="666">
                  <c:v>0.94117647058823528</c:v>
                </c:pt>
                <c:pt idx="667">
                  <c:v>0.94117647058823528</c:v>
                </c:pt>
                <c:pt idx="668">
                  <c:v>0.94117647058823528</c:v>
                </c:pt>
                <c:pt idx="669">
                  <c:v>0.94117647058823528</c:v>
                </c:pt>
                <c:pt idx="670">
                  <c:v>0.94117647058823528</c:v>
                </c:pt>
                <c:pt idx="671">
                  <c:v>0.94117647058823528</c:v>
                </c:pt>
                <c:pt idx="672">
                  <c:v>0.94117647058823528</c:v>
                </c:pt>
                <c:pt idx="673">
                  <c:v>0.94117647058823528</c:v>
                </c:pt>
                <c:pt idx="674">
                  <c:v>0.94117647058823528</c:v>
                </c:pt>
                <c:pt idx="675">
                  <c:v>0.94117647058823528</c:v>
                </c:pt>
                <c:pt idx="676">
                  <c:v>0.94117647058823528</c:v>
                </c:pt>
                <c:pt idx="677">
                  <c:v>0.94117647058823528</c:v>
                </c:pt>
                <c:pt idx="678">
                  <c:v>0.94117647058823528</c:v>
                </c:pt>
                <c:pt idx="679">
                  <c:v>0.94117647058823528</c:v>
                </c:pt>
                <c:pt idx="680">
                  <c:v>0.94117647058823528</c:v>
                </c:pt>
                <c:pt idx="681">
                  <c:v>0.94117647058823528</c:v>
                </c:pt>
                <c:pt idx="682">
                  <c:v>0.94117647058823528</c:v>
                </c:pt>
                <c:pt idx="683">
                  <c:v>0.94117647058823528</c:v>
                </c:pt>
                <c:pt idx="684">
                  <c:v>0.94117647058823528</c:v>
                </c:pt>
                <c:pt idx="685">
                  <c:v>0.94117647058823528</c:v>
                </c:pt>
                <c:pt idx="686">
                  <c:v>0.94117647058823528</c:v>
                </c:pt>
                <c:pt idx="687">
                  <c:v>0.94117647058823528</c:v>
                </c:pt>
                <c:pt idx="688">
                  <c:v>0.94117647058823528</c:v>
                </c:pt>
                <c:pt idx="689">
                  <c:v>0.94117647058823528</c:v>
                </c:pt>
                <c:pt idx="690">
                  <c:v>0.94117647058823528</c:v>
                </c:pt>
                <c:pt idx="691">
                  <c:v>0.94117647058823528</c:v>
                </c:pt>
                <c:pt idx="692">
                  <c:v>0.94117647058823528</c:v>
                </c:pt>
                <c:pt idx="693">
                  <c:v>0.94117647058823528</c:v>
                </c:pt>
                <c:pt idx="694">
                  <c:v>0.94117647058823528</c:v>
                </c:pt>
                <c:pt idx="695">
                  <c:v>0.94117647058823528</c:v>
                </c:pt>
                <c:pt idx="696">
                  <c:v>0.94117647058823528</c:v>
                </c:pt>
                <c:pt idx="697">
                  <c:v>0.94117647058823528</c:v>
                </c:pt>
                <c:pt idx="698">
                  <c:v>0.94117647058823528</c:v>
                </c:pt>
                <c:pt idx="699">
                  <c:v>0.94117647058823528</c:v>
                </c:pt>
                <c:pt idx="700">
                  <c:v>0.94117647058823528</c:v>
                </c:pt>
                <c:pt idx="701">
                  <c:v>0.94117647058823528</c:v>
                </c:pt>
                <c:pt idx="702">
                  <c:v>0.96078431372549022</c:v>
                </c:pt>
                <c:pt idx="703">
                  <c:v>0.96078431372549022</c:v>
                </c:pt>
                <c:pt idx="704">
                  <c:v>0.96078431372549022</c:v>
                </c:pt>
                <c:pt idx="705">
                  <c:v>0.96078431372549022</c:v>
                </c:pt>
                <c:pt idx="706">
                  <c:v>0.96078431372549022</c:v>
                </c:pt>
                <c:pt idx="707">
                  <c:v>0.96078431372549022</c:v>
                </c:pt>
                <c:pt idx="708">
                  <c:v>0.96078431372549022</c:v>
                </c:pt>
                <c:pt idx="709">
                  <c:v>0.96078431372549022</c:v>
                </c:pt>
                <c:pt idx="710">
                  <c:v>0.96078431372549022</c:v>
                </c:pt>
                <c:pt idx="711">
                  <c:v>0.96078431372549022</c:v>
                </c:pt>
                <c:pt idx="712">
                  <c:v>0.96078431372549022</c:v>
                </c:pt>
                <c:pt idx="713">
                  <c:v>0.96078431372549022</c:v>
                </c:pt>
                <c:pt idx="714">
                  <c:v>0.96078431372549022</c:v>
                </c:pt>
                <c:pt idx="715">
                  <c:v>0.96078431372549022</c:v>
                </c:pt>
                <c:pt idx="716">
                  <c:v>0.96078431372549022</c:v>
                </c:pt>
                <c:pt idx="717">
                  <c:v>0.96078431372549022</c:v>
                </c:pt>
                <c:pt idx="718">
                  <c:v>0.96078431372549022</c:v>
                </c:pt>
                <c:pt idx="719">
                  <c:v>0.96078431372549022</c:v>
                </c:pt>
                <c:pt idx="720">
                  <c:v>0.96078431372549022</c:v>
                </c:pt>
                <c:pt idx="721">
                  <c:v>0.96078431372549022</c:v>
                </c:pt>
                <c:pt idx="722">
                  <c:v>0.96078431372549022</c:v>
                </c:pt>
                <c:pt idx="723">
                  <c:v>0.96078431372549022</c:v>
                </c:pt>
                <c:pt idx="724">
                  <c:v>0.96078431372549022</c:v>
                </c:pt>
                <c:pt idx="725">
                  <c:v>0.96078431372549022</c:v>
                </c:pt>
                <c:pt idx="726">
                  <c:v>0.96078431372549022</c:v>
                </c:pt>
                <c:pt idx="727">
                  <c:v>0.96078431372549022</c:v>
                </c:pt>
                <c:pt idx="728">
                  <c:v>0.96078431372549022</c:v>
                </c:pt>
                <c:pt idx="729">
                  <c:v>0.96078431372549022</c:v>
                </c:pt>
                <c:pt idx="730">
                  <c:v>0.96078431372549022</c:v>
                </c:pt>
                <c:pt idx="731">
                  <c:v>0.96078431372549022</c:v>
                </c:pt>
                <c:pt idx="732">
                  <c:v>0.96078431372549022</c:v>
                </c:pt>
                <c:pt idx="733">
                  <c:v>0.96078431372549022</c:v>
                </c:pt>
                <c:pt idx="734">
                  <c:v>0.96078431372549022</c:v>
                </c:pt>
                <c:pt idx="735">
                  <c:v>0.96078431372549022</c:v>
                </c:pt>
                <c:pt idx="736">
                  <c:v>0.96078431372549022</c:v>
                </c:pt>
                <c:pt idx="737">
                  <c:v>0.96078431372549022</c:v>
                </c:pt>
                <c:pt idx="738">
                  <c:v>0.96078431372549022</c:v>
                </c:pt>
                <c:pt idx="739">
                  <c:v>0.96078431372549022</c:v>
                </c:pt>
                <c:pt idx="740">
                  <c:v>0.96078431372549022</c:v>
                </c:pt>
                <c:pt idx="741">
                  <c:v>0.96078431372549022</c:v>
                </c:pt>
                <c:pt idx="742">
                  <c:v>0.96078431372549022</c:v>
                </c:pt>
                <c:pt idx="743">
                  <c:v>0.96078431372549022</c:v>
                </c:pt>
                <c:pt idx="744">
                  <c:v>0.96078431372549022</c:v>
                </c:pt>
                <c:pt idx="745">
                  <c:v>0.96078431372549022</c:v>
                </c:pt>
                <c:pt idx="746">
                  <c:v>0.96078431372549022</c:v>
                </c:pt>
                <c:pt idx="747">
                  <c:v>0.96078431372549022</c:v>
                </c:pt>
                <c:pt idx="748">
                  <c:v>0.96078431372549022</c:v>
                </c:pt>
                <c:pt idx="749">
                  <c:v>0.96078431372549022</c:v>
                </c:pt>
                <c:pt idx="750">
                  <c:v>0.96078431372549022</c:v>
                </c:pt>
                <c:pt idx="751">
                  <c:v>0.96078431372549022</c:v>
                </c:pt>
                <c:pt idx="752">
                  <c:v>0.96078431372549022</c:v>
                </c:pt>
                <c:pt idx="753">
                  <c:v>0.96078431372549022</c:v>
                </c:pt>
                <c:pt idx="754">
                  <c:v>0.96078431372549022</c:v>
                </c:pt>
                <c:pt idx="755">
                  <c:v>0.96078431372549022</c:v>
                </c:pt>
                <c:pt idx="756">
                  <c:v>0.96078431372549022</c:v>
                </c:pt>
                <c:pt idx="757">
                  <c:v>0.96078431372549022</c:v>
                </c:pt>
                <c:pt idx="758">
                  <c:v>0.96078431372549022</c:v>
                </c:pt>
                <c:pt idx="759">
                  <c:v>0.96078431372549022</c:v>
                </c:pt>
                <c:pt idx="760">
                  <c:v>0.96078431372549022</c:v>
                </c:pt>
                <c:pt idx="761">
                  <c:v>0.96078431372549022</c:v>
                </c:pt>
                <c:pt idx="762">
                  <c:v>0.96078431372549022</c:v>
                </c:pt>
                <c:pt idx="763">
                  <c:v>0.96078431372549022</c:v>
                </c:pt>
                <c:pt idx="764">
                  <c:v>0.96078431372549022</c:v>
                </c:pt>
                <c:pt idx="765">
                  <c:v>0.96078431372549022</c:v>
                </c:pt>
                <c:pt idx="766">
                  <c:v>0.96078431372549022</c:v>
                </c:pt>
                <c:pt idx="767">
                  <c:v>0.96078431372549022</c:v>
                </c:pt>
                <c:pt idx="768">
                  <c:v>0.96078431372549022</c:v>
                </c:pt>
                <c:pt idx="769">
                  <c:v>0.96078431372549022</c:v>
                </c:pt>
                <c:pt idx="770">
                  <c:v>0.96078431372549022</c:v>
                </c:pt>
                <c:pt idx="771">
                  <c:v>0.96078431372549022</c:v>
                </c:pt>
                <c:pt idx="772">
                  <c:v>0.96078431372549022</c:v>
                </c:pt>
                <c:pt idx="773">
                  <c:v>0.96078431372549022</c:v>
                </c:pt>
                <c:pt idx="774">
                  <c:v>0.96078431372549022</c:v>
                </c:pt>
                <c:pt idx="775">
                  <c:v>0.96078431372549022</c:v>
                </c:pt>
                <c:pt idx="776">
                  <c:v>0.96078431372549022</c:v>
                </c:pt>
                <c:pt idx="777">
                  <c:v>0.96078431372549022</c:v>
                </c:pt>
                <c:pt idx="778">
                  <c:v>0.96078431372549022</c:v>
                </c:pt>
                <c:pt idx="779">
                  <c:v>0.96078431372549022</c:v>
                </c:pt>
                <c:pt idx="780">
                  <c:v>0.96078431372549022</c:v>
                </c:pt>
                <c:pt idx="781">
                  <c:v>0.96078431372549022</c:v>
                </c:pt>
                <c:pt idx="782">
                  <c:v>0.96078431372549022</c:v>
                </c:pt>
                <c:pt idx="783">
                  <c:v>0.96078431372549022</c:v>
                </c:pt>
                <c:pt idx="784">
                  <c:v>0.96078431372549022</c:v>
                </c:pt>
                <c:pt idx="785">
                  <c:v>0.96078431372549022</c:v>
                </c:pt>
                <c:pt idx="786">
                  <c:v>0.96078431372549022</c:v>
                </c:pt>
                <c:pt idx="787">
                  <c:v>0.96078431372549022</c:v>
                </c:pt>
                <c:pt idx="788">
                  <c:v>0.96078431372549022</c:v>
                </c:pt>
                <c:pt idx="789">
                  <c:v>0.96078431372549022</c:v>
                </c:pt>
                <c:pt idx="790">
                  <c:v>0.96078431372549022</c:v>
                </c:pt>
                <c:pt idx="791">
                  <c:v>0.96078431372549022</c:v>
                </c:pt>
                <c:pt idx="792">
                  <c:v>0.96078431372549022</c:v>
                </c:pt>
                <c:pt idx="793">
                  <c:v>0.96078431372549022</c:v>
                </c:pt>
                <c:pt idx="794">
                  <c:v>0.96078431372549022</c:v>
                </c:pt>
                <c:pt idx="795">
                  <c:v>0.96078431372549022</c:v>
                </c:pt>
                <c:pt idx="796">
                  <c:v>0.96078431372549022</c:v>
                </c:pt>
                <c:pt idx="797">
                  <c:v>0.96078431372549022</c:v>
                </c:pt>
                <c:pt idx="798">
                  <c:v>0.96078431372549022</c:v>
                </c:pt>
                <c:pt idx="799">
                  <c:v>0.96078431372549022</c:v>
                </c:pt>
                <c:pt idx="800">
                  <c:v>0.96078431372549022</c:v>
                </c:pt>
                <c:pt idx="801">
                  <c:v>0.96078431372549022</c:v>
                </c:pt>
                <c:pt idx="802">
                  <c:v>0.96078431372549022</c:v>
                </c:pt>
                <c:pt idx="803">
                  <c:v>0.96078431372549022</c:v>
                </c:pt>
                <c:pt idx="804">
                  <c:v>0.96078431372549022</c:v>
                </c:pt>
                <c:pt idx="805">
                  <c:v>0.96078431372549022</c:v>
                </c:pt>
                <c:pt idx="806">
                  <c:v>0.96078431372549022</c:v>
                </c:pt>
                <c:pt idx="807">
                  <c:v>0.96078431372549022</c:v>
                </c:pt>
                <c:pt idx="808">
                  <c:v>0.96078431372549022</c:v>
                </c:pt>
                <c:pt idx="809">
                  <c:v>0.96078431372549022</c:v>
                </c:pt>
                <c:pt idx="810">
                  <c:v>0.96078431372549022</c:v>
                </c:pt>
                <c:pt idx="811">
                  <c:v>0.96078431372549022</c:v>
                </c:pt>
                <c:pt idx="812">
                  <c:v>0.96078431372549022</c:v>
                </c:pt>
                <c:pt idx="813">
                  <c:v>0.96078431372549022</c:v>
                </c:pt>
                <c:pt idx="814">
                  <c:v>0.96078431372549022</c:v>
                </c:pt>
                <c:pt idx="815">
                  <c:v>0.96078431372549022</c:v>
                </c:pt>
                <c:pt idx="816">
                  <c:v>0.96078431372549022</c:v>
                </c:pt>
                <c:pt idx="817">
                  <c:v>0.96078431372549022</c:v>
                </c:pt>
                <c:pt idx="818">
                  <c:v>0.96078431372549022</c:v>
                </c:pt>
                <c:pt idx="819">
                  <c:v>0.96078431372549022</c:v>
                </c:pt>
                <c:pt idx="820">
                  <c:v>0.96078431372549022</c:v>
                </c:pt>
                <c:pt idx="821">
                  <c:v>0.96078431372549022</c:v>
                </c:pt>
                <c:pt idx="822">
                  <c:v>0.96078431372549022</c:v>
                </c:pt>
                <c:pt idx="823">
                  <c:v>0.96078431372549022</c:v>
                </c:pt>
                <c:pt idx="824">
                  <c:v>0.96078431372549022</c:v>
                </c:pt>
                <c:pt idx="825">
                  <c:v>0.96078431372549022</c:v>
                </c:pt>
                <c:pt idx="826">
                  <c:v>0.96078431372549022</c:v>
                </c:pt>
                <c:pt idx="827">
                  <c:v>0.96078431372549022</c:v>
                </c:pt>
                <c:pt idx="828">
                  <c:v>0.96078431372549022</c:v>
                </c:pt>
                <c:pt idx="829">
                  <c:v>0.96078431372549022</c:v>
                </c:pt>
                <c:pt idx="830">
                  <c:v>0.96078431372549022</c:v>
                </c:pt>
                <c:pt idx="831">
                  <c:v>0.96078431372549022</c:v>
                </c:pt>
                <c:pt idx="832">
                  <c:v>0.96078431372549022</c:v>
                </c:pt>
                <c:pt idx="833">
                  <c:v>0.96078431372549022</c:v>
                </c:pt>
                <c:pt idx="834">
                  <c:v>0.96078431372549022</c:v>
                </c:pt>
                <c:pt idx="835">
                  <c:v>0.96078431372549022</c:v>
                </c:pt>
                <c:pt idx="836">
                  <c:v>0.96078431372549022</c:v>
                </c:pt>
                <c:pt idx="837">
                  <c:v>0.96078431372549022</c:v>
                </c:pt>
                <c:pt idx="838">
                  <c:v>0.96078431372549022</c:v>
                </c:pt>
                <c:pt idx="839">
                  <c:v>0.96078431372549022</c:v>
                </c:pt>
                <c:pt idx="840">
                  <c:v>0.96078431372549022</c:v>
                </c:pt>
                <c:pt idx="841">
                  <c:v>0.96078431372549022</c:v>
                </c:pt>
                <c:pt idx="842">
                  <c:v>0.96078431372549022</c:v>
                </c:pt>
                <c:pt idx="843">
                  <c:v>0.96078431372549022</c:v>
                </c:pt>
                <c:pt idx="844">
                  <c:v>0.96078431372549022</c:v>
                </c:pt>
                <c:pt idx="845">
                  <c:v>0.96078431372549022</c:v>
                </c:pt>
                <c:pt idx="846">
                  <c:v>0.96078431372549022</c:v>
                </c:pt>
                <c:pt idx="847">
                  <c:v>0.96078431372549022</c:v>
                </c:pt>
                <c:pt idx="848">
                  <c:v>0.96078431372549022</c:v>
                </c:pt>
                <c:pt idx="849">
                  <c:v>0.96078431372549022</c:v>
                </c:pt>
                <c:pt idx="850">
                  <c:v>0.96078431372549022</c:v>
                </c:pt>
                <c:pt idx="851">
                  <c:v>0.96078431372549022</c:v>
                </c:pt>
                <c:pt idx="852">
                  <c:v>0.96078431372549022</c:v>
                </c:pt>
                <c:pt idx="853">
                  <c:v>0.96078431372549022</c:v>
                </c:pt>
                <c:pt idx="854">
                  <c:v>0.96078431372549022</c:v>
                </c:pt>
                <c:pt idx="855">
                  <c:v>0.96078431372549022</c:v>
                </c:pt>
                <c:pt idx="856">
                  <c:v>0.96078431372549022</c:v>
                </c:pt>
                <c:pt idx="857">
                  <c:v>0.96078431372549022</c:v>
                </c:pt>
                <c:pt idx="858">
                  <c:v>0.96078431372549022</c:v>
                </c:pt>
                <c:pt idx="859">
                  <c:v>0.96078431372549022</c:v>
                </c:pt>
                <c:pt idx="860">
                  <c:v>0.96078431372549022</c:v>
                </c:pt>
                <c:pt idx="861">
                  <c:v>0.96078431372549022</c:v>
                </c:pt>
                <c:pt idx="862">
                  <c:v>0.96078431372549022</c:v>
                </c:pt>
                <c:pt idx="863">
                  <c:v>0.96078431372549022</c:v>
                </c:pt>
                <c:pt idx="864">
                  <c:v>0.96078431372549022</c:v>
                </c:pt>
                <c:pt idx="865">
                  <c:v>0.96078431372549022</c:v>
                </c:pt>
                <c:pt idx="866">
                  <c:v>0.96078431372549022</c:v>
                </c:pt>
                <c:pt idx="867">
                  <c:v>0.96078431372549022</c:v>
                </c:pt>
                <c:pt idx="868">
                  <c:v>0.96078431372549022</c:v>
                </c:pt>
                <c:pt idx="869">
                  <c:v>0.96078431372549022</c:v>
                </c:pt>
                <c:pt idx="870">
                  <c:v>0.96078431372549022</c:v>
                </c:pt>
                <c:pt idx="871">
                  <c:v>0.96078431372549022</c:v>
                </c:pt>
                <c:pt idx="872">
                  <c:v>0.96078431372549022</c:v>
                </c:pt>
                <c:pt idx="873">
                  <c:v>0.96078431372549022</c:v>
                </c:pt>
                <c:pt idx="874">
                  <c:v>0.96078431372549022</c:v>
                </c:pt>
                <c:pt idx="875">
                  <c:v>0.96078431372549022</c:v>
                </c:pt>
                <c:pt idx="876">
                  <c:v>0.96078431372549022</c:v>
                </c:pt>
                <c:pt idx="877">
                  <c:v>0.96078431372549022</c:v>
                </c:pt>
                <c:pt idx="878">
                  <c:v>0.96078431372549022</c:v>
                </c:pt>
                <c:pt idx="879">
                  <c:v>0.96078431372549022</c:v>
                </c:pt>
                <c:pt idx="880">
                  <c:v>0.98039215686274506</c:v>
                </c:pt>
                <c:pt idx="881">
                  <c:v>0.98039215686274506</c:v>
                </c:pt>
                <c:pt idx="882">
                  <c:v>0.98039215686274506</c:v>
                </c:pt>
                <c:pt idx="883">
                  <c:v>0.98039215686274506</c:v>
                </c:pt>
                <c:pt idx="884">
                  <c:v>0.98039215686274506</c:v>
                </c:pt>
                <c:pt idx="885">
                  <c:v>0.98039215686274506</c:v>
                </c:pt>
                <c:pt idx="886">
                  <c:v>0.98039215686274506</c:v>
                </c:pt>
                <c:pt idx="887">
                  <c:v>0.98039215686274506</c:v>
                </c:pt>
                <c:pt idx="888">
                  <c:v>0.98039215686274506</c:v>
                </c:pt>
                <c:pt idx="889">
                  <c:v>0.98039215686274506</c:v>
                </c:pt>
                <c:pt idx="890">
                  <c:v>0.98039215686274506</c:v>
                </c:pt>
                <c:pt idx="891">
                  <c:v>0.98039215686274506</c:v>
                </c:pt>
                <c:pt idx="892">
                  <c:v>0.98039215686274506</c:v>
                </c:pt>
                <c:pt idx="893">
                  <c:v>0.98039215686274506</c:v>
                </c:pt>
                <c:pt idx="894">
                  <c:v>0.98039215686274506</c:v>
                </c:pt>
                <c:pt idx="895">
                  <c:v>0.98039215686274506</c:v>
                </c:pt>
                <c:pt idx="896">
                  <c:v>0.98039215686274506</c:v>
                </c:pt>
                <c:pt idx="897">
                  <c:v>0.98039215686274506</c:v>
                </c:pt>
                <c:pt idx="898">
                  <c:v>0.98039215686274506</c:v>
                </c:pt>
                <c:pt idx="899">
                  <c:v>0.98039215686274506</c:v>
                </c:pt>
                <c:pt idx="900">
                  <c:v>0.98039215686274506</c:v>
                </c:pt>
                <c:pt idx="901">
                  <c:v>0.98039215686274506</c:v>
                </c:pt>
                <c:pt idx="902">
                  <c:v>0.98039215686274506</c:v>
                </c:pt>
                <c:pt idx="903">
                  <c:v>0.98039215686274506</c:v>
                </c:pt>
                <c:pt idx="904">
                  <c:v>0.98039215686274506</c:v>
                </c:pt>
                <c:pt idx="905">
                  <c:v>0.98039215686274506</c:v>
                </c:pt>
                <c:pt idx="906">
                  <c:v>0.98039215686274506</c:v>
                </c:pt>
                <c:pt idx="907">
                  <c:v>0.98039215686274506</c:v>
                </c:pt>
                <c:pt idx="908">
                  <c:v>0.98039215686274506</c:v>
                </c:pt>
                <c:pt idx="909">
                  <c:v>0.98039215686274506</c:v>
                </c:pt>
                <c:pt idx="910">
                  <c:v>0.98039215686274506</c:v>
                </c:pt>
                <c:pt idx="911">
                  <c:v>0.98039215686274506</c:v>
                </c:pt>
                <c:pt idx="912">
                  <c:v>0.98039215686274506</c:v>
                </c:pt>
                <c:pt idx="913">
                  <c:v>0.98039215686274506</c:v>
                </c:pt>
                <c:pt idx="914">
                  <c:v>0.98039215686274506</c:v>
                </c:pt>
                <c:pt idx="915">
                  <c:v>0.98039215686274506</c:v>
                </c:pt>
                <c:pt idx="916">
                  <c:v>0.98039215686274506</c:v>
                </c:pt>
                <c:pt idx="917">
                  <c:v>0.98039215686274506</c:v>
                </c:pt>
                <c:pt idx="918">
                  <c:v>0.98039215686274506</c:v>
                </c:pt>
                <c:pt idx="919">
                  <c:v>0.98039215686274506</c:v>
                </c:pt>
                <c:pt idx="920">
                  <c:v>0.98039215686274506</c:v>
                </c:pt>
                <c:pt idx="921">
                  <c:v>0.98039215686274506</c:v>
                </c:pt>
                <c:pt idx="922">
                  <c:v>0.98039215686274506</c:v>
                </c:pt>
                <c:pt idx="923">
                  <c:v>0.98039215686274506</c:v>
                </c:pt>
                <c:pt idx="924">
                  <c:v>0.98039215686274506</c:v>
                </c:pt>
                <c:pt idx="925">
                  <c:v>0.98039215686274506</c:v>
                </c:pt>
                <c:pt idx="926">
                  <c:v>0.98039215686274506</c:v>
                </c:pt>
                <c:pt idx="927">
                  <c:v>0.98039215686274506</c:v>
                </c:pt>
                <c:pt idx="928">
                  <c:v>0.98039215686274506</c:v>
                </c:pt>
                <c:pt idx="929">
                  <c:v>0.98039215686274506</c:v>
                </c:pt>
                <c:pt idx="930">
                  <c:v>0.98039215686274506</c:v>
                </c:pt>
                <c:pt idx="931">
                  <c:v>0.98039215686274506</c:v>
                </c:pt>
                <c:pt idx="932">
                  <c:v>0.98039215686274506</c:v>
                </c:pt>
                <c:pt idx="933">
                  <c:v>0.98039215686274506</c:v>
                </c:pt>
                <c:pt idx="934">
                  <c:v>0.98039215686274506</c:v>
                </c:pt>
                <c:pt idx="935">
                  <c:v>0.98039215686274506</c:v>
                </c:pt>
                <c:pt idx="936">
                  <c:v>0.98039215686274506</c:v>
                </c:pt>
                <c:pt idx="937">
                  <c:v>0.98039215686274506</c:v>
                </c:pt>
                <c:pt idx="938">
                  <c:v>0.98039215686274506</c:v>
                </c:pt>
                <c:pt idx="939">
                  <c:v>0.98039215686274506</c:v>
                </c:pt>
                <c:pt idx="940">
                  <c:v>0.98039215686274506</c:v>
                </c:pt>
                <c:pt idx="941">
                  <c:v>0.98039215686274506</c:v>
                </c:pt>
                <c:pt idx="942">
                  <c:v>0.98039215686274506</c:v>
                </c:pt>
                <c:pt idx="943">
                  <c:v>0.98039215686274506</c:v>
                </c:pt>
                <c:pt idx="944">
                  <c:v>0.98039215686274506</c:v>
                </c:pt>
                <c:pt idx="945">
                  <c:v>0.98039215686274506</c:v>
                </c:pt>
                <c:pt idx="946">
                  <c:v>0.98039215686274506</c:v>
                </c:pt>
                <c:pt idx="947">
                  <c:v>0.98039215686274506</c:v>
                </c:pt>
                <c:pt idx="948">
                  <c:v>0.98039215686274506</c:v>
                </c:pt>
                <c:pt idx="949">
                  <c:v>0.98039215686274506</c:v>
                </c:pt>
                <c:pt idx="950">
                  <c:v>0.98039215686274506</c:v>
                </c:pt>
                <c:pt idx="951">
                  <c:v>0.98039215686274506</c:v>
                </c:pt>
                <c:pt idx="952">
                  <c:v>0.98039215686274506</c:v>
                </c:pt>
                <c:pt idx="953">
                  <c:v>0.98039215686274506</c:v>
                </c:pt>
                <c:pt idx="954">
                  <c:v>0.98039215686274506</c:v>
                </c:pt>
                <c:pt idx="955">
                  <c:v>0.98039215686274506</c:v>
                </c:pt>
                <c:pt idx="956">
                  <c:v>0.98039215686274506</c:v>
                </c:pt>
                <c:pt idx="957">
                  <c:v>0.98039215686274506</c:v>
                </c:pt>
                <c:pt idx="958">
                  <c:v>0.98039215686274506</c:v>
                </c:pt>
                <c:pt idx="959">
                  <c:v>0.98039215686274506</c:v>
                </c:pt>
                <c:pt idx="960">
                  <c:v>0.98039215686274506</c:v>
                </c:pt>
                <c:pt idx="961">
                  <c:v>0.98039215686274506</c:v>
                </c:pt>
                <c:pt idx="962">
                  <c:v>0.98039215686274506</c:v>
                </c:pt>
                <c:pt idx="963">
                  <c:v>0.98039215686274506</c:v>
                </c:pt>
                <c:pt idx="964">
                  <c:v>0.98039215686274506</c:v>
                </c:pt>
                <c:pt idx="965">
                  <c:v>0.98039215686274506</c:v>
                </c:pt>
                <c:pt idx="966">
                  <c:v>0.98039215686274506</c:v>
                </c:pt>
                <c:pt idx="967">
                  <c:v>0.98039215686274506</c:v>
                </c:pt>
                <c:pt idx="968">
                  <c:v>0.98039215686274506</c:v>
                </c:pt>
                <c:pt idx="969">
                  <c:v>0.98039215686274506</c:v>
                </c:pt>
                <c:pt idx="970">
                  <c:v>0.98039215686274506</c:v>
                </c:pt>
                <c:pt idx="971">
                  <c:v>0.98039215686274506</c:v>
                </c:pt>
                <c:pt idx="972">
                  <c:v>0.98039215686274506</c:v>
                </c:pt>
                <c:pt idx="973">
                  <c:v>0.98039215686274506</c:v>
                </c:pt>
                <c:pt idx="974">
                  <c:v>0.98039215686274506</c:v>
                </c:pt>
                <c:pt idx="975">
                  <c:v>0.98039215686274506</c:v>
                </c:pt>
                <c:pt idx="976">
                  <c:v>0.98039215686274506</c:v>
                </c:pt>
                <c:pt idx="977">
                  <c:v>0.98039215686274506</c:v>
                </c:pt>
                <c:pt idx="978">
                  <c:v>0.98039215686274506</c:v>
                </c:pt>
                <c:pt idx="979">
                  <c:v>0.98039215686274506</c:v>
                </c:pt>
                <c:pt idx="980">
                  <c:v>0.98039215686274506</c:v>
                </c:pt>
                <c:pt idx="981">
                  <c:v>0.98039215686274506</c:v>
                </c:pt>
                <c:pt idx="982">
                  <c:v>0.98039215686274506</c:v>
                </c:pt>
                <c:pt idx="983">
                  <c:v>0.98039215686274506</c:v>
                </c:pt>
                <c:pt idx="984">
                  <c:v>0.98039215686274506</c:v>
                </c:pt>
                <c:pt idx="985">
                  <c:v>0.98039215686274506</c:v>
                </c:pt>
                <c:pt idx="986">
                  <c:v>0.98039215686274506</c:v>
                </c:pt>
                <c:pt idx="987">
                  <c:v>0.98039215686274506</c:v>
                </c:pt>
                <c:pt idx="988">
                  <c:v>0.98039215686274506</c:v>
                </c:pt>
                <c:pt idx="989">
                  <c:v>0.98039215686274506</c:v>
                </c:pt>
                <c:pt idx="990">
                  <c:v>0.98039215686274506</c:v>
                </c:pt>
                <c:pt idx="991">
                  <c:v>0.98039215686274506</c:v>
                </c:pt>
                <c:pt idx="992">
                  <c:v>0.98039215686274506</c:v>
                </c:pt>
                <c:pt idx="993">
                  <c:v>0.98039215686274506</c:v>
                </c:pt>
                <c:pt idx="994">
                  <c:v>0.98039215686274506</c:v>
                </c:pt>
                <c:pt idx="995">
                  <c:v>0.98039215686274506</c:v>
                </c:pt>
                <c:pt idx="996">
                  <c:v>0.98039215686274506</c:v>
                </c:pt>
                <c:pt idx="997">
                  <c:v>0.98039215686274506</c:v>
                </c:pt>
                <c:pt idx="998">
                  <c:v>0.98039215686274506</c:v>
                </c:pt>
                <c:pt idx="999">
                  <c:v>0.98039215686274506</c:v>
                </c:pt>
                <c:pt idx="1000">
                  <c:v>0.98039215686274506</c:v>
                </c:pt>
                <c:pt idx="1001">
                  <c:v>0.98039215686274506</c:v>
                </c:pt>
                <c:pt idx="1002">
                  <c:v>0.98039215686274506</c:v>
                </c:pt>
                <c:pt idx="1003">
                  <c:v>0.98039215686274506</c:v>
                </c:pt>
                <c:pt idx="1004">
                  <c:v>0.98039215686274506</c:v>
                </c:pt>
                <c:pt idx="1005">
                  <c:v>0.98039215686274506</c:v>
                </c:pt>
                <c:pt idx="1006">
                  <c:v>0.98039215686274506</c:v>
                </c:pt>
                <c:pt idx="1007">
                  <c:v>0.98039215686274506</c:v>
                </c:pt>
                <c:pt idx="1008">
                  <c:v>0.98039215686274506</c:v>
                </c:pt>
                <c:pt idx="1009">
                  <c:v>0.98039215686274506</c:v>
                </c:pt>
                <c:pt idx="1010">
                  <c:v>0.98039215686274506</c:v>
                </c:pt>
                <c:pt idx="1011">
                  <c:v>0.98039215686274506</c:v>
                </c:pt>
                <c:pt idx="1012">
                  <c:v>0.98039215686274506</c:v>
                </c:pt>
                <c:pt idx="1013">
                  <c:v>0.98039215686274506</c:v>
                </c:pt>
                <c:pt idx="1014">
                  <c:v>0.98039215686274506</c:v>
                </c:pt>
                <c:pt idx="1015">
                  <c:v>0.98039215686274506</c:v>
                </c:pt>
                <c:pt idx="1016">
                  <c:v>0.98039215686274506</c:v>
                </c:pt>
                <c:pt idx="1017">
                  <c:v>0.98039215686274506</c:v>
                </c:pt>
                <c:pt idx="1018">
                  <c:v>0.98039215686274506</c:v>
                </c:pt>
                <c:pt idx="1019">
                  <c:v>0.98039215686274506</c:v>
                </c:pt>
                <c:pt idx="1020">
                  <c:v>0.98039215686274506</c:v>
                </c:pt>
                <c:pt idx="1021">
                  <c:v>0.98039215686274506</c:v>
                </c:pt>
                <c:pt idx="1022">
                  <c:v>0.98039215686274506</c:v>
                </c:pt>
                <c:pt idx="10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5-4EA9-9082-CA252D19E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844168"/>
        <c:axId val="737845480"/>
      </c:lineChart>
      <c:catAx>
        <c:axId val="379596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592816"/>
        <c:crosses val="autoZero"/>
        <c:auto val="1"/>
        <c:lblAlgn val="ctr"/>
        <c:lblOffset val="100"/>
        <c:noMultiLvlLbl val="0"/>
      </c:catAx>
      <c:valAx>
        <c:axId val="3795928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596096"/>
        <c:crosses val="autoZero"/>
        <c:crossBetween val="between"/>
      </c:valAx>
      <c:valAx>
        <c:axId val="73784548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737844168"/>
        <c:crosses val="max"/>
        <c:crossBetween val="between"/>
      </c:valAx>
      <c:catAx>
        <c:axId val="737844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784548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'Histogram OK'!$B$1</c:f>
              <c:strCache>
                <c:ptCount val="1"/>
                <c:pt idx="0">
                  <c:v>Frequency</c:v>
                </c:pt>
              </c:strCache>
            </c:strRef>
          </c:tx>
          <c:invertIfNegative val="0"/>
          <c:cat>
            <c:strRef>
              <c:f>'Histogram OK'!$A$2:$A$5</c:f>
              <c:strCache>
                <c:ptCount val="4"/>
                <c:pt idx="0">
                  <c:v> 250 000 </c:v>
                </c:pt>
                <c:pt idx="1">
                  <c:v> 450 000 </c:v>
                </c:pt>
                <c:pt idx="2">
                  <c:v> 600 000 </c:v>
                </c:pt>
                <c:pt idx="3">
                  <c:v>More</c:v>
                </c:pt>
              </c:strCache>
            </c:strRef>
          </c:cat>
          <c:val>
            <c:numRef>
              <c:f>'Histogram OK'!$B$2:$B$5</c:f>
              <c:numCache>
                <c:formatCode>General</c:formatCode>
                <c:ptCount val="4"/>
                <c:pt idx="0">
                  <c:v>18</c:v>
                </c:pt>
                <c:pt idx="1">
                  <c:v>23</c:v>
                </c:pt>
                <c:pt idx="2">
                  <c:v>6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AE-4738-9CDF-D627E5AC4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692339128"/>
        <c:axId val="692337160"/>
      </c:barChart>
      <c:lineChart>
        <c:grouping val="standard"/>
        <c:varyColors val="0"/>
        <c:ser>
          <c:idx val="1"/>
          <c:order val="1"/>
          <c:tx>
            <c:strRef>
              <c:f>'Histogram OK'!$C$1</c:f>
              <c:strCache>
                <c:ptCount val="1"/>
                <c:pt idx="0">
                  <c:v>Cumulative %</c:v>
                </c:pt>
              </c:strCache>
            </c:strRef>
          </c:tx>
          <c:cat>
            <c:strRef>
              <c:f>'Histogram OK'!$A$2:$A$5</c:f>
              <c:strCache>
                <c:ptCount val="4"/>
                <c:pt idx="0">
                  <c:v> 250 000 </c:v>
                </c:pt>
                <c:pt idx="1">
                  <c:v> 450 000 </c:v>
                </c:pt>
                <c:pt idx="2">
                  <c:v> 600 000 </c:v>
                </c:pt>
                <c:pt idx="3">
                  <c:v>More</c:v>
                </c:pt>
              </c:strCache>
            </c:strRef>
          </c:cat>
          <c:val>
            <c:numRef>
              <c:f>'Histogram OK'!$C$2:$C$5</c:f>
              <c:numCache>
                <c:formatCode>0.00%</c:formatCode>
                <c:ptCount val="4"/>
                <c:pt idx="0">
                  <c:v>0.36</c:v>
                </c:pt>
                <c:pt idx="1">
                  <c:v>0.82</c:v>
                </c:pt>
                <c:pt idx="2">
                  <c:v>0.94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AE-4738-9CDF-D627E5AC4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337488"/>
        <c:axId val="692343064"/>
      </c:lineChart>
      <c:catAx>
        <c:axId val="692339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Bin/category 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337160"/>
        <c:crosses val="autoZero"/>
        <c:auto val="1"/>
        <c:lblAlgn val="ctr"/>
        <c:lblOffset val="100"/>
        <c:noMultiLvlLbl val="0"/>
      </c:catAx>
      <c:valAx>
        <c:axId val="692337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339128"/>
        <c:crosses val="autoZero"/>
        <c:crossBetween val="between"/>
      </c:valAx>
      <c:valAx>
        <c:axId val="69234306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692337488"/>
        <c:crosses val="max"/>
        <c:crossBetween val="between"/>
      </c:valAx>
      <c:catAx>
        <c:axId val="692337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234306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k-SK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'Histogram NG - Pozor riadok súč'!$B$1</c:f>
              <c:strCache>
                <c:ptCount val="1"/>
                <c:pt idx="0">
                  <c:v>Frequency</c:v>
                </c:pt>
              </c:strCache>
            </c:strRef>
          </c:tx>
          <c:invertIfNegative val="0"/>
          <c:cat>
            <c:strRef>
              <c:f>'Histogram NG - Pozor riadok súč'!$A$2:$A$5</c:f>
              <c:strCache>
                <c:ptCount val="4"/>
                <c:pt idx="0">
                  <c:v> 250 000 </c:v>
                </c:pt>
                <c:pt idx="1">
                  <c:v> 450 000 </c:v>
                </c:pt>
                <c:pt idx="2">
                  <c:v> 600 000 </c:v>
                </c:pt>
                <c:pt idx="3">
                  <c:v>More</c:v>
                </c:pt>
              </c:strCache>
            </c:strRef>
          </c:cat>
          <c:val>
            <c:numRef>
              <c:f>'Histogram NG - Pozor riadok súč'!$B$2:$B$5</c:f>
              <c:numCache>
                <c:formatCode>General</c:formatCode>
                <c:ptCount val="4"/>
                <c:pt idx="0">
                  <c:v>18</c:v>
                </c:pt>
                <c:pt idx="1">
                  <c:v>24</c:v>
                </c:pt>
                <c:pt idx="2">
                  <c:v>6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7-4158-A60C-3A42201C9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03181064"/>
        <c:axId val="747902576"/>
      </c:barChart>
      <c:lineChart>
        <c:grouping val="standard"/>
        <c:varyColors val="0"/>
        <c:ser>
          <c:idx val="1"/>
          <c:order val="1"/>
          <c:tx>
            <c:strRef>
              <c:f>'Histogram NG - Pozor riadok súč'!$C$1</c:f>
              <c:strCache>
                <c:ptCount val="1"/>
                <c:pt idx="0">
                  <c:v>Cumulative %</c:v>
                </c:pt>
              </c:strCache>
            </c:strRef>
          </c:tx>
          <c:cat>
            <c:strRef>
              <c:f>'Histogram NG - Pozor riadok súč'!$A$2:$A$5</c:f>
              <c:strCache>
                <c:ptCount val="4"/>
                <c:pt idx="0">
                  <c:v> 250 000 </c:v>
                </c:pt>
                <c:pt idx="1">
                  <c:v> 450 000 </c:v>
                </c:pt>
                <c:pt idx="2">
                  <c:v> 600 000 </c:v>
                </c:pt>
                <c:pt idx="3">
                  <c:v>More</c:v>
                </c:pt>
              </c:strCache>
            </c:strRef>
          </c:cat>
          <c:val>
            <c:numRef>
              <c:f>'Histogram NG - Pozor riadok súč'!$C$2:$C$5</c:f>
              <c:numCache>
                <c:formatCode>0.00%</c:formatCode>
                <c:ptCount val="4"/>
                <c:pt idx="0">
                  <c:v>0.35294117647058826</c:v>
                </c:pt>
                <c:pt idx="1">
                  <c:v>0.82352941176470584</c:v>
                </c:pt>
                <c:pt idx="2">
                  <c:v>0.94117647058823528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D7-4158-A60C-3A42201C9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6442784"/>
        <c:axId val="816444096"/>
      </c:lineChart>
      <c:catAx>
        <c:axId val="803181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Bin/category 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902576"/>
        <c:crosses val="autoZero"/>
        <c:auto val="1"/>
        <c:lblAlgn val="ctr"/>
        <c:lblOffset val="100"/>
        <c:noMultiLvlLbl val="0"/>
      </c:catAx>
      <c:valAx>
        <c:axId val="747902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sk-SK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181064"/>
        <c:crosses val="autoZero"/>
        <c:crossBetween val="between"/>
      </c:valAx>
      <c:valAx>
        <c:axId val="81644409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816442784"/>
        <c:crosses val="max"/>
        <c:crossBetween val="between"/>
      </c:valAx>
      <c:catAx>
        <c:axId val="816442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1644409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Muži vs. Ženy Body spolu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sk-SK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Muži vs. Ženy Body spolu</a:t>
          </a:r>
        </a:p>
      </cx:txPr>
    </cx:title>
    <cx:plotArea>
      <cx:plotAreaRegion>
        <cx:series layoutId="boxWhisker" uniqueId="{7AFE4EED-7BCB-4308-9342-E3BC59C0D1E3}">
          <cx:tx>
            <cx:txData>
              <cx:f>_xlchart.v1.0</cx:f>
              <cx:v>Cas minuty Muži</cx:v>
            </cx:txData>
          </cx:tx>
          <cx:dataLabels>
            <cx:visibility seriesName="0" categoryName="0" value="1"/>
            <cx:dataLabel idx="35">
              <cx:spPr>
                <a:solidFill>
                  <a:srgbClr val="7030A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11,18</a:t>
                  </a:r>
                </a:p>
              </cx:txPr>
            </cx:dataLabel>
            <cx:dataLabel idx="37">
              <cx:spPr>
                <a:solidFill>
                  <a:srgbClr val="FFFF0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/>
                  </a:pPr>
                  <a:r>
                    <a:rPr lang="sk-SK" sz="900" b="1" i="0" u="none" strike="noStrike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Calibri" panose="020F0502020204030204"/>
                    </a:rPr>
                    <a:t>11,23</a:t>
                  </a:r>
                </a:p>
              </cx:txP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6735987-5387-412D-B00D-0EBAAA6A84B3}">
          <cx:tx>
            <cx:txData>
              <cx:f>_xlchart.v1.2</cx:f>
              <cx:v>Cas minuty Ženy</cx:v>
            </cx:txData>
          </cx:tx>
          <cx:dataLabels>
            <cx:visibility seriesName="0" categoryName="0" value="1"/>
            <cx:dataLabel idx="35">
              <cx:spPr>
                <a:solidFill>
                  <a:srgbClr val="7030A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11,82</a:t>
                  </a:r>
                </a:p>
              </cx:txPr>
            </cx:dataLabel>
            <cx:dataLabel idx="37">
              <cx:spPr>
                <a:solidFill>
                  <a:srgbClr val="FFFF0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/>
                  </a:pPr>
                  <a:r>
                    <a:rPr lang="sk-SK" sz="900" b="1" i="0" u="none" strike="noStrike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Calibri" panose="020F0502020204030204"/>
                    </a:rPr>
                    <a:t>11,98</a:t>
                  </a:r>
                </a:p>
              </cx:txPr>
            </cx:dataLabel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8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Muži vs. Ženy Body spolu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sk-SK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Muži vs. Ženy Body spolu</a:t>
          </a:r>
        </a:p>
      </cx:txPr>
    </cx:title>
    <cx:plotArea>
      <cx:plotAreaRegion>
        <cx:series layoutId="boxWhisker" uniqueId="{7AFE4EED-7BCB-4308-9342-E3BC59C0D1E3}">
          <cx:tx>
            <cx:txData>
              <cx:f>_xlchart.v1.4</cx:f>
              <cx:v>Spolu body Muži</cx:v>
            </cx:txData>
          </cx:tx>
          <cx:dataLabels>
            <cx:visibility seriesName="0" categoryName="0" value="1"/>
            <cx:dataLabel idx="35">
              <cx:spPr>
                <a:solidFill>
                  <a:srgbClr val="7030A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2,20</a:t>
                  </a:r>
                </a:p>
              </cx:txPr>
            </cx:dataLabel>
            <cx:dataLabel idx="37">
              <cx:spPr>
                <a:solidFill>
                  <a:srgbClr val="FFFF0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/>
                  </a:pPr>
                  <a:r>
                    <a:rPr lang="sk-SK" sz="900" b="1" i="0" u="none" strike="noStrike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Calibri" panose="020F0502020204030204"/>
                    </a:rPr>
                    <a:t>2,40</a:t>
                  </a:r>
                </a:p>
              </cx:txP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6735987-5387-412D-B00D-0EBAAA6A84B3}">
          <cx:tx>
            <cx:txData>
              <cx:f>_xlchart.v1.6</cx:f>
              <cx:v>Spolu body Ženy</cx:v>
            </cx:txData>
          </cx:tx>
          <cx:dataLabels>
            <cx:visibility seriesName="0" categoryName="0" value="1"/>
            <cx:dataLabel idx="35">
              <cx:spPr>
                <a:solidFill>
                  <a:srgbClr val="7030A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1,95</a:t>
                  </a:r>
                </a:p>
              </cx:txPr>
            </cx:dataLabel>
            <cx:dataLabel idx="37">
              <cx:spPr>
                <a:solidFill>
                  <a:srgbClr val="FFFF0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/>
                  </a:pPr>
                  <a:r>
                    <a:rPr lang="sk-SK" sz="900" b="1" i="0" u="none" strike="noStrike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Calibri" panose="020F0502020204030204"/>
                    </a:rPr>
                    <a:t>2,22</a:t>
                  </a:r>
                </a:p>
              </cx:txPr>
            </cx:dataLabel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V</a:t>
            </a:r>
            <a:r>
              <a:rPr lang="sk-SK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ýška v cm (200 vzoriek)</a:t>
            </a:r>
          </a:p>
        </cx:rich>
      </cx:tx>
    </cx:title>
    <cx:plotArea>
      <cx:plotAreaRegion>
        <cx:series layoutId="boxWhisker" uniqueId="{F0E0C97B-D092-4FDF-925B-A6F19E922CB1}">
          <cx:tx>
            <cx:txData>
              <cx:f/>
              <cx:v>xi (200 vzoriek)</cx:v>
            </cx:txData>
          </cx:tx>
          <cx:dataLabels>
            <cx:visibility seriesName="0" categoryName="0" value="1"/>
            <cx:dataLabel idx="20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175,642917</a:t>
                  </a:r>
                </a:p>
              </cx:txPr>
              <cx:visibility seriesName="0" categoryName="0" value="1"/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100"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Výška v cm (144 vzoriek)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sk-SK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Výška v cm (144 vzoriek)</a:t>
          </a:r>
        </a:p>
      </cx:txPr>
    </cx:title>
    <cx:plotArea>
      <cx:plotAreaRegion>
        <cx:series layoutId="boxWhisker" uniqueId="{1166EC50-A57F-438B-BD0F-EB7C27CCA8FD}">
          <cx:tx>
            <cx:txData>
              <cx:f/>
              <cx:v>xi (144 vzoriek)</cx:v>
            </cx:txData>
          </cx:tx>
          <cx:dataLabels>
            <cx:visibility seriesName="0" categoryName="0" value="1"/>
            <cx:dataLabel idx="14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172,1827508</a:t>
                  </a:r>
                </a:p>
              </cx:txPr>
              <cx:visibility seriesName="0" categoryName="0" value="1"/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100"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V</a:t>
            </a:r>
            <a:r>
              <a:rPr lang="sk-SK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ýška v cm (200 vzoriek)</a:t>
            </a:r>
          </a:p>
        </cx:rich>
      </cx:tx>
    </cx:title>
    <cx:plotArea>
      <cx:plotAreaRegion>
        <cx:series layoutId="boxWhisker" uniqueId="{F0E0C97B-D092-4FDF-925B-A6F19E922CB1}">
          <cx:tx>
            <cx:txData>
              <cx:f/>
              <cx:v>xi (200 vzoriek)</cx:v>
            </cx:txData>
          </cx:tx>
          <cx:dataLabels>
            <cx:visibility seriesName="0" categoryName="0" value="1"/>
            <cx:dataLabel idx="20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175,642917</a:t>
                  </a:r>
                </a:p>
              </cx:txPr>
              <cx:visibility seriesName="0" categoryName="0" value="1"/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100"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Výška v cm (144 vzoriek)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sk-SK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Výška v cm (144 vzoriek)</a:t>
          </a:r>
        </a:p>
      </cx:txPr>
    </cx:title>
    <cx:plotArea>
      <cx:plotAreaRegion>
        <cx:series layoutId="boxWhisker" uniqueId="{1166EC50-A57F-438B-BD0F-EB7C27CCA8FD}">
          <cx:tx>
            <cx:txData>
              <cx:f/>
              <cx:v>xi (144 vzoriek)</cx:v>
            </cx:txData>
          </cx:tx>
          <cx:dataLabels>
            <cx:visibility seriesName="0" categoryName="0" value="1"/>
            <cx:dataLabel idx="14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172,1827508</a:t>
                  </a:r>
                </a:p>
              </cx:txPr>
              <cx:visibility seriesName="0" categoryName="0" value="1"/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100"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V</a:t>
            </a:r>
            <a:r>
              <a:rPr lang="sk-SK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ýška v cm (200 vzoriek)</a:t>
            </a:r>
          </a:p>
        </cx:rich>
      </cx:tx>
    </cx:title>
    <cx:plotArea>
      <cx:plotAreaRegion>
        <cx:series layoutId="boxWhisker" uniqueId="{F0E0C97B-D092-4FDF-925B-A6F19E922CB1}">
          <cx:tx>
            <cx:txData>
              <cx:f/>
              <cx:v>xi</cx:v>
            </cx:txData>
          </cx:tx>
          <cx:dataLabels>
            <cx:visibility seriesName="0" categoryName="0" value="1"/>
            <cx:dataLabel idx="20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175,642917</a:t>
                  </a:r>
                </a:p>
              </cx:txPr>
              <cx:visibility seriesName="0" categoryName="0" value="1"/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100"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Výška v cm (144 vzoriek)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sk-SK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Výška v cm (144 vzoriek)</a:t>
          </a:r>
        </a:p>
      </cx:txPr>
    </cx:title>
    <cx:plotArea>
      <cx:plotAreaRegion>
        <cx:series layoutId="boxWhisker" uniqueId="{1166EC50-A57F-438B-BD0F-EB7C27CCA8FD}">
          <cx:tx>
            <cx:txData>
              <cx:f/>
              <cx:v>xi</cx:v>
            </cx:txData>
          </cx:tx>
          <cx:dataLabels>
            <cx:visibility seriesName="0" categoryName="0" value="1"/>
            <cx:dataLabel idx="14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172,1827508</a:t>
                  </a:r>
                </a:p>
              </cx:txPr>
              <cx:visibility seriesName="0" categoryName="0" value="1"/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100"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sk-SK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Price</a:t>
          </a:r>
        </a:p>
      </cx:txPr>
    </cx:title>
    <cx:plotArea>
      <cx:plotAreaRegion>
        <cx:series layoutId="boxWhisker" uniqueId="{89DF9D15-C4FE-47F9-ACCB-CE5F5F7A02F7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sk-SK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0">
              <cx:spPr>
                <a:solidFill>
                  <a:schemeClr val="tx1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 135 000 </a:t>
                  </a:r>
                </a:p>
              </cx:txPr>
              <cx:visibility seriesName="0" categoryName="0" value="1"/>
            </cx:dataLabel>
            <cx:dataLabel idx="49">
              <cx:spPr>
                <a:solidFill>
                  <a:srgbClr val="FF000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 850 000 </a:t>
                  </a:r>
                </a:p>
              </cx:txPr>
              <cx:visibility seriesName="0" categoryName="0" value="1"/>
            </cx:dataLabel>
            <cx:dataLabel idx="50">
              <cx:spPr>
                <a:solidFill>
                  <a:srgbClr val="00B05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 228 713 </a:t>
                  </a:r>
                </a:p>
              </cx:txPr>
              <cx:visibility seriesName="0" categoryName="0" value="1"/>
            </cx:dataLabel>
            <cx:dataLabel idx="51">
              <cx:spPr>
                <a:solidFill>
                  <a:srgbClr val="FFFF0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chemeClr val="tx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 309 498 </a:t>
                  </a:r>
                </a:p>
              </cx:txPr>
              <cx:visibility seriesName="0" categoryName="0" value="1"/>
            </cx:dataLabel>
            <cx:dataLabel idx="52">
              <cx:spPr>
                <a:solidFill>
                  <a:srgbClr val="7030A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sk-SK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 449 613 </a:t>
                  </a:r>
                </a:p>
              </cx:txPr>
              <cx:visibility seriesName="0" categoryName="0" value="1"/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Názov grafu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sk-SK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Názov grafu</a:t>
          </a:r>
        </a:p>
      </cx:txPr>
    </cx:title>
    <cx:plotArea>
      <cx:plotAreaRegion>
        <cx:series layoutId="boxWhisker" uniqueId="{00EA3892-F2AD-42BD-ACA2-E820A1E1396C}">
          <cx:tx>
            <cx:txData>
              <cx:f/>
              <cx:v> Price 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/>
                </a:pPr>
                <a:endParaRPr lang="sk-SK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5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sk-SK" sz="12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 343 160 </a:t>
                  </a:r>
                </a:p>
              </cx:txPr>
              <cx:visibility seriesName="0" categoryName="0" value="1"/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2.png"/><Relationship Id="rId117" Type="http://schemas.openxmlformats.org/officeDocument/2006/relationships/image" Target="../media/image54.png"/><Relationship Id="rId21" Type="http://schemas.openxmlformats.org/officeDocument/2006/relationships/customXml" Target="../ink/ink11.xml"/><Relationship Id="rId42" Type="http://schemas.openxmlformats.org/officeDocument/2006/relationships/image" Target="../media/image20.png"/><Relationship Id="rId47" Type="http://schemas.openxmlformats.org/officeDocument/2006/relationships/image" Target="../media/image21.png"/><Relationship Id="rId63" Type="http://schemas.openxmlformats.org/officeDocument/2006/relationships/image" Target="../media/image28.png"/><Relationship Id="rId68" Type="http://schemas.openxmlformats.org/officeDocument/2006/relationships/customXml" Target="../ink/ink37.xml"/><Relationship Id="rId84" Type="http://schemas.openxmlformats.org/officeDocument/2006/relationships/customXml" Target="../ink/ink45.xml"/><Relationship Id="rId89" Type="http://schemas.openxmlformats.org/officeDocument/2006/relationships/image" Target="../media/image41.png"/><Relationship Id="rId112" Type="http://schemas.openxmlformats.org/officeDocument/2006/relationships/customXml" Target="../ink/ink60.xml"/><Relationship Id="rId16" Type="http://schemas.openxmlformats.org/officeDocument/2006/relationships/customXml" Target="../ink/ink8.xml"/><Relationship Id="rId107" Type="http://schemas.openxmlformats.org/officeDocument/2006/relationships/image" Target="../media/image49.png"/><Relationship Id="rId11" Type="http://schemas.openxmlformats.org/officeDocument/2006/relationships/image" Target="../media/image5.png"/><Relationship Id="rId32" Type="http://schemas.openxmlformats.org/officeDocument/2006/relationships/image" Target="../media/image15.png"/><Relationship Id="rId37" Type="http://schemas.openxmlformats.org/officeDocument/2006/relationships/customXml" Target="../ink/ink19.xml"/><Relationship Id="rId53" Type="http://schemas.openxmlformats.org/officeDocument/2006/relationships/image" Target="../media/image24.png"/><Relationship Id="rId58" Type="http://schemas.openxmlformats.org/officeDocument/2006/relationships/customXml" Target="../ink/ink31.xml"/><Relationship Id="rId74" Type="http://schemas.openxmlformats.org/officeDocument/2006/relationships/customXml" Target="../ink/ink40.xml"/><Relationship Id="rId79" Type="http://schemas.openxmlformats.org/officeDocument/2006/relationships/image" Target="../media/image36.png"/><Relationship Id="rId102" Type="http://schemas.openxmlformats.org/officeDocument/2006/relationships/customXml" Target="../ink/ink55.xml"/><Relationship Id="rId123" Type="http://schemas.openxmlformats.org/officeDocument/2006/relationships/image" Target="../media/image57.png"/><Relationship Id="rId5" Type="http://schemas.openxmlformats.org/officeDocument/2006/relationships/image" Target="../media/image2.png"/><Relationship Id="rId90" Type="http://schemas.openxmlformats.org/officeDocument/2006/relationships/customXml" Target="../ink/ink48.xml"/><Relationship Id="rId95" Type="http://schemas.openxmlformats.org/officeDocument/2006/relationships/image" Target="../media/image44.png"/><Relationship Id="rId19" Type="http://schemas.openxmlformats.org/officeDocument/2006/relationships/customXml" Target="../ink/ink10.xml"/><Relationship Id="rId14" Type="http://schemas.openxmlformats.org/officeDocument/2006/relationships/customXml" Target="../ink/ink7.xml"/><Relationship Id="rId22" Type="http://schemas.openxmlformats.org/officeDocument/2006/relationships/image" Target="../media/image10.png"/><Relationship Id="rId27" Type="http://schemas.openxmlformats.org/officeDocument/2006/relationships/customXml" Target="../ink/ink14.xml"/><Relationship Id="rId30" Type="http://schemas.openxmlformats.org/officeDocument/2006/relationships/image" Target="../media/image14.png"/><Relationship Id="rId35" Type="http://schemas.openxmlformats.org/officeDocument/2006/relationships/customXml" Target="../ink/ink18.xml"/><Relationship Id="rId43" Type="http://schemas.openxmlformats.org/officeDocument/2006/relationships/customXml" Target="../ink/ink22.xml"/><Relationship Id="rId48" Type="http://schemas.openxmlformats.org/officeDocument/2006/relationships/customXml" Target="../ink/ink26.xml"/><Relationship Id="rId56" Type="http://schemas.openxmlformats.org/officeDocument/2006/relationships/customXml" Target="../ink/ink30.xml"/><Relationship Id="rId64" Type="http://schemas.openxmlformats.org/officeDocument/2006/relationships/customXml" Target="../ink/ink35.xml"/><Relationship Id="rId69" Type="http://schemas.openxmlformats.org/officeDocument/2006/relationships/image" Target="../media/image31.png"/><Relationship Id="rId77" Type="http://schemas.openxmlformats.org/officeDocument/2006/relationships/image" Target="../media/image35.png"/><Relationship Id="rId100" Type="http://schemas.openxmlformats.org/officeDocument/2006/relationships/customXml" Target="../ink/ink53.xml"/><Relationship Id="rId105" Type="http://schemas.openxmlformats.org/officeDocument/2006/relationships/image" Target="../media/image48.png"/><Relationship Id="rId113" Type="http://schemas.openxmlformats.org/officeDocument/2006/relationships/image" Target="../media/image52.png"/><Relationship Id="rId118" Type="http://schemas.openxmlformats.org/officeDocument/2006/relationships/customXml" Target="../ink/ink63.xml"/><Relationship Id="rId126" Type="http://schemas.openxmlformats.org/officeDocument/2006/relationships/customXml" Target="../ink/ink67.xml"/><Relationship Id="rId8" Type="http://schemas.openxmlformats.org/officeDocument/2006/relationships/customXml" Target="../ink/ink4.xml"/><Relationship Id="rId51" Type="http://schemas.openxmlformats.org/officeDocument/2006/relationships/image" Target="../media/image23.png"/><Relationship Id="rId72" Type="http://schemas.openxmlformats.org/officeDocument/2006/relationships/customXml" Target="../ink/ink39.xml"/><Relationship Id="rId80" Type="http://schemas.openxmlformats.org/officeDocument/2006/relationships/customXml" Target="../ink/ink43.xml"/><Relationship Id="rId85" Type="http://schemas.openxmlformats.org/officeDocument/2006/relationships/image" Target="../media/image39.png"/><Relationship Id="rId93" Type="http://schemas.openxmlformats.org/officeDocument/2006/relationships/image" Target="../media/image43.png"/><Relationship Id="rId98" Type="http://schemas.openxmlformats.org/officeDocument/2006/relationships/customXml" Target="../ink/ink52.xml"/><Relationship Id="rId121" Type="http://schemas.openxmlformats.org/officeDocument/2006/relationships/image" Target="../media/image56.png"/><Relationship Id="rId3" Type="http://schemas.openxmlformats.org/officeDocument/2006/relationships/image" Target="../media/image1.png"/><Relationship Id="rId12" Type="http://schemas.openxmlformats.org/officeDocument/2006/relationships/customXml" Target="../ink/ink6.xml"/><Relationship Id="rId17" Type="http://schemas.openxmlformats.org/officeDocument/2006/relationships/customXml" Target="../ink/ink9.xml"/><Relationship Id="rId25" Type="http://schemas.openxmlformats.org/officeDocument/2006/relationships/customXml" Target="../ink/ink13.xml"/><Relationship Id="rId33" Type="http://schemas.openxmlformats.org/officeDocument/2006/relationships/customXml" Target="../ink/ink17.xml"/><Relationship Id="rId38" Type="http://schemas.openxmlformats.org/officeDocument/2006/relationships/image" Target="../media/image18.png"/><Relationship Id="rId46" Type="http://schemas.openxmlformats.org/officeDocument/2006/relationships/customXml" Target="../ink/ink25.xml"/><Relationship Id="rId59" Type="http://schemas.openxmlformats.org/officeDocument/2006/relationships/customXml" Target="../ink/ink32.xml"/><Relationship Id="rId67" Type="http://schemas.openxmlformats.org/officeDocument/2006/relationships/image" Target="../media/image30.png"/><Relationship Id="rId103" Type="http://schemas.openxmlformats.org/officeDocument/2006/relationships/image" Target="../media/image47.png"/><Relationship Id="rId108" Type="http://schemas.openxmlformats.org/officeDocument/2006/relationships/customXml" Target="../ink/ink58.xml"/><Relationship Id="rId116" Type="http://schemas.openxmlformats.org/officeDocument/2006/relationships/customXml" Target="../ink/ink62.xml"/><Relationship Id="rId124" Type="http://schemas.openxmlformats.org/officeDocument/2006/relationships/customXml" Target="../ink/ink66.xml"/><Relationship Id="rId20" Type="http://schemas.openxmlformats.org/officeDocument/2006/relationships/image" Target="../media/image9.png"/><Relationship Id="rId41" Type="http://schemas.openxmlformats.org/officeDocument/2006/relationships/customXml" Target="../ink/ink21.xml"/><Relationship Id="rId54" Type="http://schemas.openxmlformats.org/officeDocument/2006/relationships/customXml" Target="../ink/ink29.xml"/><Relationship Id="rId62" Type="http://schemas.openxmlformats.org/officeDocument/2006/relationships/customXml" Target="../ink/ink34.xml"/><Relationship Id="rId70" Type="http://schemas.openxmlformats.org/officeDocument/2006/relationships/customXml" Target="../ink/ink38.xml"/><Relationship Id="rId75" Type="http://schemas.openxmlformats.org/officeDocument/2006/relationships/image" Target="../media/image34.png"/><Relationship Id="rId83" Type="http://schemas.openxmlformats.org/officeDocument/2006/relationships/image" Target="../media/image38.png"/><Relationship Id="rId88" Type="http://schemas.openxmlformats.org/officeDocument/2006/relationships/customXml" Target="../ink/ink47.xml"/><Relationship Id="rId91" Type="http://schemas.openxmlformats.org/officeDocument/2006/relationships/image" Target="../media/image42.png"/><Relationship Id="rId96" Type="http://schemas.openxmlformats.org/officeDocument/2006/relationships/customXml" Target="../ink/ink51.xml"/><Relationship Id="rId111" Type="http://schemas.openxmlformats.org/officeDocument/2006/relationships/image" Target="../media/image51.png"/><Relationship Id="rId1" Type="http://schemas.microsoft.com/office/2014/relationships/chartEx" Target="../charts/chartEx1.xml"/><Relationship Id="rId6" Type="http://schemas.openxmlformats.org/officeDocument/2006/relationships/customXml" Target="../ink/ink3.xml"/><Relationship Id="rId15" Type="http://schemas.openxmlformats.org/officeDocument/2006/relationships/image" Target="../media/image7.png"/><Relationship Id="rId23" Type="http://schemas.openxmlformats.org/officeDocument/2006/relationships/customXml" Target="../ink/ink12.xml"/><Relationship Id="rId28" Type="http://schemas.openxmlformats.org/officeDocument/2006/relationships/image" Target="../media/image13.png"/><Relationship Id="rId36" Type="http://schemas.openxmlformats.org/officeDocument/2006/relationships/image" Target="../media/image17.png"/><Relationship Id="rId49" Type="http://schemas.openxmlformats.org/officeDocument/2006/relationships/image" Target="../media/image22.png"/><Relationship Id="rId57" Type="http://schemas.openxmlformats.org/officeDocument/2006/relationships/image" Target="../media/image26.png"/><Relationship Id="rId106" Type="http://schemas.openxmlformats.org/officeDocument/2006/relationships/customXml" Target="../ink/ink57.xml"/><Relationship Id="rId114" Type="http://schemas.openxmlformats.org/officeDocument/2006/relationships/customXml" Target="../ink/ink61.xml"/><Relationship Id="rId119" Type="http://schemas.openxmlformats.org/officeDocument/2006/relationships/image" Target="../media/image55.png"/><Relationship Id="rId127" Type="http://schemas.openxmlformats.org/officeDocument/2006/relationships/image" Target="../media/image59.png"/><Relationship Id="rId10" Type="http://schemas.openxmlformats.org/officeDocument/2006/relationships/customXml" Target="../ink/ink5.xml"/><Relationship Id="rId31" Type="http://schemas.openxmlformats.org/officeDocument/2006/relationships/customXml" Target="../ink/ink16.xml"/><Relationship Id="rId44" Type="http://schemas.openxmlformats.org/officeDocument/2006/relationships/customXml" Target="../ink/ink23.xml"/><Relationship Id="rId52" Type="http://schemas.openxmlformats.org/officeDocument/2006/relationships/customXml" Target="../ink/ink28.xml"/><Relationship Id="rId60" Type="http://schemas.openxmlformats.org/officeDocument/2006/relationships/customXml" Target="../ink/ink33.xml"/><Relationship Id="rId65" Type="http://schemas.openxmlformats.org/officeDocument/2006/relationships/image" Target="../media/image29.png"/><Relationship Id="rId73" Type="http://schemas.openxmlformats.org/officeDocument/2006/relationships/image" Target="../media/image33.png"/><Relationship Id="rId78" Type="http://schemas.openxmlformats.org/officeDocument/2006/relationships/customXml" Target="../ink/ink42.xml"/><Relationship Id="rId81" Type="http://schemas.openxmlformats.org/officeDocument/2006/relationships/image" Target="../media/image37.png"/><Relationship Id="rId86" Type="http://schemas.openxmlformats.org/officeDocument/2006/relationships/customXml" Target="../ink/ink46.xml"/><Relationship Id="rId94" Type="http://schemas.openxmlformats.org/officeDocument/2006/relationships/customXml" Target="../ink/ink50.xml"/><Relationship Id="rId99" Type="http://schemas.openxmlformats.org/officeDocument/2006/relationships/image" Target="../media/image46.png"/><Relationship Id="rId101" Type="http://schemas.openxmlformats.org/officeDocument/2006/relationships/customXml" Target="../ink/ink54.xml"/><Relationship Id="rId122" Type="http://schemas.openxmlformats.org/officeDocument/2006/relationships/customXml" Target="../ink/ink65.xml"/><Relationship Id="rId4" Type="http://schemas.openxmlformats.org/officeDocument/2006/relationships/customXml" Target="../ink/ink2.xml"/><Relationship Id="rId9" Type="http://schemas.openxmlformats.org/officeDocument/2006/relationships/image" Target="../media/image4.png"/><Relationship Id="rId13" Type="http://schemas.openxmlformats.org/officeDocument/2006/relationships/image" Target="../media/image6.png"/><Relationship Id="rId18" Type="http://schemas.openxmlformats.org/officeDocument/2006/relationships/image" Target="../media/image8.png"/><Relationship Id="rId39" Type="http://schemas.openxmlformats.org/officeDocument/2006/relationships/customXml" Target="../ink/ink20.xml"/><Relationship Id="rId109" Type="http://schemas.openxmlformats.org/officeDocument/2006/relationships/image" Target="../media/image50.png"/><Relationship Id="rId34" Type="http://schemas.openxmlformats.org/officeDocument/2006/relationships/image" Target="../media/image16.png"/><Relationship Id="rId50" Type="http://schemas.openxmlformats.org/officeDocument/2006/relationships/customXml" Target="../ink/ink27.xml"/><Relationship Id="rId55" Type="http://schemas.openxmlformats.org/officeDocument/2006/relationships/image" Target="../media/image25.png"/><Relationship Id="rId76" Type="http://schemas.openxmlformats.org/officeDocument/2006/relationships/customXml" Target="../ink/ink41.xml"/><Relationship Id="rId97" Type="http://schemas.openxmlformats.org/officeDocument/2006/relationships/image" Target="../media/image45.png"/><Relationship Id="rId104" Type="http://schemas.openxmlformats.org/officeDocument/2006/relationships/customXml" Target="../ink/ink56.xml"/><Relationship Id="rId120" Type="http://schemas.openxmlformats.org/officeDocument/2006/relationships/customXml" Target="../ink/ink64.xml"/><Relationship Id="rId125" Type="http://schemas.openxmlformats.org/officeDocument/2006/relationships/image" Target="../media/image58.png"/><Relationship Id="rId7" Type="http://schemas.openxmlformats.org/officeDocument/2006/relationships/image" Target="../media/image3.png"/><Relationship Id="rId71" Type="http://schemas.openxmlformats.org/officeDocument/2006/relationships/image" Target="../media/image32.png"/><Relationship Id="rId92" Type="http://schemas.openxmlformats.org/officeDocument/2006/relationships/customXml" Target="../ink/ink49.xml"/><Relationship Id="rId2" Type="http://schemas.openxmlformats.org/officeDocument/2006/relationships/customXml" Target="../ink/ink1.xml"/><Relationship Id="rId29" Type="http://schemas.openxmlformats.org/officeDocument/2006/relationships/customXml" Target="../ink/ink15.xml"/><Relationship Id="rId24" Type="http://schemas.openxmlformats.org/officeDocument/2006/relationships/image" Target="../media/image11.png"/><Relationship Id="rId40" Type="http://schemas.openxmlformats.org/officeDocument/2006/relationships/image" Target="../media/image19.png"/><Relationship Id="rId45" Type="http://schemas.openxmlformats.org/officeDocument/2006/relationships/customXml" Target="../ink/ink24.xml"/><Relationship Id="rId66" Type="http://schemas.openxmlformats.org/officeDocument/2006/relationships/customXml" Target="../ink/ink36.xml"/><Relationship Id="rId87" Type="http://schemas.openxmlformats.org/officeDocument/2006/relationships/image" Target="../media/image40.png"/><Relationship Id="rId110" Type="http://schemas.openxmlformats.org/officeDocument/2006/relationships/customXml" Target="../ink/ink59.xml"/><Relationship Id="rId115" Type="http://schemas.openxmlformats.org/officeDocument/2006/relationships/image" Target="../media/image53.png"/><Relationship Id="rId61" Type="http://schemas.openxmlformats.org/officeDocument/2006/relationships/image" Target="../media/image27.png"/><Relationship Id="rId82" Type="http://schemas.openxmlformats.org/officeDocument/2006/relationships/customXml" Target="../ink/ink44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2.png"/><Relationship Id="rId21" Type="http://schemas.openxmlformats.org/officeDocument/2006/relationships/customXml" Target="../ink/ink78.xml"/><Relationship Id="rId42" Type="http://schemas.openxmlformats.org/officeDocument/2006/relationships/image" Target="../media/image20.png"/><Relationship Id="rId47" Type="http://schemas.openxmlformats.org/officeDocument/2006/relationships/image" Target="../media/image21.png"/><Relationship Id="rId63" Type="http://schemas.openxmlformats.org/officeDocument/2006/relationships/image" Target="../media/image28.png"/><Relationship Id="rId68" Type="http://schemas.openxmlformats.org/officeDocument/2006/relationships/customXml" Target="../ink/ink104.xml"/><Relationship Id="rId84" Type="http://schemas.openxmlformats.org/officeDocument/2006/relationships/customXml" Target="../ink/ink112.xml"/><Relationship Id="rId89" Type="http://schemas.openxmlformats.org/officeDocument/2006/relationships/image" Target="../media/image38.png"/><Relationship Id="rId7" Type="http://schemas.openxmlformats.org/officeDocument/2006/relationships/image" Target="../media/image3.png"/><Relationship Id="rId71" Type="http://schemas.openxmlformats.org/officeDocument/2006/relationships/image" Target="../media/image32.png"/><Relationship Id="rId92" Type="http://schemas.openxmlformats.org/officeDocument/2006/relationships/customXml" Target="../ink/ink116.xml"/><Relationship Id="rId2" Type="http://schemas.openxmlformats.org/officeDocument/2006/relationships/customXml" Target="../ink/ink68.xml"/><Relationship Id="rId16" Type="http://schemas.openxmlformats.org/officeDocument/2006/relationships/customXml" Target="../ink/ink75.xml"/><Relationship Id="rId29" Type="http://schemas.openxmlformats.org/officeDocument/2006/relationships/customXml" Target="../ink/ink82.xml"/><Relationship Id="rId107" Type="http://schemas.openxmlformats.org/officeDocument/2006/relationships/image" Target="../media/image46.png"/><Relationship Id="rId11" Type="http://schemas.openxmlformats.org/officeDocument/2006/relationships/image" Target="../media/image5.png"/><Relationship Id="rId24" Type="http://schemas.openxmlformats.org/officeDocument/2006/relationships/image" Target="../media/image11.png"/><Relationship Id="rId32" Type="http://schemas.openxmlformats.org/officeDocument/2006/relationships/image" Target="../media/image15.png"/><Relationship Id="rId37" Type="http://schemas.openxmlformats.org/officeDocument/2006/relationships/customXml" Target="../ink/ink86.xml"/><Relationship Id="rId40" Type="http://schemas.openxmlformats.org/officeDocument/2006/relationships/image" Target="../media/image19.png"/><Relationship Id="rId45" Type="http://schemas.openxmlformats.org/officeDocument/2006/relationships/customXml" Target="../ink/ink91.xml"/><Relationship Id="rId53" Type="http://schemas.openxmlformats.org/officeDocument/2006/relationships/image" Target="../media/image24.png"/><Relationship Id="rId58" Type="http://schemas.openxmlformats.org/officeDocument/2006/relationships/customXml" Target="../ink/ink98.xml"/><Relationship Id="rId66" Type="http://schemas.openxmlformats.org/officeDocument/2006/relationships/customXml" Target="../ink/ink103.xml"/><Relationship Id="rId74" Type="http://schemas.openxmlformats.org/officeDocument/2006/relationships/customXml" Target="../ink/ink107.xml"/><Relationship Id="rId79" Type="http://schemas.openxmlformats.org/officeDocument/2006/relationships/image" Target="../media/image60.png"/><Relationship Id="rId87" Type="http://schemas.openxmlformats.org/officeDocument/2006/relationships/image" Target="../media/image37.png"/><Relationship Id="rId102" Type="http://schemas.openxmlformats.org/officeDocument/2006/relationships/customXml" Target="../ink/ink121.xml"/><Relationship Id="rId5" Type="http://schemas.openxmlformats.org/officeDocument/2006/relationships/image" Target="../media/image2.png"/><Relationship Id="rId61" Type="http://schemas.openxmlformats.org/officeDocument/2006/relationships/image" Target="../media/image27.png"/><Relationship Id="rId82" Type="http://schemas.openxmlformats.org/officeDocument/2006/relationships/customXml" Target="../ink/ink111.xml"/><Relationship Id="rId90" Type="http://schemas.openxmlformats.org/officeDocument/2006/relationships/customXml" Target="../ink/ink115.xml"/><Relationship Id="rId95" Type="http://schemas.openxmlformats.org/officeDocument/2006/relationships/image" Target="../media/image41.png"/><Relationship Id="rId19" Type="http://schemas.openxmlformats.org/officeDocument/2006/relationships/customXml" Target="../ink/ink77.xml"/><Relationship Id="rId14" Type="http://schemas.openxmlformats.org/officeDocument/2006/relationships/customXml" Target="../ink/ink74.xml"/><Relationship Id="rId22" Type="http://schemas.openxmlformats.org/officeDocument/2006/relationships/image" Target="../media/image10.png"/><Relationship Id="rId27" Type="http://schemas.openxmlformats.org/officeDocument/2006/relationships/customXml" Target="../ink/ink81.xml"/><Relationship Id="rId30" Type="http://schemas.openxmlformats.org/officeDocument/2006/relationships/image" Target="../media/image14.png"/><Relationship Id="rId35" Type="http://schemas.openxmlformats.org/officeDocument/2006/relationships/customXml" Target="../ink/ink85.xml"/><Relationship Id="rId43" Type="http://schemas.openxmlformats.org/officeDocument/2006/relationships/customXml" Target="../ink/ink89.xml"/><Relationship Id="rId48" Type="http://schemas.openxmlformats.org/officeDocument/2006/relationships/customXml" Target="../ink/ink93.xml"/><Relationship Id="rId56" Type="http://schemas.openxmlformats.org/officeDocument/2006/relationships/customXml" Target="../ink/ink97.xml"/><Relationship Id="rId64" Type="http://schemas.openxmlformats.org/officeDocument/2006/relationships/customXml" Target="../ink/ink102.xml"/><Relationship Id="rId69" Type="http://schemas.openxmlformats.org/officeDocument/2006/relationships/image" Target="../media/image31.png"/><Relationship Id="rId77" Type="http://schemas.openxmlformats.org/officeDocument/2006/relationships/image" Target="../media/image35.png"/><Relationship Id="rId100" Type="http://schemas.openxmlformats.org/officeDocument/2006/relationships/customXml" Target="../ink/ink120.xml"/><Relationship Id="rId105" Type="http://schemas.openxmlformats.org/officeDocument/2006/relationships/image" Target="../media/image45.png"/><Relationship Id="rId8" Type="http://schemas.openxmlformats.org/officeDocument/2006/relationships/customXml" Target="../ink/ink71.xml"/><Relationship Id="rId51" Type="http://schemas.openxmlformats.org/officeDocument/2006/relationships/image" Target="../media/image23.png"/><Relationship Id="rId72" Type="http://schemas.openxmlformats.org/officeDocument/2006/relationships/customXml" Target="../ink/ink106.xml"/><Relationship Id="rId80" Type="http://schemas.openxmlformats.org/officeDocument/2006/relationships/customXml" Target="../ink/ink110.xml"/><Relationship Id="rId85" Type="http://schemas.openxmlformats.org/officeDocument/2006/relationships/image" Target="../media/image36.png"/><Relationship Id="rId93" Type="http://schemas.openxmlformats.org/officeDocument/2006/relationships/image" Target="../media/image40.png"/><Relationship Id="rId98" Type="http://schemas.openxmlformats.org/officeDocument/2006/relationships/customXml" Target="../ink/ink119.xml"/><Relationship Id="rId3" Type="http://schemas.openxmlformats.org/officeDocument/2006/relationships/image" Target="../media/image1.png"/><Relationship Id="rId12" Type="http://schemas.openxmlformats.org/officeDocument/2006/relationships/customXml" Target="../ink/ink73.xml"/><Relationship Id="rId17" Type="http://schemas.openxmlformats.org/officeDocument/2006/relationships/customXml" Target="../ink/ink76.xml"/><Relationship Id="rId25" Type="http://schemas.openxmlformats.org/officeDocument/2006/relationships/customXml" Target="../ink/ink80.xml"/><Relationship Id="rId33" Type="http://schemas.openxmlformats.org/officeDocument/2006/relationships/customXml" Target="../ink/ink84.xml"/><Relationship Id="rId38" Type="http://schemas.openxmlformats.org/officeDocument/2006/relationships/image" Target="../media/image18.png"/><Relationship Id="rId46" Type="http://schemas.openxmlformats.org/officeDocument/2006/relationships/customXml" Target="../ink/ink92.xml"/><Relationship Id="rId59" Type="http://schemas.openxmlformats.org/officeDocument/2006/relationships/customXml" Target="../ink/ink99.xml"/><Relationship Id="rId67" Type="http://schemas.openxmlformats.org/officeDocument/2006/relationships/image" Target="../media/image30.png"/><Relationship Id="rId103" Type="http://schemas.openxmlformats.org/officeDocument/2006/relationships/image" Target="../media/image44.png"/><Relationship Id="rId20" Type="http://schemas.openxmlformats.org/officeDocument/2006/relationships/image" Target="../media/image9.png"/><Relationship Id="rId41" Type="http://schemas.openxmlformats.org/officeDocument/2006/relationships/customXml" Target="../ink/ink88.xml"/><Relationship Id="rId54" Type="http://schemas.openxmlformats.org/officeDocument/2006/relationships/customXml" Target="../ink/ink96.xml"/><Relationship Id="rId62" Type="http://schemas.openxmlformats.org/officeDocument/2006/relationships/customXml" Target="../ink/ink101.xml"/><Relationship Id="rId70" Type="http://schemas.openxmlformats.org/officeDocument/2006/relationships/customXml" Target="../ink/ink105.xml"/><Relationship Id="rId75" Type="http://schemas.openxmlformats.org/officeDocument/2006/relationships/image" Target="../media/image34.png"/><Relationship Id="rId83" Type="http://schemas.openxmlformats.org/officeDocument/2006/relationships/image" Target="../media/image62.png"/><Relationship Id="rId88" Type="http://schemas.openxmlformats.org/officeDocument/2006/relationships/customXml" Target="../ink/ink114.xml"/><Relationship Id="rId91" Type="http://schemas.openxmlformats.org/officeDocument/2006/relationships/image" Target="../media/image39.png"/><Relationship Id="rId96" Type="http://schemas.openxmlformats.org/officeDocument/2006/relationships/customXml" Target="../ink/ink118.xml"/><Relationship Id="rId1" Type="http://schemas.microsoft.com/office/2014/relationships/chartEx" Target="../charts/chartEx2.xml"/><Relationship Id="rId6" Type="http://schemas.openxmlformats.org/officeDocument/2006/relationships/customXml" Target="../ink/ink70.xml"/><Relationship Id="rId15" Type="http://schemas.openxmlformats.org/officeDocument/2006/relationships/image" Target="../media/image7.png"/><Relationship Id="rId23" Type="http://schemas.openxmlformats.org/officeDocument/2006/relationships/customXml" Target="../ink/ink79.xml"/><Relationship Id="rId28" Type="http://schemas.openxmlformats.org/officeDocument/2006/relationships/image" Target="../media/image13.png"/><Relationship Id="rId36" Type="http://schemas.openxmlformats.org/officeDocument/2006/relationships/image" Target="../media/image17.png"/><Relationship Id="rId49" Type="http://schemas.openxmlformats.org/officeDocument/2006/relationships/image" Target="../media/image22.png"/><Relationship Id="rId57" Type="http://schemas.openxmlformats.org/officeDocument/2006/relationships/image" Target="../media/image26.png"/><Relationship Id="rId106" Type="http://schemas.openxmlformats.org/officeDocument/2006/relationships/customXml" Target="../ink/ink123.xml"/><Relationship Id="rId10" Type="http://schemas.openxmlformats.org/officeDocument/2006/relationships/customXml" Target="../ink/ink72.xml"/><Relationship Id="rId31" Type="http://schemas.openxmlformats.org/officeDocument/2006/relationships/customXml" Target="../ink/ink83.xml"/><Relationship Id="rId44" Type="http://schemas.openxmlformats.org/officeDocument/2006/relationships/customXml" Target="../ink/ink90.xml"/><Relationship Id="rId52" Type="http://schemas.openxmlformats.org/officeDocument/2006/relationships/customXml" Target="../ink/ink95.xml"/><Relationship Id="rId60" Type="http://schemas.openxmlformats.org/officeDocument/2006/relationships/customXml" Target="../ink/ink100.xml"/><Relationship Id="rId65" Type="http://schemas.openxmlformats.org/officeDocument/2006/relationships/image" Target="../media/image29.png"/><Relationship Id="rId73" Type="http://schemas.openxmlformats.org/officeDocument/2006/relationships/image" Target="../media/image33.png"/><Relationship Id="rId78" Type="http://schemas.openxmlformats.org/officeDocument/2006/relationships/customXml" Target="../ink/ink109.xml"/><Relationship Id="rId81" Type="http://schemas.openxmlformats.org/officeDocument/2006/relationships/image" Target="../media/image61.png"/><Relationship Id="rId86" Type="http://schemas.openxmlformats.org/officeDocument/2006/relationships/customXml" Target="../ink/ink113.xml"/><Relationship Id="rId94" Type="http://schemas.openxmlformats.org/officeDocument/2006/relationships/customXml" Target="../ink/ink117.xml"/><Relationship Id="rId99" Type="http://schemas.openxmlformats.org/officeDocument/2006/relationships/image" Target="../media/image42.png"/><Relationship Id="rId101" Type="http://schemas.openxmlformats.org/officeDocument/2006/relationships/image" Target="../media/image43.png"/><Relationship Id="rId4" Type="http://schemas.openxmlformats.org/officeDocument/2006/relationships/customXml" Target="../ink/ink69.xml"/><Relationship Id="rId9" Type="http://schemas.openxmlformats.org/officeDocument/2006/relationships/image" Target="../media/image4.png"/><Relationship Id="rId13" Type="http://schemas.openxmlformats.org/officeDocument/2006/relationships/image" Target="../media/image6.png"/><Relationship Id="rId18" Type="http://schemas.openxmlformats.org/officeDocument/2006/relationships/image" Target="../media/image8.png"/><Relationship Id="rId39" Type="http://schemas.openxmlformats.org/officeDocument/2006/relationships/customXml" Target="../ink/ink87.xml"/><Relationship Id="rId34" Type="http://schemas.openxmlformats.org/officeDocument/2006/relationships/image" Target="../media/image16.png"/><Relationship Id="rId50" Type="http://schemas.openxmlformats.org/officeDocument/2006/relationships/customXml" Target="../ink/ink94.xml"/><Relationship Id="rId55" Type="http://schemas.openxmlformats.org/officeDocument/2006/relationships/image" Target="../media/image25.png"/><Relationship Id="rId76" Type="http://schemas.openxmlformats.org/officeDocument/2006/relationships/customXml" Target="../ink/ink108.xml"/><Relationship Id="rId97" Type="http://schemas.openxmlformats.org/officeDocument/2006/relationships/image" Target="../media/image63.png"/><Relationship Id="rId104" Type="http://schemas.openxmlformats.org/officeDocument/2006/relationships/customXml" Target="../ink/ink12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emf"/><Relationship Id="rId1" Type="http://schemas.openxmlformats.org/officeDocument/2006/relationships/image" Target="../media/image6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emf"/><Relationship Id="rId1" Type="http://schemas.openxmlformats.org/officeDocument/2006/relationships/image" Target="../media/image67.png"/><Relationship Id="rId5" Type="http://schemas.openxmlformats.org/officeDocument/2006/relationships/image" Target="../media/image712.png"/><Relationship Id="rId4" Type="http://schemas.openxmlformats.org/officeDocument/2006/relationships/customXml" Target="../ink/ink124.xml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10.png"/><Relationship Id="rId117" Type="http://schemas.openxmlformats.org/officeDocument/2006/relationships/image" Target="../media/image590.png"/><Relationship Id="rId21" Type="http://schemas.openxmlformats.org/officeDocument/2006/relationships/customXml" Target="../ink/ink134.xml"/><Relationship Id="rId42" Type="http://schemas.openxmlformats.org/officeDocument/2006/relationships/image" Target="../media/image220.png"/><Relationship Id="rId47" Type="http://schemas.openxmlformats.org/officeDocument/2006/relationships/customXml" Target="../ink/ink147.xml"/><Relationship Id="rId63" Type="http://schemas.openxmlformats.org/officeDocument/2006/relationships/image" Target="../media/image320.png"/><Relationship Id="rId68" Type="http://schemas.openxmlformats.org/officeDocument/2006/relationships/customXml" Target="../ink/ink158.xml"/><Relationship Id="rId84" Type="http://schemas.openxmlformats.org/officeDocument/2006/relationships/customXml" Target="../ink/ink166.xml"/><Relationship Id="rId89" Type="http://schemas.openxmlformats.org/officeDocument/2006/relationships/image" Target="../media/image450.png"/><Relationship Id="rId112" Type="http://schemas.openxmlformats.org/officeDocument/2006/relationships/customXml" Target="../ink/ink180.xml"/><Relationship Id="rId133" Type="http://schemas.openxmlformats.org/officeDocument/2006/relationships/image" Target="../media/image670.png"/><Relationship Id="rId138" Type="http://schemas.openxmlformats.org/officeDocument/2006/relationships/customXml" Target="../ink/ink193.xml"/><Relationship Id="rId154" Type="http://schemas.openxmlformats.org/officeDocument/2006/relationships/customXml" Target="../ink/ink201.xml"/><Relationship Id="rId159" Type="http://schemas.openxmlformats.org/officeDocument/2006/relationships/image" Target="../media/image80.png"/><Relationship Id="rId175" Type="http://schemas.openxmlformats.org/officeDocument/2006/relationships/image" Target="../media/image120.png"/><Relationship Id="rId170" Type="http://schemas.openxmlformats.org/officeDocument/2006/relationships/customXml" Target="../ink/ink209.xml"/><Relationship Id="rId16" Type="http://schemas.openxmlformats.org/officeDocument/2006/relationships/image" Target="../media/image910.png"/><Relationship Id="rId107" Type="http://schemas.openxmlformats.org/officeDocument/2006/relationships/image" Target="../media/image540.png"/><Relationship Id="rId11" Type="http://schemas.openxmlformats.org/officeDocument/2006/relationships/customXml" Target="../ink/ink129.xml"/><Relationship Id="rId32" Type="http://schemas.openxmlformats.org/officeDocument/2006/relationships/image" Target="../media/image1710.png"/><Relationship Id="rId37" Type="http://schemas.openxmlformats.org/officeDocument/2006/relationships/customXml" Target="../ink/ink142.xml"/><Relationship Id="rId53" Type="http://schemas.openxmlformats.org/officeDocument/2006/relationships/customXml" Target="../ink/ink150.xml"/><Relationship Id="rId58" Type="http://schemas.openxmlformats.org/officeDocument/2006/relationships/image" Target="../media/image300.png"/><Relationship Id="rId74" Type="http://schemas.openxmlformats.org/officeDocument/2006/relationships/customXml" Target="../ink/ink161.xml"/><Relationship Id="rId79" Type="http://schemas.openxmlformats.org/officeDocument/2006/relationships/image" Target="../media/image400.png"/><Relationship Id="rId102" Type="http://schemas.openxmlformats.org/officeDocument/2006/relationships/customXml" Target="../ink/ink175.xml"/><Relationship Id="rId123" Type="http://schemas.openxmlformats.org/officeDocument/2006/relationships/image" Target="../media/image620.png"/><Relationship Id="rId128" Type="http://schemas.openxmlformats.org/officeDocument/2006/relationships/customXml" Target="../ink/ink188.xml"/><Relationship Id="rId144" Type="http://schemas.openxmlformats.org/officeDocument/2006/relationships/customXml" Target="../ink/ink196.xml"/><Relationship Id="rId149" Type="http://schemas.openxmlformats.org/officeDocument/2006/relationships/image" Target="../media/image75.png"/><Relationship Id="rId5" Type="http://schemas.openxmlformats.org/officeDocument/2006/relationships/customXml" Target="../ink/ink126.xml"/><Relationship Id="rId90" Type="http://schemas.openxmlformats.org/officeDocument/2006/relationships/customXml" Target="../ink/ink169.xml"/><Relationship Id="rId95" Type="http://schemas.openxmlformats.org/officeDocument/2006/relationships/image" Target="../media/image480.png"/><Relationship Id="rId160" Type="http://schemas.openxmlformats.org/officeDocument/2006/relationships/customXml" Target="../ink/ink204.xml"/><Relationship Id="rId165" Type="http://schemas.openxmlformats.org/officeDocument/2006/relationships/image" Target="../media/image83.png"/><Relationship Id="rId22" Type="http://schemas.openxmlformats.org/officeDocument/2006/relationships/image" Target="../media/image1210.png"/><Relationship Id="rId27" Type="http://schemas.openxmlformats.org/officeDocument/2006/relationships/customXml" Target="../ink/ink137.xml"/><Relationship Id="rId43" Type="http://schemas.openxmlformats.org/officeDocument/2006/relationships/customXml" Target="../ink/ink145.xml"/><Relationship Id="rId48" Type="http://schemas.openxmlformats.org/officeDocument/2006/relationships/image" Target="../media/image250.png"/><Relationship Id="rId64" Type="http://schemas.openxmlformats.org/officeDocument/2006/relationships/customXml" Target="../ink/ink156.xml"/><Relationship Id="rId69" Type="http://schemas.openxmlformats.org/officeDocument/2006/relationships/image" Target="../media/image350.png"/><Relationship Id="rId113" Type="http://schemas.openxmlformats.org/officeDocument/2006/relationships/image" Target="../media/image570.png"/><Relationship Id="rId118" Type="http://schemas.openxmlformats.org/officeDocument/2006/relationships/customXml" Target="../ink/ink183.xml"/><Relationship Id="rId134" Type="http://schemas.openxmlformats.org/officeDocument/2006/relationships/customXml" Target="../ink/ink191.xml"/><Relationship Id="rId139" Type="http://schemas.openxmlformats.org/officeDocument/2006/relationships/image" Target="../media/image701.png"/><Relationship Id="rId80" Type="http://schemas.openxmlformats.org/officeDocument/2006/relationships/customXml" Target="../ink/ink164.xml"/><Relationship Id="rId85" Type="http://schemas.openxmlformats.org/officeDocument/2006/relationships/image" Target="../media/image430.png"/><Relationship Id="rId150" Type="http://schemas.openxmlformats.org/officeDocument/2006/relationships/customXml" Target="../ink/ink199.xml"/><Relationship Id="rId155" Type="http://schemas.openxmlformats.org/officeDocument/2006/relationships/image" Target="../media/image78.png"/><Relationship Id="rId171" Type="http://schemas.openxmlformats.org/officeDocument/2006/relationships/image" Target="../media/image100.png"/><Relationship Id="rId12" Type="http://schemas.openxmlformats.org/officeDocument/2006/relationships/image" Target="../media/image710.png"/><Relationship Id="rId17" Type="http://schemas.openxmlformats.org/officeDocument/2006/relationships/customXml" Target="../ink/ink132.xml"/><Relationship Id="rId33" Type="http://schemas.openxmlformats.org/officeDocument/2006/relationships/customXml" Target="../ink/ink140.xml"/><Relationship Id="rId38" Type="http://schemas.openxmlformats.org/officeDocument/2006/relationships/image" Target="../media/image200.png"/><Relationship Id="rId59" Type="http://schemas.openxmlformats.org/officeDocument/2006/relationships/customXml" Target="../ink/ink153.xml"/><Relationship Id="rId103" Type="http://schemas.openxmlformats.org/officeDocument/2006/relationships/image" Target="../media/image520.png"/><Relationship Id="rId108" Type="http://schemas.openxmlformats.org/officeDocument/2006/relationships/customXml" Target="../ink/ink178.xml"/><Relationship Id="rId124" Type="http://schemas.openxmlformats.org/officeDocument/2006/relationships/customXml" Target="../ink/ink186.xml"/><Relationship Id="rId129" Type="http://schemas.openxmlformats.org/officeDocument/2006/relationships/image" Target="../media/image650.png"/><Relationship Id="rId54" Type="http://schemas.openxmlformats.org/officeDocument/2006/relationships/image" Target="../media/image280.png"/><Relationship Id="rId70" Type="http://schemas.openxmlformats.org/officeDocument/2006/relationships/customXml" Target="../ink/ink159.xml"/><Relationship Id="rId75" Type="http://schemas.openxmlformats.org/officeDocument/2006/relationships/image" Target="../media/image380.png"/><Relationship Id="rId91" Type="http://schemas.openxmlformats.org/officeDocument/2006/relationships/image" Target="../media/image460.png"/><Relationship Id="rId96" Type="http://schemas.openxmlformats.org/officeDocument/2006/relationships/customXml" Target="../ink/ink172.xml"/><Relationship Id="rId140" Type="http://schemas.openxmlformats.org/officeDocument/2006/relationships/customXml" Target="../ink/ink194.xml"/><Relationship Id="rId145" Type="http://schemas.openxmlformats.org/officeDocument/2006/relationships/image" Target="../media/image73.png"/><Relationship Id="rId161" Type="http://schemas.openxmlformats.org/officeDocument/2006/relationships/image" Target="../media/image81.png"/><Relationship Id="rId166" Type="http://schemas.openxmlformats.org/officeDocument/2006/relationships/customXml" Target="../ink/ink207.xml"/><Relationship Id="rId1" Type="http://schemas.openxmlformats.org/officeDocument/2006/relationships/image" Target="../media/image70.png"/><Relationship Id="rId6" Type="http://schemas.openxmlformats.org/officeDocument/2006/relationships/image" Target="../media/image410.png"/><Relationship Id="rId23" Type="http://schemas.openxmlformats.org/officeDocument/2006/relationships/customXml" Target="../ink/ink135.xml"/><Relationship Id="rId28" Type="http://schemas.openxmlformats.org/officeDocument/2006/relationships/image" Target="../media/image1510.png"/><Relationship Id="rId49" Type="http://schemas.openxmlformats.org/officeDocument/2006/relationships/customXml" Target="../ink/ink148.xml"/><Relationship Id="rId114" Type="http://schemas.openxmlformats.org/officeDocument/2006/relationships/customXml" Target="../ink/ink181.xml"/><Relationship Id="rId119" Type="http://schemas.openxmlformats.org/officeDocument/2006/relationships/image" Target="../media/image600.png"/><Relationship Id="rId10" Type="http://schemas.openxmlformats.org/officeDocument/2006/relationships/image" Target="../media/image610.png"/><Relationship Id="rId31" Type="http://schemas.openxmlformats.org/officeDocument/2006/relationships/customXml" Target="../ink/ink139.xml"/><Relationship Id="rId44" Type="http://schemas.openxmlformats.org/officeDocument/2006/relationships/image" Target="../media/image230.png"/><Relationship Id="rId52" Type="http://schemas.openxmlformats.org/officeDocument/2006/relationships/image" Target="../media/image270.png"/><Relationship Id="rId60" Type="http://schemas.openxmlformats.org/officeDocument/2006/relationships/customXml" Target="../ink/ink154.xml"/><Relationship Id="rId65" Type="http://schemas.openxmlformats.org/officeDocument/2006/relationships/image" Target="../media/image330.png"/><Relationship Id="rId73" Type="http://schemas.openxmlformats.org/officeDocument/2006/relationships/image" Target="../media/image370.png"/><Relationship Id="rId78" Type="http://schemas.openxmlformats.org/officeDocument/2006/relationships/customXml" Target="../ink/ink163.xml"/><Relationship Id="rId81" Type="http://schemas.openxmlformats.org/officeDocument/2006/relationships/image" Target="../media/image411.png"/><Relationship Id="rId86" Type="http://schemas.openxmlformats.org/officeDocument/2006/relationships/customXml" Target="../ink/ink167.xml"/><Relationship Id="rId94" Type="http://schemas.openxmlformats.org/officeDocument/2006/relationships/customXml" Target="../ink/ink171.xml"/><Relationship Id="rId99" Type="http://schemas.openxmlformats.org/officeDocument/2006/relationships/image" Target="../media/image500.png"/><Relationship Id="rId101" Type="http://schemas.openxmlformats.org/officeDocument/2006/relationships/image" Target="../media/image511.png"/><Relationship Id="rId122" Type="http://schemas.openxmlformats.org/officeDocument/2006/relationships/customXml" Target="../ink/ink185.xml"/><Relationship Id="rId130" Type="http://schemas.openxmlformats.org/officeDocument/2006/relationships/customXml" Target="../ink/ink189.xml"/><Relationship Id="rId135" Type="http://schemas.openxmlformats.org/officeDocument/2006/relationships/image" Target="../media/image680.png"/><Relationship Id="rId143" Type="http://schemas.openxmlformats.org/officeDocument/2006/relationships/image" Target="../media/image72.png"/><Relationship Id="rId148" Type="http://schemas.openxmlformats.org/officeDocument/2006/relationships/customXml" Target="../ink/ink198.xml"/><Relationship Id="rId151" Type="http://schemas.openxmlformats.org/officeDocument/2006/relationships/image" Target="../media/image76.png"/><Relationship Id="rId156" Type="http://schemas.openxmlformats.org/officeDocument/2006/relationships/customXml" Target="../ink/ink202.xml"/><Relationship Id="rId164" Type="http://schemas.openxmlformats.org/officeDocument/2006/relationships/customXml" Target="../ink/ink206.xml"/><Relationship Id="rId169" Type="http://schemas.openxmlformats.org/officeDocument/2006/relationships/image" Target="../media/image85.png"/><Relationship Id="rId4" Type="http://schemas.openxmlformats.org/officeDocument/2006/relationships/image" Target="../media/image310.png"/><Relationship Id="rId9" Type="http://schemas.openxmlformats.org/officeDocument/2006/relationships/customXml" Target="../ink/ink128.xml"/><Relationship Id="rId172" Type="http://schemas.openxmlformats.org/officeDocument/2006/relationships/customXml" Target="../ink/ink210.xml"/><Relationship Id="rId13" Type="http://schemas.openxmlformats.org/officeDocument/2006/relationships/customXml" Target="../ink/ink130.xml"/><Relationship Id="rId18" Type="http://schemas.openxmlformats.org/officeDocument/2006/relationships/image" Target="../media/image1010.png"/><Relationship Id="rId39" Type="http://schemas.openxmlformats.org/officeDocument/2006/relationships/customXml" Target="../ink/ink143.xml"/><Relationship Id="rId109" Type="http://schemas.openxmlformats.org/officeDocument/2006/relationships/image" Target="../media/image550.png"/><Relationship Id="rId34" Type="http://schemas.openxmlformats.org/officeDocument/2006/relationships/image" Target="../media/image187.png"/><Relationship Id="rId50" Type="http://schemas.openxmlformats.org/officeDocument/2006/relationships/image" Target="../media/image260.png"/><Relationship Id="rId55" Type="http://schemas.openxmlformats.org/officeDocument/2006/relationships/customXml" Target="../ink/ink151.xml"/><Relationship Id="rId76" Type="http://schemas.openxmlformats.org/officeDocument/2006/relationships/customXml" Target="../ink/ink162.xml"/><Relationship Id="rId97" Type="http://schemas.openxmlformats.org/officeDocument/2006/relationships/image" Target="../media/image490.png"/><Relationship Id="rId104" Type="http://schemas.openxmlformats.org/officeDocument/2006/relationships/customXml" Target="../ink/ink176.xml"/><Relationship Id="rId120" Type="http://schemas.openxmlformats.org/officeDocument/2006/relationships/customXml" Target="../ink/ink184.xml"/><Relationship Id="rId125" Type="http://schemas.openxmlformats.org/officeDocument/2006/relationships/image" Target="../media/image630.png"/><Relationship Id="rId141" Type="http://schemas.openxmlformats.org/officeDocument/2006/relationships/image" Target="../media/image71.png"/><Relationship Id="rId146" Type="http://schemas.openxmlformats.org/officeDocument/2006/relationships/customXml" Target="../ink/ink197.xml"/><Relationship Id="rId167" Type="http://schemas.openxmlformats.org/officeDocument/2006/relationships/image" Target="../media/image84.png"/><Relationship Id="rId7" Type="http://schemas.openxmlformats.org/officeDocument/2006/relationships/customXml" Target="../ink/ink127.xml"/><Relationship Id="rId71" Type="http://schemas.openxmlformats.org/officeDocument/2006/relationships/image" Target="../media/image360.png"/><Relationship Id="rId92" Type="http://schemas.openxmlformats.org/officeDocument/2006/relationships/customXml" Target="../ink/ink170.xml"/><Relationship Id="rId162" Type="http://schemas.openxmlformats.org/officeDocument/2006/relationships/customXml" Target="../ink/ink205.xml"/><Relationship Id="rId2" Type="http://schemas.openxmlformats.org/officeDocument/2006/relationships/image" Target="../media/image71.emf"/><Relationship Id="rId29" Type="http://schemas.openxmlformats.org/officeDocument/2006/relationships/customXml" Target="../ink/ink138.xml"/><Relationship Id="rId24" Type="http://schemas.openxmlformats.org/officeDocument/2006/relationships/image" Target="../media/image1310.png"/><Relationship Id="rId40" Type="http://schemas.openxmlformats.org/officeDocument/2006/relationships/image" Target="../media/image210.png"/><Relationship Id="rId45" Type="http://schemas.openxmlformats.org/officeDocument/2006/relationships/customXml" Target="../ink/ink146.xml"/><Relationship Id="rId66" Type="http://schemas.openxmlformats.org/officeDocument/2006/relationships/customXml" Target="../ink/ink157.xml"/><Relationship Id="rId87" Type="http://schemas.openxmlformats.org/officeDocument/2006/relationships/image" Target="../media/image440.png"/><Relationship Id="rId110" Type="http://schemas.openxmlformats.org/officeDocument/2006/relationships/customXml" Target="../ink/ink179.xml"/><Relationship Id="rId115" Type="http://schemas.openxmlformats.org/officeDocument/2006/relationships/image" Target="../media/image580.png"/><Relationship Id="rId131" Type="http://schemas.openxmlformats.org/officeDocument/2006/relationships/image" Target="../media/image660.png"/><Relationship Id="rId136" Type="http://schemas.openxmlformats.org/officeDocument/2006/relationships/customXml" Target="../ink/ink192.xml"/><Relationship Id="rId157" Type="http://schemas.openxmlformats.org/officeDocument/2006/relationships/image" Target="../media/image79.png"/><Relationship Id="rId61" Type="http://schemas.openxmlformats.org/officeDocument/2006/relationships/image" Target="../media/image311.png"/><Relationship Id="rId82" Type="http://schemas.openxmlformats.org/officeDocument/2006/relationships/customXml" Target="../ink/ink165.xml"/><Relationship Id="rId152" Type="http://schemas.openxmlformats.org/officeDocument/2006/relationships/customXml" Target="../ink/ink200.xml"/><Relationship Id="rId173" Type="http://schemas.openxmlformats.org/officeDocument/2006/relationships/image" Target="../media/image111.png"/><Relationship Id="rId19" Type="http://schemas.openxmlformats.org/officeDocument/2006/relationships/customXml" Target="../ink/ink133.xml"/><Relationship Id="rId14" Type="http://schemas.openxmlformats.org/officeDocument/2006/relationships/image" Target="../media/image86.png"/><Relationship Id="rId30" Type="http://schemas.openxmlformats.org/officeDocument/2006/relationships/image" Target="../media/image1610.png"/><Relationship Id="rId35" Type="http://schemas.openxmlformats.org/officeDocument/2006/relationships/customXml" Target="../ink/ink141.xml"/><Relationship Id="rId56" Type="http://schemas.openxmlformats.org/officeDocument/2006/relationships/image" Target="../media/image290.png"/><Relationship Id="rId77" Type="http://schemas.openxmlformats.org/officeDocument/2006/relationships/image" Target="../media/image390.png"/><Relationship Id="rId100" Type="http://schemas.openxmlformats.org/officeDocument/2006/relationships/customXml" Target="../ink/ink174.xml"/><Relationship Id="rId105" Type="http://schemas.openxmlformats.org/officeDocument/2006/relationships/image" Target="../media/image530.png"/><Relationship Id="rId126" Type="http://schemas.openxmlformats.org/officeDocument/2006/relationships/customXml" Target="../ink/ink187.xml"/><Relationship Id="rId147" Type="http://schemas.openxmlformats.org/officeDocument/2006/relationships/image" Target="../media/image74.png"/><Relationship Id="rId168" Type="http://schemas.openxmlformats.org/officeDocument/2006/relationships/customXml" Target="../ink/ink208.xml"/><Relationship Id="rId8" Type="http://schemas.openxmlformats.org/officeDocument/2006/relationships/image" Target="../media/image510.png"/><Relationship Id="rId51" Type="http://schemas.openxmlformats.org/officeDocument/2006/relationships/customXml" Target="../ink/ink149.xml"/><Relationship Id="rId72" Type="http://schemas.openxmlformats.org/officeDocument/2006/relationships/customXml" Target="../ink/ink160.xml"/><Relationship Id="rId93" Type="http://schemas.openxmlformats.org/officeDocument/2006/relationships/image" Target="../media/image470.png"/><Relationship Id="rId98" Type="http://schemas.openxmlformats.org/officeDocument/2006/relationships/customXml" Target="../ink/ink173.xml"/><Relationship Id="rId121" Type="http://schemas.openxmlformats.org/officeDocument/2006/relationships/image" Target="../media/image611.png"/><Relationship Id="rId142" Type="http://schemas.openxmlformats.org/officeDocument/2006/relationships/customXml" Target="../ink/ink195.xml"/><Relationship Id="rId163" Type="http://schemas.openxmlformats.org/officeDocument/2006/relationships/image" Target="../media/image82.png"/><Relationship Id="rId3" Type="http://schemas.openxmlformats.org/officeDocument/2006/relationships/customXml" Target="../ink/ink125.xml"/><Relationship Id="rId25" Type="http://schemas.openxmlformats.org/officeDocument/2006/relationships/customXml" Target="../ink/ink136.xml"/><Relationship Id="rId46" Type="http://schemas.openxmlformats.org/officeDocument/2006/relationships/image" Target="../media/image240.png"/><Relationship Id="rId67" Type="http://schemas.openxmlformats.org/officeDocument/2006/relationships/image" Target="../media/image340.png"/><Relationship Id="rId116" Type="http://schemas.openxmlformats.org/officeDocument/2006/relationships/customXml" Target="../ink/ink182.xml"/><Relationship Id="rId137" Type="http://schemas.openxmlformats.org/officeDocument/2006/relationships/image" Target="../media/image690.png"/><Relationship Id="rId158" Type="http://schemas.openxmlformats.org/officeDocument/2006/relationships/customXml" Target="../ink/ink203.xml"/><Relationship Id="rId20" Type="http://schemas.openxmlformats.org/officeDocument/2006/relationships/image" Target="../media/image1110.png"/><Relationship Id="rId41" Type="http://schemas.openxmlformats.org/officeDocument/2006/relationships/customXml" Target="../ink/ink144.xml"/><Relationship Id="rId62" Type="http://schemas.openxmlformats.org/officeDocument/2006/relationships/customXml" Target="../ink/ink155.xml"/><Relationship Id="rId83" Type="http://schemas.openxmlformats.org/officeDocument/2006/relationships/image" Target="../media/image420.png"/><Relationship Id="rId88" Type="http://schemas.openxmlformats.org/officeDocument/2006/relationships/customXml" Target="../ink/ink168.xml"/><Relationship Id="rId111" Type="http://schemas.openxmlformats.org/officeDocument/2006/relationships/image" Target="../media/image560.png"/><Relationship Id="rId132" Type="http://schemas.openxmlformats.org/officeDocument/2006/relationships/customXml" Target="../ink/ink190.xml"/><Relationship Id="rId153" Type="http://schemas.openxmlformats.org/officeDocument/2006/relationships/image" Target="../media/image77.png"/><Relationship Id="rId174" Type="http://schemas.openxmlformats.org/officeDocument/2006/relationships/customXml" Target="../ink/ink211.xml"/><Relationship Id="rId15" Type="http://schemas.openxmlformats.org/officeDocument/2006/relationships/customXml" Target="../ink/ink131.xml"/><Relationship Id="rId36" Type="http://schemas.openxmlformats.org/officeDocument/2006/relationships/image" Target="../media/image190.png"/><Relationship Id="rId57" Type="http://schemas.openxmlformats.org/officeDocument/2006/relationships/customXml" Target="../ink/ink152.xml"/><Relationship Id="rId106" Type="http://schemas.openxmlformats.org/officeDocument/2006/relationships/customXml" Target="../ink/ink177.xml"/><Relationship Id="rId127" Type="http://schemas.openxmlformats.org/officeDocument/2006/relationships/image" Target="../media/image640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1.png"/><Relationship Id="rId18" Type="http://schemas.openxmlformats.org/officeDocument/2006/relationships/customXml" Target="../ink/ink220.xml"/><Relationship Id="rId26" Type="http://schemas.openxmlformats.org/officeDocument/2006/relationships/customXml" Target="../ink/ink224.xml"/><Relationship Id="rId39" Type="http://schemas.openxmlformats.org/officeDocument/2006/relationships/image" Target="../media/image65.png"/><Relationship Id="rId21" Type="http://schemas.openxmlformats.org/officeDocument/2006/relationships/image" Target="../media/image561.png"/><Relationship Id="rId34" Type="http://schemas.openxmlformats.org/officeDocument/2006/relationships/customXml" Target="../ink/ink228.xml"/><Relationship Id="rId42" Type="http://schemas.openxmlformats.org/officeDocument/2006/relationships/customXml" Target="../ink/ink232.xml"/><Relationship Id="rId47" Type="http://schemas.openxmlformats.org/officeDocument/2006/relationships/image" Target="../media/image691.png"/><Relationship Id="rId50" Type="http://schemas.openxmlformats.org/officeDocument/2006/relationships/customXml" Target="../ink/ink236.xml"/><Relationship Id="rId55" Type="http://schemas.openxmlformats.org/officeDocument/2006/relationships/customXml" Target="../ink/ink238.xml"/><Relationship Id="rId7" Type="http://schemas.openxmlformats.org/officeDocument/2006/relationships/customXml" Target="../ink/ink214.xml"/><Relationship Id="rId12" Type="http://schemas.openxmlformats.org/officeDocument/2006/relationships/customXml" Target="../ink/ink217.xml"/><Relationship Id="rId17" Type="http://schemas.openxmlformats.org/officeDocument/2006/relationships/image" Target="../media/image541.png"/><Relationship Id="rId25" Type="http://schemas.openxmlformats.org/officeDocument/2006/relationships/image" Target="../media/image581.png"/><Relationship Id="rId33" Type="http://schemas.openxmlformats.org/officeDocument/2006/relationships/image" Target="../media/image621.png"/><Relationship Id="rId38" Type="http://schemas.openxmlformats.org/officeDocument/2006/relationships/customXml" Target="../ink/ink230.xml"/><Relationship Id="rId46" Type="http://schemas.openxmlformats.org/officeDocument/2006/relationships/customXml" Target="../ink/ink234.xml"/><Relationship Id="rId2" Type="http://schemas.openxmlformats.org/officeDocument/2006/relationships/image" Target="../media/image72.emf"/><Relationship Id="rId16" Type="http://schemas.openxmlformats.org/officeDocument/2006/relationships/customXml" Target="../ink/ink219.xml"/><Relationship Id="rId20" Type="http://schemas.openxmlformats.org/officeDocument/2006/relationships/customXml" Target="../ink/ink221.xml"/><Relationship Id="rId29" Type="http://schemas.openxmlformats.org/officeDocument/2006/relationships/image" Target="../media/image601.png"/><Relationship Id="rId41" Type="http://schemas.openxmlformats.org/officeDocument/2006/relationships/image" Target="../media/image661.png"/><Relationship Id="rId54" Type="http://schemas.openxmlformats.org/officeDocument/2006/relationships/image" Target="../media/image87.png"/><Relationship Id="rId1" Type="http://schemas.openxmlformats.org/officeDocument/2006/relationships/image" Target="../media/image70.png"/><Relationship Id="rId6" Type="http://schemas.openxmlformats.org/officeDocument/2006/relationships/image" Target="../media/image501.png"/><Relationship Id="rId11" Type="http://schemas.openxmlformats.org/officeDocument/2006/relationships/image" Target="../media/image512.png"/><Relationship Id="rId24" Type="http://schemas.openxmlformats.org/officeDocument/2006/relationships/customXml" Target="../ink/ink223.xml"/><Relationship Id="rId32" Type="http://schemas.openxmlformats.org/officeDocument/2006/relationships/customXml" Target="../ink/ink227.xml"/><Relationship Id="rId37" Type="http://schemas.openxmlformats.org/officeDocument/2006/relationships/image" Target="../media/image641.png"/><Relationship Id="rId40" Type="http://schemas.openxmlformats.org/officeDocument/2006/relationships/customXml" Target="../ink/ink231.xml"/><Relationship Id="rId45" Type="http://schemas.openxmlformats.org/officeDocument/2006/relationships/image" Target="../media/image68.png"/><Relationship Id="rId53" Type="http://schemas.openxmlformats.org/officeDocument/2006/relationships/image" Target="../media/image720.png"/><Relationship Id="rId5" Type="http://schemas.openxmlformats.org/officeDocument/2006/relationships/customXml" Target="../ink/ink213.xml"/><Relationship Id="rId15" Type="http://schemas.openxmlformats.org/officeDocument/2006/relationships/image" Target="../media/image531.png"/><Relationship Id="rId23" Type="http://schemas.openxmlformats.org/officeDocument/2006/relationships/image" Target="../media/image571.png"/><Relationship Id="rId28" Type="http://schemas.openxmlformats.org/officeDocument/2006/relationships/customXml" Target="../ink/ink225.xml"/><Relationship Id="rId36" Type="http://schemas.openxmlformats.org/officeDocument/2006/relationships/customXml" Target="../ink/ink229.xml"/><Relationship Id="rId49" Type="http://schemas.openxmlformats.org/officeDocument/2006/relationships/image" Target="../media/image700.png"/><Relationship Id="rId10" Type="http://schemas.openxmlformats.org/officeDocument/2006/relationships/customXml" Target="../ink/ink216.xml"/><Relationship Id="rId19" Type="http://schemas.openxmlformats.org/officeDocument/2006/relationships/image" Target="../media/image551.png"/><Relationship Id="rId31" Type="http://schemas.openxmlformats.org/officeDocument/2006/relationships/image" Target="../media/image613.png"/><Relationship Id="rId44" Type="http://schemas.openxmlformats.org/officeDocument/2006/relationships/customXml" Target="../ink/ink233.xml"/><Relationship Id="rId52" Type="http://schemas.openxmlformats.org/officeDocument/2006/relationships/customXml" Target="../ink/ink237.xml"/><Relationship Id="rId4" Type="http://schemas.openxmlformats.org/officeDocument/2006/relationships/image" Target="../media/image491.png"/><Relationship Id="rId9" Type="http://schemas.openxmlformats.org/officeDocument/2006/relationships/customXml" Target="../ink/ink215.xml"/><Relationship Id="rId14" Type="http://schemas.openxmlformats.org/officeDocument/2006/relationships/customXml" Target="../ink/ink218.xml"/><Relationship Id="rId22" Type="http://schemas.openxmlformats.org/officeDocument/2006/relationships/customXml" Target="../ink/ink222.xml"/><Relationship Id="rId27" Type="http://schemas.openxmlformats.org/officeDocument/2006/relationships/image" Target="../media/image591.png"/><Relationship Id="rId30" Type="http://schemas.openxmlformats.org/officeDocument/2006/relationships/customXml" Target="../ink/ink226.xml"/><Relationship Id="rId35" Type="http://schemas.openxmlformats.org/officeDocument/2006/relationships/image" Target="../media/image631.png"/><Relationship Id="rId43" Type="http://schemas.openxmlformats.org/officeDocument/2006/relationships/image" Target="../media/image671.png"/><Relationship Id="rId48" Type="http://schemas.openxmlformats.org/officeDocument/2006/relationships/customXml" Target="../ink/ink235.xml"/><Relationship Id="rId56" Type="http://schemas.openxmlformats.org/officeDocument/2006/relationships/image" Target="../media/image110.png"/><Relationship Id="rId8" Type="http://schemas.openxmlformats.org/officeDocument/2006/relationships/image" Target="../media/image612.png"/><Relationship Id="rId51" Type="http://schemas.openxmlformats.org/officeDocument/2006/relationships/image" Target="../media/image711.png"/><Relationship Id="rId3" Type="http://schemas.openxmlformats.org/officeDocument/2006/relationships/customXml" Target="../ink/ink2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chart" Target="../charts/chart3.xml"/><Relationship Id="rId4" Type="http://schemas.openxmlformats.org/officeDocument/2006/relationships/image" Target="../media/image9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3" Type="http://schemas.openxmlformats.org/officeDocument/2006/relationships/chart" Target="../charts/chart4.xml"/><Relationship Id="rId7" Type="http://schemas.openxmlformats.org/officeDocument/2006/relationships/image" Target="../media/image91.png"/><Relationship Id="rId2" Type="http://schemas.microsoft.com/office/2014/relationships/chartEx" Target="../charts/chartEx4.xml"/><Relationship Id="rId1" Type="http://schemas.microsoft.com/office/2014/relationships/chartEx" Target="../charts/chartEx3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image" Target="../media/image94.png"/><Relationship Id="rId4" Type="http://schemas.openxmlformats.org/officeDocument/2006/relationships/chart" Target="../charts/chart5.xml"/><Relationship Id="rId9" Type="http://schemas.openxmlformats.org/officeDocument/2006/relationships/image" Target="../media/image9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3" Type="http://schemas.openxmlformats.org/officeDocument/2006/relationships/chart" Target="../charts/chart8.xml"/><Relationship Id="rId7" Type="http://schemas.openxmlformats.org/officeDocument/2006/relationships/image" Target="../media/image91.png"/><Relationship Id="rId2" Type="http://schemas.microsoft.com/office/2014/relationships/chartEx" Target="../charts/chartEx6.xml"/><Relationship Id="rId1" Type="http://schemas.microsoft.com/office/2014/relationships/chartEx" Target="../charts/chartEx5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microsoft.com/office/2014/relationships/chartEx" Target="../charts/chartEx8.xml"/><Relationship Id="rId1" Type="http://schemas.microsoft.com/office/2014/relationships/chartEx" Target="../charts/chartEx7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microsoft.com/office/2014/relationships/chartEx" Target="../charts/chartEx1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19</xdr:row>
      <xdr:rowOff>0</xdr:rowOff>
    </xdr:from>
    <xdr:to>
      <xdr:col>12</xdr:col>
      <xdr:colOff>447040</xdr:colOff>
      <xdr:row>33</xdr:row>
      <xdr:rowOff>172720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236AF847-80FE-43BB-8603-D54B963DE6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3000" y="3536950"/>
              <a:ext cx="4657090" cy="2750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900490</xdr:colOff>
      <xdr:row>12</xdr:row>
      <xdr:rowOff>107350</xdr:rowOff>
    </xdr:from>
    <xdr:to>
      <xdr:col>14</xdr:col>
      <xdr:colOff>955320</xdr:colOff>
      <xdr:row>24</xdr:row>
      <xdr:rowOff>180590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Písanie rukou 2">
              <a:extLst>
                <a:ext uri="{FF2B5EF4-FFF2-40B4-BE49-F238E27FC236}">
                  <a16:creationId xmlns:a16="http://schemas.microsoft.com/office/drawing/2014/main" id="{0441A008-21A9-43C7-9E72-890616F9FF59}"/>
                </a:ext>
              </a:extLst>
            </xdr14:cNvPr>
            <xdr14:cNvContentPartPr/>
          </xdr14:nvContentPartPr>
          <xdr14:nvPr macro=""/>
          <xdr14:xfrm>
            <a:off x="13067090" y="2336200"/>
            <a:ext cx="63720" cy="2293200"/>
          </xdr14:xfrm>
        </xdr:contentPart>
      </mc:Choice>
      <mc:Fallback xmlns="">
        <xdr:pic>
          <xdr:nvPicPr>
            <xdr:cNvPr id="3" name="Písanie rukou 2">
              <a:extLst>
                <a:ext uri="{FF2B5EF4-FFF2-40B4-BE49-F238E27FC236}">
                  <a16:creationId xmlns:a16="http://schemas.microsoft.com/office/drawing/2014/main" id="{0441A008-21A9-43C7-9E72-890616F9FF59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058450" y="2327560"/>
              <a:ext cx="81360" cy="231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596650</xdr:colOff>
      <xdr:row>22</xdr:row>
      <xdr:rowOff>146620</xdr:rowOff>
    </xdr:from>
    <xdr:to>
      <xdr:col>19</xdr:col>
      <xdr:colOff>193310</xdr:colOff>
      <xdr:row>23</xdr:row>
      <xdr:rowOff>41780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Písanie rukou 3">
              <a:extLst>
                <a:ext uri="{FF2B5EF4-FFF2-40B4-BE49-F238E27FC236}">
                  <a16:creationId xmlns:a16="http://schemas.microsoft.com/office/drawing/2014/main" id="{4BDB5801-1C9C-4CA3-8990-B3C64FE47DE0}"/>
                </a:ext>
              </a:extLst>
            </xdr14:cNvPr>
            <xdr14:cNvContentPartPr/>
          </xdr14:nvContentPartPr>
          <xdr14:nvPr macro=""/>
          <xdr14:xfrm>
            <a:off x="12763250" y="4223320"/>
            <a:ext cx="5009400" cy="88200"/>
          </xdr14:xfrm>
        </xdr:contentPart>
      </mc:Choice>
      <mc:Fallback xmlns="">
        <xdr:pic>
          <xdr:nvPicPr>
            <xdr:cNvPr id="4" name="Písanie rukou 3">
              <a:extLst>
                <a:ext uri="{FF2B5EF4-FFF2-40B4-BE49-F238E27FC236}">
                  <a16:creationId xmlns:a16="http://schemas.microsoft.com/office/drawing/2014/main" id="{4BDB5801-1C9C-4CA3-8990-B3C64FE47DE0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754250" y="4214320"/>
              <a:ext cx="5027040" cy="10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1136290</xdr:colOff>
      <xdr:row>13</xdr:row>
      <xdr:rowOff>93120</xdr:rowOff>
    </xdr:from>
    <xdr:to>
      <xdr:col>18</xdr:col>
      <xdr:colOff>117430</xdr:colOff>
      <xdr:row>22</xdr:row>
      <xdr:rowOff>72510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Písanie rukou 4">
              <a:extLst>
                <a:ext uri="{FF2B5EF4-FFF2-40B4-BE49-F238E27FC236}">
                  <a16:creationId xmlns:a16="http://schemas.microsoft.com/office/drawing/2014/main" id="{9A6B89FE-5781-4841-A357-F83DB94009A9}"/>
                </a:ext>
              </a:extLst>
            </xdr14:cNvPr>
            <xdr14:cNvContentPartPr/>
          </xdr14:nvContentPartPr>
          <xdr14:nvPr macro=""/>
          <xdr14:xfrm>
            <a:off x="13302890" y="2506120"/>
            <a:ext cx="3789360" cy="1659600"/>
          </xdr14:xfrm>
        </xdr:contentPart>
      </mc:Choice>
      <mc:Fallback xmlns="">
        <xdr:pic>
          <xdr:nvPicPr>
            <xdr:cNvPr id="5" name="Písanie rukou 4">
              <a:extLst>
                <a:ext uri="{FF2B5EF4-FFF2-40B4-BE49-F238E27FC236}">
                  <a16:creationId xmlns:a16="http://schemas.microsoft.com/office/drawing/2014/main" id="{9A6B89FE-5781-4841-A357-F83DB94009A9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3294215" y="2497381"/>
              <a:ext cx="3807071" cy="16774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1634190</xdr:colOff>
      <xdr:row>18</xdr:row>
      <xdr:rowOff>40820</xdr:rowOff>
    </xdr:from>
    <xdr:to>
      <xdr:col>16</xdr:col>
      <xdr:colOff>879750</xdr:colOff>
      <xdr:row>26</xdr:row>
      <xdr:rowOff>117270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6" name="Písanie rukou 5">
              <a:extLst>
                <a:ext uri="{FF2B5EF4-FFF2-40B4-BE49-F238E27FC236}">
                  <a16:creationId xmlns:a16="http://schemas.microsoft.com/office/drawing/2014/main" id="{FD0DDB54-947B-41F4-8017-0C69DEE0A1E6}"/>
                </a:ext>
              </a:extLst>
            </xdr14:cNvPr>
            <xdr14:cNvContentPartPr/>
          </xdr14:nvContentPartPr>
          <xdr14:nvPr macro=""/>
          <xdr14:xfrm>
            <a:off x="13800790" y="3380920"/>
            <a:ext cx="2294830" cy="1549650"/>
          </xdr14:xfrm>
        </xdr:contentPart>
      </mc:Choice>
      <mc:Fallback xmlns="">
        <xdr:pic>
          <xdr:nvPicPr>
            <xdr:cNvPr id="6" name="Písanie rukou 5">
              <a:extLst>
                <a:ext uri="{FF2B5EF4-FFF2-40B4-BE49-F238E27FC236}">
                  <a16:creationId xmlns:a16="http://schemas.microsoft.com/office/drawing/2014/main" id="{FD0DDB54-947B-41F4-8017-0C69DEE0A1E6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3791791" y="3371946"/>
              <a:ext cx="2312469" cy="15672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645970</xdr:colOff>
      <xdr:row>23</xdr:row>
      <xdr:rowOff>70470</xdr:rowOff>
    </xdr:from>
    <xdr:to>
      <xdr:col>14</xdr:col>
      <xdr:colOff>834440</xdr:colOff>
      <xdr:row>24</xdr:row>
      <xdr:rowOff>73580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7" name="Písanie rukou 6">
              <a:extLst>
                <a:ext uri="{FF2B5EF4-FFF2-40B4-BE49-F238E27FC236}">
                  <a16:creationId xmlns:a16="http://schemas.microsoft.com/office/drawing/2014/main" id="{FB173797-CB21-4146-A0E6-C00FADAA0D2C}"/>
                </a:ext>
              </a:extLst>
            </xdr14:cNvPr>
            <xdr14:cNvContentPartPr/>
          </xdr14:nvContentPartPr>
          <xdr14:nvPr macro=""/>
          <xdr14:xfrm>
            <a:off x="12812570" y="4331320"/>
            <a:ext cx="187200" cy="179640"/>
          </xdr14:xfrm>
        </xdr:contentPart>
      </mc:Choice>
      <mc:Fallback xmlns="">
        <xdr:pic>
          <xdr:nvPicPr>
            <xdr:cNvPr id="7" name="Písanie rukou 6">
              <a:extLst>
                <a:ext uri="{FF2B5EF4-FFF2-40B4-BE49-F238E27FC236}">
                  <a16:creationId xmlns:a16="http://schemas.microsoft.com/office/drawing/2014/main" id="{FB173797-CB21-4146-A0E6-C00FADAA0D2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2803570" y="4322680"/>
              <a:ext cx="204840" cy="19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775840</xdr:colOff>
      <xdr:row>15</xdr:row>
      <xdr:rowOff>125440</xdr:rowOff>
    </xdr:from>
    <xdr:to>
      <xdr:col>13</xdr:col>
      <xdr:colOff>111700</xdr:colOff>
      <xdr:row>17</xdr:row>
      <xdr:rowOff>35310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8" name="Písanie rukou 7">
              <a:extLst>
                <a:ext uri="{FF2B5EF4-FFF2-40B4-BE49-F238E27FC236}">
                  <a16:creationId xmlns:a16="http://schemas.microsoft.com/office/drawing/2014/main" id="{5136960E-9819-47E8-9F0D-19D3BAA238E7}"/>
                </a:ext>
              </a:extLst>
            </xdr14:cNvPr>
            <xdr14:cNvContentPartPr/>
          </xdr14:nvContentPartPr>
          <xdr14:nvPr macro=""/>
          <xdr14:xfrm>
            <a:off x="11462890" y="2906740"/>
            <a:ext cx="203270" cy="278170"/>
          </xdr14:xfrm>
        </xdr:contentPart>
      </mc:Choice>
      <mc:Fallback xmlns="">
        <xdr:pic>
          <xdr:nvPicPr>
            <xdr:cNvPr id="8" name="Písanie rukou 7">
              <a:extLst>
                <a:ext uri="{FF2B5EF4-FFF2-40B4-BE49-F238E27FC236}">
                  <a16:creationId xmlns:a16="http://schemas.microsoft.com/office/drawing/2014/main" id="{5136960E-9819-47E8-9F0D-19D3BAA238E7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1453734" y="2898024"/>
              <a:ext cx="221216" cy="2959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317410</xdr:colOff>
      <xdr:row>15</xdr:row>
      <xdr:rowOff>183820</xdr:rowOff>
    </xdr:from>
    <xdr:to>
      <xdr:col>13</xdr:col>
      <xdr:colOff>315780</xdr:colOff>
      <xdr:row>15</xdr:row>
      <xdr:rowOff>186720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9" name="Písanie rukou 8">
              <a:extLst>
                <a:ext uri="{FF2B5EF4-FFF2-40B4-BE49-F238E27FC236}">
                  <a16:creationId xmlns:a16="http://schemas.microsoft.com/office/drawing/2014/main" id="{98ED30EE-8F70-40B6-84FD-B7061FDEB7F2}"/>
                </a:ext>
              </a:extLst>
            </xdr14:cNvPr>
            <xdr14:cNvContentPartPr/>
          </xdr14:nvContentPartPr>
          <xdr14:nvPr macro=""/>
          <xdr14:xfrm>
            <a:off x="11874410" y="2965120"/>
            <a:ext cx="360" cy="360"/>
          </xdr14:xfrm>
        </xdr:contentPart>
      </mc:Choice>
      <mc:Fallback xmlns="">
        <xdr:pic>
          <xdr:nvPicPr>
            <xdr:cNvPr id="9" name="Písanie rukou 8">
              <a:extLst>
                <a:ext uri="{FF2B5EF4-FFF2-40B4-BE49-F238E27FC236}">
                  <a16:creationId xmlns:a16="http://schemas.microsoft.com/office/drawing/2014/main" id="{98ED30EE-8F70-40B6-84FD-B7061FDEB7F2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1865410" y="29564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279250</xdr:colOff>
      <xdr:row>16</xdr:row>
      <xdr:rowOff>145600</xdr:rowOff>
    </xdr:from>
    <xdr:to>
      <xdr:col>13</xdr:col>
      <xdr:colOff>277620</xdr:colOff>
      <xdr:row>16</xdr:row>
      <xdr:rowOff>149770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0" name="Písanie rukou 9">
              <a:extLst>
                <a:ext uri="{FF2B5EF4-FFF2-40B4-BE49-F238E27FC236}">
                  <a16:creationId xmlns:a16="http://schemas.microsoft.com/office/drawing/2014/main" id="{5883D813-C7E0-4450-93A6-43E71AA8E59F}"/>
                </a:ext>
              </a:extLst>
            </xdr14:cNvPr>
            <xdr14:cNvContentPartPr/>
          </xdr14:nvContentPartPr>
          <xdr14:nvPr macro=""/>
          <xdr14:xfrm>
            <a:off x="11836250" y="3117400"/>
            <a:ext cx="360" cy="360"/>
          </xdr14:xfrm>
        </xdr:contentPart>
      </mc:Choice>
      <mc:Fallback xmlns="">
        <xdr:pic>
          <xdr:nvPicPr>
            <xdr:cNvPr id="10" name="Písanie rukou 9">
              <a:extLst>
                <a:ext uri="{FF2B5EF4-FFF2-40B4-BE49-F238E27FC236}">
                  <a16:creationId xmlns:a16="http://schemas.microsoft.com/office/drawing/2014/main" id="{5883D813-C7E0-4450-93A6-43E71AA8E59F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1827250" y="31087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458530</xdr:colOff>
      <xdr:row>14</xdr:row>
      <xdr:rowOff>158900</xdr:rowOff>
    </xdr:from>
    <xdr:to>
      <xdr:col>14</xdr:col>
      <xdr:colOff>835010</xdr:colOff>
      <xdr:row>17</xdr:row>
      <xdr:rowOff>115070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1" name="Písanie rukou 10">
              <a:extLst>
                <a:ext uri="{FF2B5EF4-FFF2-40B4-BE49-F238E27FC236}">
                  <a16:creationId xmlns:a16="http://schemas.microsoft.com/office/drawing/2014/main" id="{25223FA4-1259-483B-8674-D247987C2E64}"/>
                </a:ext>
              </a:extLst>
            </xdr14:cNvPr>
            <xdr14:cNvContentPartPr/>
          </xdr14:nvContentPartPr>
          <xdr14:nvPr macro=""/>
          <xdr14:xfrm>
            <a:off x="12015530" y="2756050"/>
            <a:ext cx="982270" cy="522590"/>
          </xdr14:xfrm>
        </xdr:contentPart>
      </mc:Choice>
      <mc:Fallback xmlns="">
        <xdr:pic>
          <xdr:nvPicPr>
            <xdr:cNvPr id="11" name="Písanie rukou 10">
              <a:extLst>
                <a:ext uri="{FF2B5EF4-FFF2-40B4-BE49-F238E27FC236}">
                  <a16:creationId xmlns:a16="http://schemas.microsoft.com/office/drawing/2014/main" id="{25223FA4-1259-483B-8674-D247987C2E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2006879" y="2747430"/>
              <a:ext cx="999933" cy="540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691770</xdr:colOff>
      <xdr:row>18</xdr:row>
      <xdr:rowOff>44190</xdr:rowOff>
    </xdr:from>
    <xdr:to>
      <xdr:col>14</xdr:col>
      <xdr:colOff>35090</xdr:colOff>
      <xdr:row>20</xdr:row>
      <xdr:rowOff>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2" name="Písanie rukou 11">
              <a:extLst>
                <a:ext uri="{FF2B5EF4-FFF2-40B4-BE49-F238E27FC236}">
                  <a16:creationId xmlns:a16="http://schemas.microsoft.com/office/drawing/2014/main" id="{19165405-10B7-4EB4-9DA3-108CEAF1F44B}"/>
                </a:ext>
              </a:extLst>
            </xdr14:cNvPr>
            <xdr14:cNvContentPartPr/>
          </xdr14:nvContentPartPr>
          <xdr14:nvPr macro=""/>
          <xdr14:xfrm>
            <a:off x="11378820" y="3384290"/>
            <a:ext cx="819060" cy="314530"/>
          </xdr14:xfrm>
        </xdr:contentPart>
      </mc:Choice>
      <mc:Fallback xmlns="">
        <xdr:pic>
          <xdr:nvPicPr>
            <xdr:cNvPr id="12" name="Písanie rukou 11">
              <a:extLst>
                <a:ext uri="{FF2B5EF4-FFF2-40B4-BE49-F238E27FC236}">
                  <a16:creationId xmlns:a16="http://schemas.microsoft.com/office/drawing/2014/main" id="{19165405-10B7-4EB4-9DA3-108CEAF1F44B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1370141" y="3375178"/>
              <a:ext cx="836779" cy="3323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44050</xdr:colOff>
      <xdr:row>17</xdr:row>
      <xdr:rowOff>182850</xdr:rowOff>
    </xdr:from>
    <xdr:to>
      <xdr:col>14</xdr:col>
      <xdr:colOff>117430</xdr:colOff>
      <xdr:row>18</xdr:row>
      <xdr:rowOff>79850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3" name="Písanie rukou 12">
              <a:extLst>
                <a:ext uri="{FF2B5EF4-FFF2-40B4-BE49-F238E27FC236}">
                  <a16:creationId xmlns:a16="http://schemas.microsoft.com/office/drawing/2014/main" id="{12DB2BD7-B8E0-41C1-8A20-212B58927249}"/>
                </a:ext>
              </a:extLst>
            </xdr14:cNvPr>
            <xdr14:cNvContentPartPr/>
          </xdr14:nvContentPartPr>
          <xdr14:nvPr macro=""/>
          <xdr14:xfrm>
            <a:off x="12210650" y="3338800"/>
            <a:ext cx="81000" cy="84960"/>
          </xdr14:xfrm>
        </xdr:contentPart>
      </mc:Choice>
      <mc:Fallback xmlns="">
        <xdr:pic>
          <xdr:nvPicPr>
            <xdr:cNvPr id="13" name="Písanie rukou 12">
              <a:extLst>
                <a:ext uri="{FF2B5EF4-FFF2-40B4-BE49-F238E27FC236}">
                  <a16:creationId xmlns:a16="http://schemas.microsoft.com/office/drawing/2014/main" id="{12DB2BD7-B8E0-41C1-8A20-212B58927249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2201650" y="3330160"/>
              <a:ext cx="98640" cy="10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33860</xdr:colOff>
      <xdr:row>18</xdr:row>
      <xdr:rowOff>156170</xdr:rowOff>
    </xdr:from>
    <xdr:to>
      <xdr:col>14</xdr:col>
      <xdr:colOff>802910</xdr:colOff>
      <xdr:row>21</xdr:row>
      <xdr:rowOff>34320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4" name="Písanie rukou 13">
              <a:extLst>
                <a:ext uri="{FF2B5EF4-FFF2-40B4-BE49-F238E27FC236}">
                  <a16:creationId xmlns:a16="http://schemas.microsoft.com/office/drawing/2014/main" id="{AD8425EB-A5EB-49BA-BDB3-0E8D3CADA716}"/>
                </a:ext>
              </a:extLst>
            </xdr14:cNvPr>
            <xdr14:cNvContentPartPr/>
          </xdr14:nvContentPartPr>
          <xdr14:nvPr macro=""/>
          <xdr14:xfrm>
            <a:off x="12200460" y="3496270"/>
            <a:ext cx="774130" cy="430600"/>
          </xdr14:xfrm>
        </xdr:contentPart>
      </mc:Choice>
      <mc:Fallback xmlns="">
        <xdr:pic>
          <xdr:nvPicPr>
            <xdr:cNvPr id="14" name="Písanie rukou 13">
              <a:extLst>
                <a:ext uri="{FF2B5EF4-FFF2-40B4-BE49-F238E27FC236}">
                  <a16:creationId xmlns:a16="http://schemas.microsoft.com/office/drawing/2014/main" id="{AD8425EB-A5EB-49BA-BDB3-0E8D3CADA716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2191819" y="3487607"/>
              <a:ext cx="791773" cy="4482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345800</xdr:colOff>
      <xdr:row>11</xdr:row>
      <xdr:rowOff>146970</xdr:rowOff>
    </xdr:from>
    <xdr:to>
      <xdr:col>16</xdr:col>
      <xdr:colOff>688410</xdr:colOff>
      <xdr:row>14</xdr:row>
      <xdr:rowOff>35180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5" name="Písanie rukou 14">
              <a:extLst>
                <a:ext uri="{FF2B5EF4-FFF2-40B4-BE49-F238E27FC236}">
                  <a16:creationId xmlns:a16="http://schemas.microsoft.com/office/drawing/2014/main" id="{673D6EA2-E6A0-43D4-A864-1FEEC3646CB1}"/>
                </a:ext>
              </a:extLst>
            </xdr14:cNvPr>
            <xdr14:cNvContentPartPr/>
          </xdr14:nvContentPartPr>
          <xdr14:nvPr macro=""/>
          <xdr14:xfrm>
            <a:off x="14487250" y="2191670"/>
            <a:ext cx="1411950" cy="436850"/>
          </xdr14:xfrm>
        </xdr:contentPart>
      </mc:Choice>
      <mc:Fallback xmlns="">
        <xdr:pic>
          <xdr:nvPicPr>
            <xdr:cNvPr id="15" name="Písanie rukou 14">
              <a:extLst>
                <a:ext uri="{FF2B5EF4-FFF2-40B4-BE49-F238E27FC236}">
                  <a16:creationId xmlns:a16="http://schemas.microsoft.com/office/drawing/2014/main" id="{673D6EA2-E6A0-43D4-A864-1FEEC3646CB1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4478610" y="2183034"/>
              <a:ext cx="1429590" cy="4544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228420</xdr:colOff>
      <xdr:row>12</xdr:row>
      <xdr:rowOff>35390</xdr:rowOff>
    </xdr:from>
    <xdr:to>
      <xdr:col>15</xdr:col>
      <xdr:colOff>193170</xdr:colOff>
      <xdr:row>14</xdr:row>
      <xdr:rowOff>149570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6" name="Písanie rukou 15">
              <a:extLst>
                <a:ext uri="{FF2B5EF4-FFF2-40B4-BE49-F238E27FC236}">
                  <a16:creationId xmlns:a16="http://schemas.microsoft.com/office/drawing/2014/main" id="{D237210C-7800-4649-A7E5-A344BB1948CF}"/>
                </a:ext>
              </a:extLst>
            </xdr14:cNvPr>
            <xdr14:cNvContentPartPr/>
          </xdr14:nvContentPartPr>
          <xdr14:nvPr macro=""/>
          <xdr14:xfrm>
            <a:off x="9416870" y="2264240"/>
            <a:ext cx="4917750" cy="477400"/>
          </xdr14:xfrm>
        </xdr:contentPart>
      </mc:Choice>
      <mc:Fallback xmlns="">
        <xdr:pic>
          <xdr:nvPicPr>
            <xdr:cNvPr id="16" name="Písanie rukou 15">
              <a:extLst>
                <a:ext uri="{FF2B5EF4-FFF2-40B4-BE49-F238E27FC236}">
                  <a16:creationId xmlns:a16="http://schemas.microsoft.com/office/drawing/2014/main" id="{D237210C-7800-4649-A7E5-A344BB1948C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9407882" y="2255507"/>
              <a:ext cx="4935367" cy="4952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1717980</xdr:colOff>
      <xdr:row>14</xdr:row>
      <xdr:rowOff>66860</xdr:rowOff>
    </xdr:from>
    <xdr:to>
      <xdr:col>18</xdr:col>
      <xdr:colOff>35250</xdr:colOff>
      <xdr:row>25</xdr:row>
      <xdr:rowOff>149500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7" name="Písanie rukou 16">
              <a:extLst>
                <a:ext uri="{FF2B5EF4-FFF2-40B4-BE49-F238E27FC236}">
                  <a16:creationId xmlns:a16="http://schemas.microsoft.com/office/drawing/2014/main" id="{28992FD7-6F80-4627-9FC0-EB2B51EF12EC}"/>
                </a:ext>
              </a:extLst>
            </xdr14:cNvPr>
            <xdr14:cNvContentPartPr/>
          </xdr14:nvContentPartPr>
          <xdr14:nvPr macro=""/>
          <xdr14:xfrm>
            <a:off x="13427380" y="2676710"/>
            <a:ext cx="3106440" cy="2114640"/>
          </xdr14:xfrm>
        </xdr:contentPart>
      </mc:Choice>
      <mc:Fallback xmlns="">
        <xdr:pic>
          <xdr:nvPicPr>
            <xdr:cNvPr id="17" name="Písanie rukou 16">
              <a:extLst>
                <a:ext uri="{FF2B5EF4-FFF2-40B4-BE49-F238E27FC236}">
                  <a16:creationId xmlns:a16="http://schemas.microsoft.com/office/drawing/2014/main" id="{28992FD7-6F80-4627-9FC0-EB2B51EF12E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3418736" y="2668076"/>
              <a:ext cx="3124088" cy="21322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923380</xdr:colOff>
      <xdr:row>16</xdr:row>
      <xdr:rowOff>117330</xdr:rowOff>
    </xdr:from>
    <xdr:to>
      <xdr:col>18</xdr:col>
      <xdr:colOff>193720</xdr:colOff>
      <xdr:row>18</xdr:row>
      <xdr:rowOff>72690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8" name="Písanie rukou 17">
              <a:extLst>
                <a:ext uri="{FF2B5EF4-FFF2-40B4-BE49-F238E27FC236}">
                  <a16:creationId xmlns:a16="http://schemas.microsoft.com/office/drawing/2014/main" id="{18091092-FCA4-4028-91EC-03B8E8C5DA1B}"/>
                </a:ext>
              </a:extLst>
            </xdr14:cNvPr>
            <xdr14:cNvContentPartPr/>
          </xdr14:nvContentPartPr>
          <xdr14:nvPr macro=""/>
          <xdr14:xfrm>
            <a:off x="16125280" y="3089130"/>
            <a:ext cx="1044530" cy="323660"/>
          </xdr14:xfrm>
        </xdr:contentPart>
      </mc:Choice>
      <mc:Fallback xmlns="">
        <xdr:pic>
          <xdr:nvPicPr>
            <xdr:cNvPr id="18" name="Písanie rukou 17">
              <a:extLst>
                <a:ext uri="{FF2B5EF4-FFF2-40B4-BE49-F238E27FC236}">
                  <a16:creationId xmlns:a16="http://schemas.microsoft.com/office/drawing/2014/main" id="{18091092-FCA4-4028-91EC-03B8E8C5DA1B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6116639" y="3080382"/>
              <a:ext cx="1062173" cy="34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1034620</xdr:colOff>
      <xdr:row>18</xdr:row>
      <xdr:rowOff>141980</xdr:rowOff>
    </xdr:from>
    <xdr:to>
      <xdr:col>18</xdr:col>
      <xdr:colOff>72660</xdr:colOff>
      <xdr:row>19</xdr:row>
      <xdr:rowOff>155450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9" name="Písanie rukou 18">
              <a:extLst>
                <a:ext uri="{FF2B5EF4-FFF2-40B4-BE49-F238E27FC236}">
                  <a16:creationId xmlns:a16="http://schemas.microsoft.com/office/drawing/2014/main" id="{A646C46A-F043-4F94-B320-EBE637DB067F}"/>
                </a:ext>
              </a:extLst>
            </xdr14:cNvPr>
            <xdr14:cNvContentPartPr/>
          </xdr14:nvContentPartPr>
          <xdr14:nvPr macro=""/>
          <xdr14:xfrm>
            <a:off x="16236520" y="3482080"/>
            <a:ext cx="784290" cy="197620"/>
          </xdr14:xfrm>
        </xdr:contentPart>
      </mc:Choice>
      <mc:Fallback xmlns="">
        <xdr:pic>
          <xdr:nvPicPr>
            <xdr:cNvPr id="19" name="Písanie rukou 18">
              <a:extLst>
                <a:ext uri="{FF2B5EF4-FFF2-40B4-BE49-F238E27FC236}">
                  <a16:creationId xmlns:a16="http://schemas.microsoft.com/office/drawing/2014/main" id="{A646C46A-F043-4F94-B320-EBE637DB067F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16227862" y="3473146"/>
              <a:ext cx="801967" cy="2151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240860</xdr:colOff>
      <xdr:row>18</xdr:row>
      <xdr:rowOff>79660</xdr:rowOff>
    </xdr:from>
    <xdr:to>
      <xdr:col>19</xdr:col>
      <xdr:colOff>117180</xdr:colOff>
      <xdr:row>19</xdr:row>
      <xdr:rowOff>155710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0" name="Písanie rukou 19">
              <a:extLst>
                <a:ext uri="{FF2B5EF4-FFF2-40B4-BE49-F238E27FC236}">
                  <a16:creationId xmlns:a16="http://schemas.microsoft.com/office/drawing/2014/main" id="{5A2CB1A7-2CA0-41AF-8B74-2C88907A2362}"/>
                </a:ext>
              </a:extLst>
            </xdr14:cNvPr>
            <xdr14:cNvContentPartPr/>
          </xdr14:nvContentPartPr>
          <xdr14:nvPr macro=""/>
          <xdr14:xfrm>
            <a:off x="16744510" y="3432460"/>
            <a:ext cx="496080" cy="270360"/>
          </xdr14:xfrm>
        </xdr:contentPart>
      </mc:Choice>
      <mc:Fallback xmlns="">
        <xdr:pic>
          <xdr:nvPicPr>
            <xdr:cNvPr id="20" name="Písanie rukou 19">
              <a:extLst>
                <a:ext uri="{FF2B5EF4-FFF2-40B4-BE49-F238E27FC236}">
                  <a16:creationId xmlns:a16="http://schemas.microsoft.com/office/drawing/2014/main" id="{5A2CB1A7-2CA0-41AF-8B74-2C88907A2362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6735510" y="3423900"/>
              <a:ext cx="513720" cy="2878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523660</xdr:colOff>
      <xdr:row>12</xdr:row>
      <xdr:rowOff>68130</xdr:rowOff>
    </xdr:from>
    <xdr:to>
      <xdr:col>19</xdr:col>
      <xdr:colOff>193830</xdr:colOff>
      <xdr:row>13</xdr:row>
      <xdr:rowOff>186790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1" name="Písanie rukou 20">
              <a:extLst>
                <a:ext uri="{FF2B5EF4-FFF2-40B4-BE49-F238E27FC236}">
                  <a16:creationId xmlns:a16="http://schemas.microsoft.com/office/drawing/2014/main" id="{5F416746-E9B4-4582-BDA4-23465F0C2EF7}"/>
                </a:ext>
              </a:extLst>
            </xdr14:cNvPr>
            <xdr14:cNvContentPartPr/>
          </xdr14:nvContentPartPr>
          <xdr14:nvPr macro=""/>
          <xdr14:xfrm>
            <a:off x="17408310" y="2296980"/>
            <a:ext cx="289930" cy="314240"/>
          </xdr14:xfrm>
        </xdr:contentPart>
      </mc:Choice>
      <mc:Fallback xmlns="">
        <xdr:pic>
          <xdr:nvPicPr>
            <xdr:cNvPr id="21" name="Písanie rukou 20">
              <a:extLst>
                <a:ext uri="{FF2B5EF4-FFF2-40B4-BE49-F238E27FC236}">
                  <a16:creationId xmlns:a16="http://schemas.microsoft.com/office/drawing/2014/main" id="{5F416746-E9B4-4582-BDA4-23465F0C2EF7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7399666" y="2288331"/>
              <a:ext cx="307578" cy="3318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408490</xdr:colOff>
      <xdr:row>12</xdr:row>
      <xdr:rowOff>124230</xdr:rowOff>
    </xdr:from>
    <xdr:to>
      <xdr:col>20</xdr:col>
      <xdr:colOff>269500</xdr:colOff>
      <xdr:row>13</xdr:row>
      <xdr:rowOff>155150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2" name="Písanie rukou 21">
              <a:extLst>
                <a:ext uri="{FF2B5EF4-FFF2-40B4-BE49-F238E27FC236}">
                  <a16:creationId xmlns:a16="http://schemas.microsoft.com/office/drawing/2014/main" id="{152B6BD9-8DBD-45BC-9DD8-D25FF01E3598}"/>
                </a:ext>
              </a:extLst>
            </xdr14:cNvPr>
            <xdr14:cNvContentPartPr/>
          </xdr14:nvContentPartPr>
          <xdr14:nvPr macro=""/>
          <xdr14:xfrm>
            <a:off x="17902740" y="2353080"/>
            <a:ext cx="476960" cy="223960"/>
          </xdr14:xfrm>
        </xdr:contentPart>
      </mc:Choice>
      <mc:Fallback xmlns="">
        <xdr:pic>
          <xdr:nvPicPr>
            <xdr:cNvPr id="22" name="Písanie rukou 21">
              <a:extLst>
                <a:ext uri="{FF2B5EF4-FFF2-40B4-BE49-F238E27FC236}">
                  <a16:creationId xmlns:a16="http://schemas.microsoft.com/office/drawing/2014/main" id="{152B6BD9-8DBD-45BC-9DD8-D25FF01E3598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7894094" y="2344438"/>
              <a:ext cx="494612" cy="2416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80920</xdr:colOff>
      <xdr:row>12</xdr:row>
      <xdr:rowOff>143180</xdr:rowOff>
    </xdr:from>
    <xdr:to>
      <xdr:col>22</xdr:col>
      <xdr:colOff>422580</xdr:colOff>
      <xdr:row>16</xdr:row>
      <xdr:rowOff>111210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3" name="Písanie rukou 22">
              <a:extLst>
                <a:ext uri="{FF2B5EF4-FFF2-40B4-BE49-F238E27FC236}">
                  <a16:creationId xmlns:a16="http://schemas.microsoft.com/office/drawing/2014/main" id="{D706FD82-AF6D-4E55-8E2D-3680A2E1E2B7}"/>
                </a:ext>
              </a:extLst>
            </xdr14:cNvPr>
            <xdr14:cNvContentPartPr/>
          </xdr14:nvContentPartPr>
          <xdr14:nvPr macro=""/>
          <xdr14:xfrm>
            <a:off x="18184770" y="2372030"/>
            <a:ext cx="1571020" cy="707170"/>
          </xdr14:xfrm>
        </xdr:contentPart>
      </mc:Choice>
      <mc:Fallback xmlns="">
        <xdr:pic>
          <xdr:nvPicPr>
            <xdr:cNvPr id="23" name="Písanie rukou 22">
              <a:extLst>
                <a:ext uri="{FF2B5EF4-FFF2-40B4-BE49-F238E27FC236}">
                  <a16:creationId xmlns:a16="http://schemas.microsoft.com/office/drawing/2014/main" id="{D706FD82-AF6D-4E55-8E2D-3680A2E1E2B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8176136" y="2363388"/>
              <a:ext cx="1588648" cy="7248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837960</xdr:colOff>
      <xdr:row>10</xdr:row>
      <xdr:rowOff>31260</xdr:rowOff>
    </xdr:from>
    <xdr:to>
      <xdr:col>14</xdr:col>
      <xdr:colOff>838320</xdr:colOff>
      <xdr:row>10</xdr:row>
      <xdr:rowOff>35430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4" name="Písanie rukou 23">
              <a:extLst>
                <a:ext uri="{FF2B5EF4-FFF2-40B4-BE49-F238E27FC236}">
                  <a16:creationId xmlns:a16="http://schemas.microsoft.com/office/drawing/2014/main" id="{20500C8A-C116-488F-A1D3-EE6C5D377CD5}"/>
                </a:ext>
              </a:extLst>
            </xdr14:cNvPr>
            <xdr14:cNvContentPartPr/>
          </xdr14:nvContentPartPr>
          <xdr14:nvPr macro=""/>
          <xdr14:xfrm>
            <a:off x="13004560" y="1885460"/>
            <a:ext cx="360" cy="360"/>
          </xdr14:xfrm>
        </xdr:contentPart>
      </mc:Choice>
      <mc:Fallback xmlns="">
        <xdr:pic>
          <xdr:nvPicPr>
            <xdr:cNvPr id="24" name="Písanie rukou 23">
              <a:extLst>
                <a:ext uri="{FF2B5EF4-FFF2-40B4-BE49-F238E27FC236}">
                  <a16:creationId xmlns:a16="http://schemas.microsoft.com/office/drawing/2014/main" id="{20500C8A-C116-488F-A1D3-EE6C5D377CD5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2995560" y="18768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418900</xdr:colOff>
      <xdr:row>3</xdr:row>
      <xdr:rowOff>133020</xdr:rowOff>
    </xdr:from>
    <xdr:to>
      <xdr:col>28</xdr:col>
      <xdr:colOff>419260</xdr:colOff>
      <xdr:row>3</xdr:row>
      <xdr:rowOff>148620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5" name="Písanie rukou 24">
              <a:extLst>
                <a:ext uri="{FF2B5EF4-FFF2-40B4-BE49-F238E27FC236}">
                  <a16:creationId xmlns:a16="http://schemas.microsoft.com/office/drawing/2014/main" id="{1BBB3017-D3F7-4EE9-B06A-8EC5DF971CA5}"/>
                </a:ext>
              </a:extLst>
            </xdr14:cNvPr>
            <xdr14:cNvContentPartPr/>
          </xdr14:nvContentPartPr>
          <xdr14:nvPr macro=""/>
          <xdr14:xfrm>
            <a:off x="26511050" y="704520"/>
            <a:ext cx="360" cy="360"/>
          </xdr14:xfrm>
        </xdr:contentPart>
      </mc:Choice>
      <mc:Fallback xmlns="">
        <xdr:pic>
          <xdr:nvPicPr>
            <xdr:cNvPr id="25" name="Písanie rukou 24">
              <a:extLst>
                <a:ext uri="{FF2B5EF4-FFF2-40B4-BE49-F238E27FC236}">
                  <a16:creationId xmlns:a16="http://schemas.microsoft.com/office/drawing/2014/main" id="{1BBB3017-D3F7-4EE9-B06A-8EC5DF971CA5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6502050" y="6958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399820</xdr:colOff>
      <xdr:row>4</xdr:row>
      <xdr:rowOff>82070</xdr:rowOff>
    </xdr:from>
    <xdr:to>
      <xdr:col>28</xdr:col>
      <xdr:colOff>415420</xdr:colOff>
      <xdr:row>4</xdr:row>
      <xdr:rowOff>81710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6" name="Písanie rukou 25">
              <a:extLst>
                <a:ext uri="{FF2B5EF4-FFF2-40B4-BE49-F238E27FC236}">
                  <a16:creationId xmlns:a16="http://schemas.microsoft.com/office/drawing/2014/main" id="{30179EAD-96CF-479C-A93F-AA07B0D6197E}"/>
                </a:ext>
              </a:extLst>
            </xdr14:cNvPr>
            <xdr14:cNvContentPartPr/>
          </xdr14:nvContentPartPr>
          <xdr14:nvPr macro=""/>
          <xdr14:xfrm>
            <a:off x="26491970" y="837720"/>
            <a:ext cx="360" cy="360"/>
          </xdr14:xfrm>
        </xdr:contentPart>
      </mc:Choice>
      <mc:Fallback xmlns="">
        <xdr:pic>
          <xdr:nvPicPr>
            <xdr:cNvPr id="26" name="Písanie rukou 25">
              <a:extLst>
                <a:ext uri="{FF2B5EF4-FFF2-40B4-BE49-F238E27FC236}">
                  <a16:creationId xmlns:a16="http://schemas.microsoft.com/office/drawing/2014/main" id="{30179EAD-96CF-479C-A93F-AA07B0D6197E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6482970" y="829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451250</xdr:colOff>
      <xdr:row>2</xdr:row>
      <xdr:rowOff>179900</xdr:rowOff>
    </xdr:from>
    <xdr:to>
      <xdr:col>28</xdr:col>
      <xdr:colOff>187710</xdr:colOff>
      <xdr:row>5</xdr:row>
      <xdr:rowOff>6550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7" name="Písanie rukou 26">
              <a:extLst>
                <a:ext uri="{FF2B5EF4-FFF2-40B4-BE49-F238E27FC236}">
                  <a16:creationId xmlns:a16="http://schemas.microsoft.com/office/drawing/2014/main" id="{E5DAE17C-AC15-4D59-A515-24459A93E1C7}"/>
                </a:ext>
              </a:extLst>
            </xdr14:cNvPr>
            <xdr14:cNvContentPartPr/>
          </xdr14:nvContentPartPr>
          <xdr14:nvPr macro=""/>
          <xdr14:xfrm>
            <a:off x="25933800" y="560900"/>
            <a:ext cx="334630" cy="375290"/>
          </xdr14:xfrm>
        </xdr:contentPart>
      </mc:Choice>
      <mc:Fallback xmlns="">
        <xdr:pic>
          <xdr:nvPicPr>
            <xdr:cNvPr id="27" name="Písanie rukou 26">
              <a:extLst>
                <a:ext uri="{FF2B5EF4-FFF2-40B4-BE49-F238E27FC236}">
                  <a16:creationId xmlns:a16="http://schemas.microsoft.com/office/drawing/2014/main" id="{E5DAE17C-AC15-4D59-A515-24459A93E1C7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5925127" y="552256"/>
              <a:ext cx="352337" cy="3929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534820</xdr:colOff>
      <xdr:row>3</xdr:row>
      <xdr:rowOff>123470</xdr:rowOff>
    </xdr:from>
    <xdr:to>
      <xdr:col>29</xdr:col>
      <xdr:colOff>419670</xdr:colOff>
      <xdr:row>4</xdr:row>
      <xdr:rowOff>156080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8" name="Písanie rukou 27">
              <a:extLst>
                <a:ext uri="{FF2B5EF4-FFF2-40B4-BE49-F238E27FC236}">
                  <a16:creationId xmlns:a16="http://schemas.microsoft.com/office/drawing/2014/main" id="{1AB60841-336A-4CF0-AD67-86C4D082E11E}"/>
                </a:ext>
              </a:extLst>
            </xdr14:cNvPr>
            <xdr14:cNvContentPartPr/>
          </xdr14:nvContentPartPr>
          <xdr14:nvPr macro=""/>
          <xdr14:xfrm>
            <a:off x="26626970" y="694970"/>
            <a:ext cx="494450" cy="215490"/>
          </xdr14:xfrm>
        </xdr:contentPart>
      </mc:Choice>
      <mc:Fallback xmlns="">
        <xdr:pic>
          <xdr:nvPicPr>
            <xdr:cNvPr id="28" name="Písanie rukou 27">
              <a:extLst>
                <a:ext uri="{FF2B5EF4-FFF2-40B4-BE49-F238E27FC236}">
                  <a16:creationId xmlns:a16="http://schemas.microsoft.com/office/drawing/2014/main" id="{1AB60841-336A-4CF0-AD67-86C4D082E11E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6617973" y="686322"/>
              <a:ext cx="512083" cy="2331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113980</xdr:colOff>
      <xdr:row>3</xdr:row>
      <xdr:rowOff>158580</xdr:rowOff>
    </xdr:from>
    <xdr:to>
      <xdr:col>31</xdr:col>
      <xdr:colOff>228820</xdr:colOff>
      <xdr:row>4</xdr:row>
      <xdr:rowOff>117110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9" name="Písanie rukou 28">
              <a:extLst>
                <a:ext uri="{FF2B5EF4-FFF2-40B4-BE49-F238E27FC236}">
                  <a16:creationId xmlns:a16="http://schemas.microsoft.com/office/drawing/2014/main" id="{6034A7A4-ECDC-4F27-85B0-2DD6F6BC843A}"/>
                </a:ext>
              </a:extLst>
            </xdr14:cNvPr>
            <xdr14:cNvContentPartPr/>
          </xdr14:nvContentPartPr>
          <xdr14:nvPr macro=""/>
          <xdr14:xfrm>
            <a:off x="28034930" y="730080"/>
            <a:ext cx="114840" cy="127440"/>
          </xdr14:xfrm>
        </xdr:contentPart>
      </mc:Choice>
      <mc:Fallback xmlns="">
        <xdr:pic>
          <xdr:nvPicPr>
            <xdr:cNvPr id="29" name="Písanie rukou 28">
              <a:extLst>
                <a:ext uri="{FF2B5EF4-FFF2-40B4-BE49-F238E27FC236}">
                  <a16:creationId xmlns:a16="http://schemas.microsoft.com/office/drawing/2014/main" id="{6034A7A4-ECDC-4F27-85B0-2DD6F6BC843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8026290" y="721080"/>
              <a:ext cx="132480" cy="14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133060</xdr:colOff>
      <xdr:row>3</xdr:row>
      <xdr:rowOff>31500</xdr:rowOff>
    </xdr:from>
    <xdr:to>
      <xdr:col>31</xdr:col>
      <xdr:colOff>269650</xdr:colOff>
      <xdr:row>3</xdr:row>
      <xdr:rowOff>34400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30" name="Písanie rukou 29">
              <a:extLst>
                <a:ext uri="{FF2B5EF4-FFF2-40B4-BE49-F238E27FC236}">
                  <a16:creationId xmlns:a16="http://schemas.microsoft.com/office/drawing/2014/main" id="{023C1FD0-B948-4E32-B307-9EDF0A401B7E}"/>
                </a:ext>
              </a:extLst>
            </xdr14:cNvPr>
            <xdr14:cNvContentPartPr/>
          </xdr14:nvContentPartPr>
          <xdr14:nvPr macro=""/>
          <xdr14:xfrm>
            <a:off x="28054010" y="603000"/>
            <a:ext cx="140400" cy="360"/>
          </xdr14:xfrm>
        </xdr:contentPart>
      </mc:Choice>
      <mc:Fallback xmlns="">
        <xdr:pic>
          <xdr:nvPicPr>
            <xdr:cNvPr id="30" name="Písanie rukou 29">
              <a:extLst>
                <a:ext uri="{FF2B5EF4-FFF2-40B4-BE49-F238E27FC236}">
                  <a16:creationId xmlns:a16="http://schemas.microsoft.com/office/drawing/2014/main" id="{023C1FD0-B948-4E32-B307-9EDF0A401B7E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8045010" y="594000"/>
              <a:ext cx="15804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348990</xdr:colOff>
      <xdr:row>3</xdr:row>
      <xdr:rowOff>130480</xdr:rowOff>
    </xdr:from>
    <xdr:to>
      <xdr:col>30</xdr:col>
      <xdr:colOff>605790</xdr:colOff>
      <xdr:row>4</xdr:row>
      <xdr:rowOff>78750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31" name="Písanie rukou 30">
              <a:extLst>
                <a:ext uri="{FF2B5EF4-FFF2-40B4-BE49-F238E27FC236}">
                  <a16:creationId xmlns:a16="http://schemas.microsoft.com/office/drawing/2014/main" id="{24C242DF-1996-4583-9ADF-7ADF70D7DE90}"/>
                </a:ext>
              </a:extLst>
            </xdr14:cNvPr>
            <xdr14:cNvContentPartPr/>
          </xdr14:nvContentPartPr>
          <xdr14:nvPr macro=""/>
          <xdr14:xfrm>
            <a:off x="27660340" y="701980"/>
            <a:ext cx="245370" cy="140040"/>
          </xdr14:xfrm>
        </xdr:contentPart>
      </mc:Choice>
      <mc:Fallback xmlns="">
        <xdr:pic>
          <xdr:nvPicPr>
            <xdr:cNvPr id="31" name="Písanie rukou 30">
              <a:extLst>
                <a:ext uri="{FF2B5EF4-FFF2-40B4-BE49-F238E27FC236}">
                  <a16:creationId xmlns:a16="http://schemas.microsoft.com/office/drawing/2014/main" id="{24C242DF-1996-4583-9ADF-7ADF70D7DE9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7651252" y="693493"/>
              <a:ext cx="263182" cy="1573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599160</xdr:colOff>
      <xdr:row>3</xdr:row>
      <xdr:rowOff>152100</xdr:rowOff>
    </xdr:from>
    <xdr:to>
      <xdr:col>30</xdr:col>
      <xdr:colOff>148720</xdr:colOff>
      <xdr:row>4</xdr:row>
      <xdr:rowOff>40790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32" name="Písanie rukou 31">
              <a:extLst>
                <a:ext uri="{FF2B5EF4-FFF2-40B4-BE49-F238E27FC236}">
                  <a16:creationId xmlns:a16="http://schemas.microsoft.com/office/drawing/2014/main" id="{C179550E-8419-4548-A79E-B8A2D7663508}"/>
                </a:ext>
              </a:extLst>
            </xdr14:cNvPr>
            <xdr14:cNvContentPartPr/>
          </xdr14:nvContentPartPr>
          <xdr14:nvPr macro=""/>
          <xdr14:xfrm>
            <a:off x="27300910" y="723600"/>
            <a:ext cx="152810" cy="60140"/>
          </xdr14:xfrm>
        </xdr:contentPart>
      </mc:Choice>
      <mc:Fallback xmlns="">
        <xdr:pic>
          <xdr:nvPicPr>
            <xdr:cNvPr id="32" name="Písanie rukou 31">
              <a:extLst>
                <a:ext uri="{FF2B5EF4-FFF2-40B4-BE49-F238E27FC236}">
                  <a16:creationId xmlns:a16="http://schemas.microsoft.com/office/drawing/2014/main" id="{C179550E-8419-4548-A79E-B8A2D7663508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7291984" y="714597"/>
              <a:ext cx="170305" cy="777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266620</xdr:colOff>
      <xdr:row>6</xdr:row>
      <xdr:rowOff>126690</xdr:rowOff>
    </xdr:from>
    <xdr:to>
      <xdr:col>28</xdr:col>
      <xdr:colOff>266980</xdr:colOff>
      <xdr:row>6</xdr:row>
      <xdr:rowOff>125060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33" name="Písanie rukou 32">
              <a:extLst>
                <a:ext uri="{FF2B5EF4-FFF2-40B4-BE49-F238E27FC236}">
                  <a16:creationId xmlns:a16="http://schemas.microsoft.com/office/drawing/2014/main" id="{E7F9C885-7024-480B-A5B6-851C42151FF1}"/>
                </a:ext>
              </a:extLst>
            </xdr14:cNvPr>
            <xdr14:cNvContentPartPr/>
          </xdr14:nvContentPartPr>
          <xdr14:nvPr macro=""/>
          <xdr14:xfrm>
            <a:off x="26358770" y="1250640"/>
            <a:ext cx="360" cy="360"/>
          </xdr14:xfrm>
        </xdr:contentPart>
      </mc:Choice>
      <mc:Fallback xmlns="">
        <xdr:pic>
          <xdr:nvPicPr>
            <xdr:cNvPr id="33" name="Písanie rukou 32">
              <a:extLst>
                <a:ext uri="{FF2B5EF4-FFF2-40B4-BE49-F238E27FC236}">
                  <a16:creationId xmlns:a16="http://schemas.microsoft.com/office/drawing/2014/main" id="{E7F9C885-7024-480B-A5B6-851C42151FF1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6349770" y="1241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272740</xdr:colOff>
      <xdr:row>7</xdr:row>
      <xdr:rowOff>24980</xdr:rowOff>
    </xdr:from>
    <xdr:to>
      <xdr:col>28</xdr:col>
      <xdr:colOff>272380</xdr:colOff>
      <xdr:row>7</xdr:row>
      <xdr:rowOff>35500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4" name="Písanie rukou 33">
              <a:extLst>
                <a:ext uri="{FF2B5EF4-FFF2-40B4-BE49-F238E27FC236}">
                  <a16:creationId xmlns:a16="http://schemas.microsoft.com/office/drawing/2014/main" id="{7CFCB7BB-50FA-4906-B61E-FE7FFB2242E3}"/>
                </a:ext>
              </a:extLst>
            </xdr14:cNvPr>
            <xdr14:cNvContentPartPr/>
          </xdr14:nvContentPartPr>
          <xdr14:nvPr macro=""/>
          <xdr14:xfrm>
            <a:off x="26364890" y="1333080"/>
            <a:ext cx="360" cy="360"/>
          </xdr14:xfrm>
        </xdr:contentPart>
      </mc:Choice>
      <mc:Fallback xmlns="">
        <xdr:pic>
          <xdr:nvPicPr>
            <xdr:cNvPr id="34" name="Písanie rukou 33">
              <a:extLst>
                <a:ext uri="{FF2B5EF4-FFF2-40B4-BE49-F238E27FC236}">
                  <a16:creationId xmlns:a16="http://schemas.microsoft.com/office/drawing/2014/main" id="{7CFCB7BB-50FA-4906-B61E-FE7FFB2242E3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6356250" y="1324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359000</xdr:colOff>
      <xdr:row>6</xdr:row>
      <xdr:rowOff>70720</xdr:rowOff>
    </xdr:from>
    <xdr:to>
      <xdr:col>30</xdr:col>
      <xdr:colOff>377720</xdr:colOff>
      <xdr:row>7</xdr:row>
      <xdr:rowOff>149050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5" name="Písanie rukou 34">
              <a:extLst>
                <a:ext uri="{FF2B5EF4-FFF2-40B4-BE49-F238E27FC236}">
                  <a16:creationId xmlns:a16="http://schemas.microsoft.com/office/drawing/2014/main" id="{CC350554-4865-4D54-8D17-8DB01D59338F}"/>
                </a:ext>
              </a:extLst>
            </xdr14:cNvPr>
            <xdr14:cNvContentPartPr/>
          </xdr14:nvContentPartPr>
          <xdr14:nvPr macro=""/>
          <xdr14:xfrm>
            <a:off x="27060750" y="1194670"/>
            <a:ext cx="618160" cy="257400"/>
          </xdr14:xfrm>
        </xdr:contentPart>
      </mc:Choice>
      <mc:Fallback xmlns="">
        <xdr:pic>
          <xdr:nvPicPr>
            <xdr:cNvPr id="35" name="Písanie rukou 34">
              <a:extLst>
                <a:ext uri="{FF2B5EF4-FFF2-40B4-BE49-F238E27FC236}">
                  <a16:creationId xmlns:a16="http://schemas.microsoft.com/office/drawing/2014/main" id="{CC350554-4865-4D54-8D17-8DB01D59338F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27052059" y="1186030"/>
              <a:ext cx="635904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467840</xdr:colOff>
      <xdr:row>6</xdr:row>
      <xdr:rowOff>104030</xdr:rowOff>
    </xdr:from>
    <xdr:to>
      <xdr:col>29</xdr:col>
      <xdr:colOff>190560</xdr:colOff>
      <xdr:row>7</xdr:row>
      <xdr:rowOff>110760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6" name="Písanie rukou 35">
              <a:extLst>
                <a:ext uri="{FF2B5EF4-FFF2-40B4-BE49-F238E27FC236}">
                  <a16:creationId xmlns:a16="http://schemas.microsoft.com/office/drawing/2014/main" id="{70AA2898-4C9B-4D7E-9C1C-3842696C28B7}"/>
                </a:ext>
              </a:extLst>
            </xdr14:cNvPr>
            <xdr14:cNvContentPartPr/>
          </xdr14:nvContentPartPr>
          <xdr14:nvPr macro=""/>
          <xdr14:xfrm>
            <a:off x="26559990" y="1227980"/>
            <a:ext cx="332320" cy="180720"/>
          </xdr14:xfrm>
        </xdr:contentPart>
      </mc:Choice>
      <mc:Fallback xmlns="">
        <xdr:pic>
          <xdr:nvPicPr>
            <xdr:cNvPr id="36" name="Písanie rukou 35">
              <a:extLst>
                <a:ext uri="{FF2B5EF4-FFF2-40B4-BE49-F238E27FC236}">
                  <a16:creationId xmlns:a16="http://schemas.microsoft.com/office/drawing/2014/main" id="{70AA2898-4C9B-4D7E-9C1C-3842696C28B7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26550999" y="1218980"/>
              <a:ext cx="349943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378170</xdr:colOff>
      <xdr:row>6</xdr:row>
      <xdr:rowOff>41710</xdr:rowOff>
    </xdr:from>
    <xdr:to>
      <xdr:col>28</xdr:col>
      <xdr:colOff>39820</xdr:colOff>
      <xdr:row>7</xdr:row>
      <xdr:rowOff>149110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7" name="Písanie rukou 36">
              <a:extLst>
                <a:ext uri="{FF2B5EF4-FFF2-40B4-BE49-F238E27FC236}">
                  <a16:creationId xmlns:a16="http://schemas.microsoft.com/office/drawing/2014/main" id="{F0EDA0F8-9F42-4428-8561-EECECEAAE4CB}"/>
                </a:ext>
              </a:extLst>
            </xdr14:cNvPr>
            <xdr14:cNvContentPartPr/>
          </xdr14:nvContentPartPr>
          <xdr14:nvPr macro=""/>
          <xdr14:xfrm>
            <a:off x="25860720" y="1165660"/>
            <a:ext cx="271250" cy="280120"/>
          </xdr14:xfrm>
        </xdr:contentPart>
      </mc:Choice>
      <mc:Fallback xmlns="">
        <xdr:pic>
          <xdr:nvPicPr>
            <xdr:cNvPr id="37" name="Písanie rukou 36">
              <a:extLst>
                <a:ext uri="{FF2B5EF4-FFF2-40B4-BE49-F238E27FC236}">
                  <a16:creationId xmlns:a16="http://schemas.microsoft.com/office/drawing/2014/main" id="{F0EDA0F8-9F42-4428-8561-EECECEAAE4CB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25851714" y="1156624"/>
              <a:ext cx="288901" cy="2978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393340</xdr:colOff>
      <xdr:row>5</xdr:row>
      <xdr:rowOff>88360</xdr:rowOff>
    </xdr:from>
    <xdr:to>
      <xdr:col>32</xdr:col>
      <xdr:colOff>34740</xdr:colOff>
      <xdr:row>5</xdr:row>
      <xdr:rowOff>149260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8" name="Písanie rukou 37">
              <a:extLst>
                <a:ext uri="{FF2B5EF4-FFF2-40B4-BE49-F238E27FC236}">
                  <a16:creationId xmlns:a16="http://schemas.microsoft.com/office/drawing/2014/main" id="{056C2282-49E8-4F01-B6DE-C34346EA6994}"/>
                </a:ext>
              </a:extLst>
            </xdr14:cNvPr>
            <xdr14:cNvContentPartPr/>
          </xdr14:nvContentPartPr>
          <xdr14:nvPr macro=""/>
          <xdr14:xfrm>
            <a:off x="28314290" y="1028160"/>
            <a:ext cx="240840" cy="53280"/>
          </xdr14:xfrm>
        </xdr:contentPart>
      </mc:Choice>
      <mc:Fallback xmlns="">
        <xdr:pic>
          <xdr:nvPicPr>
            <xdr:cNvPr id="38" name="Písanie rukou 37">
              <a:extLst>
                <a:ext uri="{FF2B5EF4-FFF2-40B4-BE49-F238E27FC236}">
                  <a16:creationId xmlns:a16="http://schemas.microsoft.com/office/drawing/2014/main" id="{056C2282-49E8-4F01-B6DE-C34346EA6994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28305650" y="1019520"/>
              <a:ext cx="258480" cy="7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580470</xdr:colOff>
      <xdr:row>6</xdr:row>
      <xdr:rowOff>70720</xdr:rowOff>
    </xdr:from>
    <xdr:to>
      <xdr:col>31</xdr:col>
      <xdr:colOff>530540</xdr:colOff>
      <xdr:row>7</xdr:row>
      <xdr:rowOff>110780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39" name="Písanie rukou 38">
              <a:extLst>
                <a:ext uri="{FF2B5EF4-FFF2-40B4-BE49-F238E27FC236}">
                  <a16:creationId xmlns:a16="http://schemas.microsoft.com/office/drawing/2014/main" id="{CEAE92DD-C94F-4AA9-A61A-0A75AB16DC11}"/>
                </a:ext>
              </a:extLst>
            </xdr14:cNvPr>
            <xdr14:cNvContentPartPr/>
          </xdr14:nvContentPartPr>
          <xdr14:nvPr macro=""/>
          <xdr14:xfrm>
            <a:off x="27891820" y="1194670"/>
            <a:ext cx="555860" cy="211510"/>
          </xdr14:xfrm>
        </xdr:contentPart>
      </mc:Choice>
      <mc:Fallback xmlns="">
        <xdr:pic>
          <xdr:nvPicPr>
            <xdr:cNvPr id="39" name="Písanie rukou 38">
              <a:extLst>
                <a:ext uri="{FF2B5EF4-FFF2-40B4-BE49-F238E27FC236}">
                  <a16:creationId xmlns:a16="http://schemas.microsoft.com/office/drawing/2014/main" id="{CEAE92DD-C94F-4AA9-A61A-0A75AB16DC11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27883140" y="1185978"/>
              <a:ext cx="573581" cy="2292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1025290</xdr:colOff>
      <xdr:row>9</xdr:row>
      <xdr:rowOff>37740</xdr:rowOff>
    </xdr:from>
    <xdr:to>
      <xdr:col>32</xdr:col>
      <xdr:colOff>270020</xdr:colOff>
      <xdr:row>22</xdr:row>
      <xdr:rowOff>142220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0" name="Písanie rukou 39">
              <a:extLst>
                <a:ext uri="{FF2B5EF4-FFF2-40B4-BE49-F238E27FC236}">
                  <a16:creationId xmlns:a16="http://schemas.microsoft.com/office/drawing/2014/main" id="{BDE5256D-E28F-41CA-AA92-5783EA7252B6}"/>
                </a:ext>
              </a:extLst>
            </xdr14:cNvPr>
            <xdr14:cNvContentPartPr/>
          </xdr14:nvContentPartPr>
          <xdr14:nvPr macro=""/>
          <xdr14:xfrm>
            <a:off x="24367890" y="1714140"/>
            <a:ext cx="3975480" cy="2517480"/>
          </xdr14:xfrm>
        </xdr:contentPart>
      </mc:Choice>
      <mc:Fallback xmlns="">
        <xdr:pic>
          <xdr:nvPicPr>
            <xdr:cNvPr id="40" name="Písanie rukou 39">
              <a:extLst>
                <a:ext uri="{FF2B5EF4-FFF2-40B4-BE49-F238E27FC236}">
                  <a16:creationId xmlns:a16="http://schemas.microsoft.com/office/drawing/2014/main" id="{BDE5256D-E28F-41CA-AA92-5783EA7252B6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24359250" y="1705140"/>
              <a:ext cx="3993120" cy="253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500190</xdr:colOff>
      <xdr:row>9</xdr:row>
      <xdr:rowOff>37740</xdr:rowOff>
    </xdr:from>
    <xdr:to>
      <xdr:col>30</xdr:col>
      <xdr:colOff>41140</xdr:colOff>
      <xdr:row>10</xdr:row>
      <xdr:rowOff>72950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1" name="Písanie rukou 40">
              <a:extLst>
                <a:ext uri="{FF2B5EF4-FFF2-40B4-BE49-F238E27FC236}">
                  <a16:creationId xmlns:a16="http://schemas.microsoft.com/office/drawing/2014/main" id="{9E0C088B-49DC-45CD-A759-6ABC1C90F6F1}"/>
                </a:ext>
              </a:extLst>
            </xdr14:cNvPr>
            <xdr14:cNvContentPartPr/>
          </xdr14:nvContentPartPr>
          <xdr14:nvPr macro=""/>
          <xdr14:xfrm>
            <a:off x="27201940" y="1714140"/>
            <a:ext cx="164520" cy="206660"/>
          </xdr14:xfrm>
        </xdr:contentPart>
      </mc:Choice>
      <mc:Fallback xmlns="">
        <xdr:pic>
          <xdr:nvPicPr>
            <xdr:cNvPr id="41" name="Písanie rukou 40">
              <a:extLst>
                <a:ext uri="{FF2B5EF4-FFF2-40B4-BE49-F238E27FC236}">
                  <a16:creationId xmlns:a16="http://schemas.microsoft.com/office/drawing/2014/main" id="{9E0C088B-49DC-45CD-A759-6ABC1C90F6F1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27192940" y="1705028"/>
              <a:ext cx="182160" cy="22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176620</xdr:colOff>
      <xdr:row>9</xdr:row>
      <xdr:rowOff>6060</xdr:rowOff>
    </xdr:from>
    <xdr:to>
      <xdr:col>30</xdr:col>
      <xdr:colOff>269290</xdr:colOff>
      <xdr:row>10</xdr:row>
      <xdr:rowOff>156100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2" name="Písanie rukou 41">
              <a:extLst>
                <a:ext uri="{FF2B5EF4-FFF2-40B4-BE49-F238E27FC236}">
                  <a16:creationId xmlns:a16="http://schemas.microsoft.com/office/drawing/2014/main" id="{D1CECBB3-DBB7-4E0C-AA8C-97B7A12A5D96}"/>
                </a:ext>
              </a:extLst>
            </xdr14:cNvPr>
            <xdr14:cNvContentPartPr/>
          </xdr14:nvContentPartPr>
          <xdr14:nvPr macro=""/>
          <xdr14:xfrm>
            <a:off x="27487970" y="1682460"/>
            <a:ext cx="96480" cy="343080"/>
          </xdr14:xfrm>
        </xdr:contentPart>
      </mc:Choice>
      <mc:Fallback xmlns="">
        <xdr:pic>
          <xdr:nvPicPr>
            <xdr:cNvPr id="42" name="Písanie rukou 41">
              <a:extLst>
                <a:ext uri="{FF2B5EF4-FFF2-40B4-BE49-F238E27FC236}">
                  <a16:creationId xmlns:a16="http://schemas.microsoft.com/office/drawing/2014/main" id="{D1CECBB3-DBB7-4E0C-AA8C-97B7A12A5D96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27479330" y="1673820"/>
              <a:ext cx="11412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266260</xdr:colOff>
      <xdr:row>9</xdr:row>
      <xdr:rowOff>4790</xdr:rowOff>
    </xdr:from>
    <xdr:to>
      <xdr:col>31</xdr:col>
      <xdr:colOff>156130</xdr:colOff>
      <xdr:row>10</xdr:row>
      <xdr:rowOff>155700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3" name="Písanie rukou 42">
              <a:extLst>
                <a:ext uri="{FF2B5EF4-FFF2-40B4-BE49-F238E27FC236}">
                  <a16:creationId xmlns:a16="http://schemas.microsoft.com/office/drawing/2014/main" id="{CECCCB12-BE36-4A08-9E7E-D74FCCACEABF}"/>
                </a:ext>
              </a:extLst>
            </xdr14:cNvPr>
            <xdr14:cNvContentPartPr/>
          </xdr14:nvContentPartPr>
          <xdr14:nvPr macro=""/>
          <xdr14:xfrm>
            <a:off x="27577610" y="1681190"/>
            <a:ext cx="504550" cy="347760"/>
          </xdr14:xfrm>
        </xdr:contentPart>
      </mc:Choice>
      <mc:Fallback xmlns="">
        <xdr:pic>
          <xdr:nvPicPr>
            <xdr:cNvPr id="43" name="Písanie rukou 42">
              <a:extLst>
                <a:ext uri="{FF2B5EF4-FFF2-40B4-BE49-F238E27FC236}">
                  <a16:creationId xmlns:a16="http://schemas.microsoft.com/office/drawing/2014/main" id="{CECCCB12-BE36-4A08-9E7E-D74FCCACEAB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27568619" y="1672550"/>
              <a:ext cx="522171" cy="36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577610</xdr:colOff>
      <xdr:row>11</xdr:row>
      <xdr:rowOff>148980</xdr:rowOff>
    </xdr:from>
    <xdr:to>
      <xdr:col>30</xdr:col>
      <xdr:colOff>204530</xdr:colOff>
      <xdr:row>14</xdr:row>
      <xdr:rowOff>48100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7" name="Písanie rukou 46">
              <a:extLst>
                <a:ext uri="{FF2B5EF4-FFF2-40B4-BE49-F238E27FC236}">
                  <a16:creationId xmlns:a16="http://schemas.microsoft.com/office/drawing/2014/main" id="{D489C7CA-6FA9-4825-B652-96A5748C8961}"/>
                </a:ext>
              </a:extLst>
            </xdr14:cNvPr>
            <xdr14:cNvContentPartPr/>
          </xdr14:nvContentPartPr>
          <xdr14:nvPr macro=""/>
          <xdr14:xfrm>
            <a:off x="26822160" y="2200030"/>
            <a:ext cx="236520" cy="457920"/>
          </xdr14:xfrm>
        </xdr:contentPart>
      </mc:Choice>
      <mc:Fallback xmlns="">
        <xdr:pic>
          <xdr:nvPicPr>
            <xdr:cNvPr id="47" name="Písanie rukou 46">
              <a:extLst>
                <a:ext uri="{FF2B5EF4-FFF2-40B4-BE49-F238E27FC236}">
                  <a16:creationId xmlns:a16="http://schemas.microsoft.com/office/drawing/2014/main" id="{D489C7CA-6FA9-4825-B652-96A5748C8961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26813214" y="2191417"/>
              <a:ext cx="254053" cy="4755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524110</xdr:colOff>
      <xdr:row>10</xdr:row>
      <xdr:rowOff>73380</xdr:rowOff>
    </xdr:from>
    <xdr:to>
      <xdr:col>32</xdr:col>
      <xdr:colOff>384020</xdr:colOff>
      <xdr:row>13</xdr:row>
      <xdr:rowOff>34610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8" name="Písanie rukou 47">
              <a:extLst>
                <a:ext uri="{FF2B5EF4-FFF2-40B4-BE49-F238E27FC236}">
                  <a16:creationId xmlns:a16="http://schemas.microsoft.com/office/drawing/2014/main" id="{72E174B6-3183-42FD-9CEE-CF1BFE406D76}"/>
                </a:ext>
              </a:extLst>
            </xdr14:cNvPr>
            <xdr14:cNvContentPartPr/>
          </xdr14:nvContentPartPr>
          <xdr14:nvPr macro=""/>
          <xdr14:xfrm>
            <a:off x="28445060" y="1933930"/>
            <a:ext cx="480940" cy="516220"/>
          </xdr14:xfrm>
        </xdr:contentPart>
      </mc:Choice>
      <mc:Fallback xmlns="">
        <xdr:pic>
          <xdr:nvPicPr>
            <xdr:cNvPr id="48" name="Písanie rukou 47">
              <a:extLst>
                <a:ext uri="{FF2B5EF4-FFF2-40B4-BE49-F238E27FC236}">
                  <a16:creationId xmlns:a16="http://schemas.microsoft.com/office/drawing/2014/main" id="{72E174B6-3183-42FD-9CEE-CF1BFE406D76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28436060" y="1924911"/>
              <a:ext cx="498579" cy="5338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47000</xdr:colOff>
      <xdr:row>10</xdr:row>
      <xdr:rowOff>75710</xdr:rowOff>
    </xdr:from>
    <xdr:to>
      <xdr:col>33</xdr:col>
      <xdr:colOff>339230</xdr:colOff>
      <xdr:row>12</xdr:row>
      <xdr:rowOff>2530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9" name="Písanie rukou 48">
              <a:extLst>
                <a:ext uri="{FF2B5EF4-FFF2-40B4-BE49-F238E27FC236}">
                  <a16:creationId xmlns:a16="http://schemas.microsoft.com/office/drawing/2014/main" id="{FB118492-2C2E-40F4-80E1-C6B154D7C602}"/>
                </a:ext>
              </a:extLst>
            </xdr14:cNvPr>
            <xdr14:cNvContentPartPr/>
          </xdr14:nvContentPartPr>
          <xdr14:nvPr macro=""/>
          <xdr14:xfrm>
            <a:off x="29187150" y="1936260"/>
            <a:ext cx="280800" cy="307820"/>
          </xdr14:xfrm>
        </xdr:contentPart>
      </mc:Choice>
      <mc:Fallback xmlns="">
        <xdr:pic>
          <xdr:nvPicPr>
            <xdr:cNvPr id="49" name="Písanie rukou 48">
              <a:extLst>
                <a:ext uri="{FF2B5EF4-FFF2-40B4-BE49-F238E27FC236}">
                  <a16:creationId xmlns:a16="http://schemas.microsoft.com/office/drawing/2014/main" id="{FB118492-2C2E-40F4-80E1-C6B154D7C602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29178510" y="1927619"/>
              <a:ext cx="298440" cy="3254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63220</xdr:colOff>
      <xdr:row>12</xdr:row>
      <xdr:rowOff>171220</xdr:rowOff>
    </xdr:from>
    <xdr:to>
      <xdr:col>33</xdr:col>
      <xdr:colOff>304780</xdr:colOff>
      <xdr:row>13</xdr:row>
      <xdr:rowOff>149320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0" name="Písanie rukou 49">
              <a:extLst>
                <a:ext uri="{FF2B5EF4-FFF2-40B4-BE49-F238E27FC236}">
                  <a16:creationId xmlns:a16="http://schemas.microsoft.com/office/drawing/2014/main" id="{EB5927DF-E5EE-49DC-9FCF-5A49B6D03D4D}"/>
                </a:ext>
              </a:extLst>
            </xdr14:cNvPr>
            <xdr14:cNvContentPartPr/>
          </xdr14:nvContentPartPr>
          <xdr14:nvPr macro=""/>
          <xdr14:xfrm>
            <a:off x="29203370" y="2406420"/>
            <a:ext cx="241560" cy="153360"/>
          </xdr14:xfrm>
        </xdr:contentPart>
      </mc:Choice>
      <mc:Fallback xmlns="">
        <xdr:pic>
          <xdr:nvPicPr>
            <xdr:cNvPr id="50" name="Písanie rukou 49">
              <a:extLst>
                <a:ext uri="{FF2B5EF4-FFF2-40B4-BE49-F238E27FC236}">
                  <a16:creationId xmlns:a16="http://schemas.microsoft.com/office/drawing/2014/main" id="{EB5927DF-E5EE-49DC-9FCF-5A49B6D03D4D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29194370" y="2397420"/>
              <a:ext cx="259200" cy="17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3630</xdr:colOff>
      <xdr:row>14</xdr:row>
      <xdr:rowOff>80780</xdr:rowOff>
    </xdr:from>
    <xdr:to>
      <xdr:col>34</xdr:col>
      <xdr:colOff>574900</xdr:colOff>
      <xdr:row>17</xdr:row>
      <xdr:rowOff>111700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1" name="Písanie rukou 50">
              <a:extLst>
                <a:ext uri="{FF2B5EF4-FFF2-40B4-BE49-F238E27FC236}">
                  <a16:creationId xmlns:a16="http://schemas.microsoft.com/office/drawing/2014/main" id="{D401E8E7-07D6-4BCE-85A5-865BDFC7D949}"/>
                </a:ext>
              </a:extLst>
            </xdr14:cNvPr>
            <xdr14:cNvContentPartPr/>
          </xdr14:nvContentPartPr>
          <xdr14:nvPr macro=""/>
          <xdr14:xfrm>
            <a:off x="29143780" y="2690630"/>
            <a:ext cx="1196110" cy="587180"/>
          </xdr14:xfrm>
        </xdr:contentPart>
      </mc:Choice>
      <mc:Fallback xmlns="">
        <xdr:pic>
          <xdr:nvPicPr>
            <xdr:cNvPr id="51" name="Písanie rukou 50">
              <a:extLst>
                <a:ext uri="{FF2B5EF4-FFF2-40B4-BE49-F238E27FC236}">
                  <a16:creationId xmlns:a16="http://schemas.microsoft.com/office/drawing/2014/main" id="{D401E8E7-07D6-4BCE-85A5-865BDFC7D949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29135139" y="2681931"/>
              <a:ext cx="1213753" cy="6049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378980</xdr:colOff>
      <xdr:row>16</xdr:row>
      <xdr:rowOff>46710</xdr:rowOff>
    </xdr:from>
    <xdr:to>
      <xdr:col>33</xdr:col>
      <xdr:colOff>499940</xdr:colOff>
      <xdr:row>16</xdr:row>
      <xdr:rowOff>152910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52" name="Písanie rukou 51">
              <a:extLst>
                <a:ext uri="{FF2B5EF4-FFF2-40B4-BE49-F238E27FC236}">
                  <a16:creationId xmlns:a16="http://schemas.microsoft.com/office/drawing/2014/main" id="{4FA75674-51C5-4325-BFC9-43DB5BC7C922}"/>
                </a:ext>
              </a:extLst>
            </xdr14:cNvPr>
            <xdr14:cNvContentPartPr/>
          </xdr14:nvContentPartPr>
          <xdr14:nvPr macro=""/>
          <xdr14:xfrm>
            <a:off x="29061930" y="3031210"/>
            <a:ext cx="120960" cy="106200"/>
          </xdr14:xfrm>
        </xdr:contentPart>
      </mc:Choice>
      <mc:Fallback xmlns="">
        <xdr:pic>
          <xdr:nvPicPr>
            <xdr:cNvPr id="52" name="Písanie rukou 51">
              <a:extLst>
                <a:ext uri="{FF2B5EF4-FFF2-40B4-BE49-F238E27FC236}">
                  <a16:creationId xmlns:a16="http://schemas.microsoft.com/office/drawing/2014/main" id="{4FA75674-51C5-4325-BFC9-43DB5BC7C922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29053392" y="3022481"/>
              <a:ext cx="138392" cy="1240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511520</xdr:colOff>
      <xdr:row>18</xdr:row>
      <xdr:rowOff>146410</xdr:rowOff>
    </xdr:from>
    <xdr:to>
      <xdr:col>36</xdr:col>
      <xdr:colOff>339830</xdr:colOff>
      <xdr:row>20</xdr:row>
      <xdr:rowOff>34980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4" name="Písanie rukou 53">
              <a:extLst>
                <a:ext uri="{FF2B5EF4-FFF2-40B4-BE49-F238E27FC236}">
                  <a16:creationId xmlns:a16="http://schemas.microsoft.com/office/drawing/2014/main" id="{A52BE22E-40BF-4D33-9970-A8E633715DE8}"/>
                </a:ext>
              </a:extLst>
            </xdr14:cNvPr>
            <xdr14:cNvContentPartPr/>
          </xdr14:nvContentPartPr>
          <xdr14:nvPr macro=""/>
          <xdr14:xfrm>
            <a:off x="30261270" y="3499210"/>
            <a:ext cx="1036080" cy="255600"/>
          </xdr14:xfrm>
        </xdr:contentPart>
      </mc:Choice>
      <mc:Fallback xmlns="">
        <xdr:pic>
          <xdr:nvPicPr>
            <xdr:cNvPr id="54" name="Písanie rukou 53">
              <a:extLst>
                <a:ext uri="{FF2B5EF4-FFF2-40B4-BE49-F238E27FC236}">
                  <a16:creationId xmlns:a16="http://schemas.microsoft.com/office/drawing/2014/main" id="{A52BE22E-40BF-4D33-9970-A8E633715DE8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30252270" y="3490421"/>
              <a:ext cx="1053720" cy="2735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294260</xdr:colOff>
      <xdr:row>7</xdr:row>
      <xdr:rowOff>44590</xdr:rowOff>
    </xdr:from>
    <xdr:to>
      <xdr:col>38</xdr:col>
      <xdr:colOff>339720</xdr:colOff>
      <xdr:row>8</xdr:row>
      <xdr:rowOff>117800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5" name="Písanie rukou 54">
              <a:extLst>
                <a:ext uri="{FF2B5EF4-FFF2-40B4-BE49-F238E27FC236}">
                  <a16:creationId xmlns:a16="http://schemas.microsoft.com/office/drawing/2014/main" id="{9059D0ED-5C0C-43C7-A4B2-F3C48621E6A0}"/>
                </a:ext>
              </a:extLst>
            </xdr14:cNvPr>
            <xdr14:cNvContentPartPr/>
          </xdr14:nvContentPartPr>
          <xdr14:nvPr macro=""/>
          <xdr14:xfrm>
            <a:off x="30653610" y="1352690"/>
            <a:ext cx="1860290" cy="263710"/>
          </xdr14:xfrm>
        </xdr:contentPart>
      </mc:Choice>
      <mc:Fallback xmlns="">
        <xdr:pic>
          <xdr:nvPicPr>
            <xdr:cNvPr id="55" name="Písanie rukou 54">
              <a:extLst>
                <a:ext uri="{FF2B5EF4-FFF2-40B4-BE49-F238E27FC236}">
                  <a16:creationId xmlns:a16="http://schemas.microsoft.com/office/drawing/2014/main" id="{9059D0ED-5C0C-43C7-A4B2-F3C48621E6A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0644969" y="1344056"/>
              <a:ext cx="1877932" cy="281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283180</xdr:colOff>
      <xdr:row>6</xdr:row>
      <xdr:rowOff>70720</xdr:rowOff>
    </xdr:from>
    <xdr:to>
      <xdr:col>35</xdr:col>
      <xdr:colOff>72860</xdr:colOff>
      <xdr:row>8</xdr:row>
      <xdr:rowOff>79470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56" name="Písanie rukou 55">
              <a:extLst>
                <a:ext uri="{FF2B5EF4-FFF2-40B4-BE49-F238E27FC236}">
                  <a16:creationId xmlns:a16="http://schemas.microsoft.com/office/drawing/2014/main" id="{0C3344B5-8509-4E37-A51D-9EC4DCC5456C}"/>
                </a:ext>
              </a:extLst>
            </xdr14:cNvPr>
            <xdr14:cNvContentPartPr/>
          </xdr14:nvContentPartPr>
          <xdr14:nvPr macro=""/>
          <xdr14:xfrm>
            <a:off x="30032930" y="1194670"/>
            <a:ext cx="398010" cy="380860"/>
          </xdr14:xfrm>
        </xdr:contentPart>
      </mc:Choice>
      <mc:Fallback xmlns="">
        <xdr:pic>
          <xdr:nvPicPr>
            <xdr:cNvPr id="56" name="Písanie rukou 55">
              <a:extLst>
                <a:ext uri="{FF2B5EF4-FFF2-40B4-BE49-F238E27FC236}">
                  <a16:creationId xmlns:a16="http://schemas.microsoft.com/office/drawing/2014/main" id="{0C3344B5-8509-4E37-A51D-9EC4DCC5456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30023933" y="1185998"/>
              <a:ext cx="415643" cy="3985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596900</xdr:colOff>
      <xdr:row>10</xdr:row>
      <xdr:rowOff>80740</xdr:rowOff>
    </xdr:from>
    <xdr:to>
      <xdr:col>38</xdr:col>
      <xdr:colOff>270250</xdr:colOff>
      <xdr:row>11</xdr:row>
      <xdr:rowOff>78540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57" name="Písanie rukou 56">
              <a:extLst>
                <a:ext uri="{FF2B5EF4-FFF2-40B4-BE49-F238E27FC236}">
                  <a16:creationId xmlns:a16="http://schemas.microsoft.com/office/drawing/2014/main" id="{26C16772-0EEE-499A-A5F5-5FB5AFD86400}"/>
                </a:ext>
              </a:extLst>
            </xdr14:cNvPr>
            <xdr14:cNvContentPartPr/>
          </xdr14:nvContentPartPr>
          <xdr14:nvPr macro=""/>
          <xdr14:xfrm>
            <a:off x="31565850" y="1941290"/>
            <a:ext cx="898900" cy="189570"/>
          </xdr14:xfrm>
        </xdr:contentPart>
      </mc:Choice>
      <mc:Fallback xmlns="">
        <xdr:pic>
          <xdr:nvPicPr>
            <xdr:cNvPr id="57" name="Písanie rukou 56">
              <a:extLst>
                <a:ext uri="{FF2B5EF4-FFF2-40B4-BE49-F238E27FC236}">
                  <a16:creationId xmlns:a16="http://schemas.microsoft.com/office/drawing/2014/main" id="{26C16772-0EEE-499A-A5F5-5FB5AFD86400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31556850" y="1932640"/>
              <a:ext cx="916540" cy="2072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236790</xdr:colOff>
      <xdr:row>9</xdr:row>
      <xdr:rowOff>161190</xdr:rowOff>
    </xdr:from>
    <xdr:to>
      <xdr:col>36</xdr:col>
      <xdr:colOff>415920</xdr:colOff>
      <xdr:row>11</xdr:row>
      <xdr:rowOff>116110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58" name="Písanie rukou 57">
              <a:extLst>
                <a:ext uri="{FF2B5EF4-FFF2-40B4-BE49-F238E27FC236}">
                  <a16:creationId xmlns:a16="http://schemas.microsoft.com/office/drawing/2014/main" id="{3ACF2EB5-3435-4109-9774-F3D1C1E2E9F7}"/>
                </a:ext>
              </a:extLst>
            </xdr14:cNvPr>
            <xdr14:cNvContentPartPr/>
          </xdr14:nvContentPartPr>
          <xdr14:nvPr macro=""/>
          <xdr14:xfrm>
            <a:off x="30596140" y="1837590"/>
            <a:ext cx="776030" cy="333380"/>
          </xdr14:xfrm>
        </xdr:contentPart>
      </mc:Choice>
      <mc:Fallback xmlns="">
        <xdr:pic>
          <xdr:nvPicPr>
            <xdr:cNvPr id="58" name="Písanie rukou 57">
              <a:extLst>
                <a:ext uri="{FF2B5EF4-FFF2-40B4-BE49-F238E27FC236}">
                  <a16:creationId xmlns:a16="http://schemas.microsoft.com/office/drawing/2014/main" id="{3ACF2EB5-3435-4109-9774-F3D1C1E2E9F7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30587142" y="1828589"/>
              <a:ext cx="793667" cy="3510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495170</xdr:colOff>
      <xdr:row>0</xdr:row>
      <xdr:rowOff>95040</xdr:rowOff>
    </xdr:from>
    <xdr:to>
      <xdr:col>2</xdr:col>
      <xdr:colOff>495530</xdr:colOff>
      <xdr:row>0</xdr:row>
      <xdr:rowOff>110640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59" name="Písanie rukou 58">
              <a:extLst>
                <a:ext uri="{FF2B5EF4-FFF2-40B4-BE49-F238E27FC236}">
                  <a16:creationId xmlns:a16="http://schemas.microsoft.com/office/drawing/2014/main" id="{7334872D-079B-45AB-930C-8DD49BBFB2CD}"/>
                </a:ext>
              </a:extLst>
            </xdr14:cNvPr>
            <xdr14:cNvContentPartPr/>
          </xdr14:nvContentPartPr>
          <xdr14:nvPr macro=""/>
          <xdr14:xfrm>
            <a:off x="1593720" y="95040"/>
            <a:ext cx="360" cy="360"/>
          </xdr14:xfrm>
        </xdr:contentPart>
      </mc:Choice>
      <mc:Fallback xmlns="">
        <xdr:pic>
          <xdr:nvPicPr>
            <xdr:cNvPr id="59" name="Písanie rukou 58">
              <a:extLst>
                <a:ext uri="{FF2B5EF4-FFF2-40B4-BE49-F238E27FC236}">
                  <a16:creationId xmlns:a16="http://schemas.microsoft.com/office/drawing/2014/main" id="{7334872D-079B-45AB-930C-8DD49BBFB2C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584720" y="860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329930</xdr:colOff>
      <xdr:row>0</xdr:row>
      <xdr:rowOff>48240</xdr:rowOff>
    </xdr:from>
    <xdr:to>
      <xdr:col>2</xdr:col>
      <xdr:colOff>339180</xdr:colOff>
      <xdr:row>0</xdr:row>
      <xdr:rowOff>47310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60" name="Písanie rukou 59">
              <a:extLst>
                <a:ext uri="{FF2B5EF4-FFF2-40B4-BE49-F238E27FC236}">
                  <a16:creationId xmlns:a16="http://schemas.microsoft.com/office/drawing/2014/main" id="{71560536-5D3D-4FB2-8E6E-36E61428DC77}"/>
                </a:ext>
              </a:extLst>
            </xdr14:cNvPr>
            <xdr14:cNvContentPartPr/>
          </xdr14:nvContentPartPr>
          <xdr14:nvPr macro=""/>
          <xdr14:xfrm>
            <a:off x="1428480" y="48240"/>
            <a:ext cx="360" cy="2880"/>
          </xdr14:xfrm>
        </xdr:contentPart>
      </mc:Choice>
      <mc:Fallback xmlns="">
        <xdr:pic>
          <xdr:nvPicPr>
            <xdr:cNvPr id="60" name="Písanie rukou 59">
              <a:extLst>
                <a:ext uri="{FF2B5EF4-FFF2-40B4-BE49-F238E27FC236}">
                  <a16:creationId xmlns:a16="http://schemas.microsoft.com/office/drawing/2014/main" id="{71560536-5D3D-4FB2-8E6E-36E61428DC7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419840" y="39240"/>
              <a:ext cx="1800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220920</xdr:colOff>
      <xdr:row>23</xdr:row>
      <xdr:rowOff>170510</xdr:rowOff>
    </xdr:from>
    <xdr:to>
      <xdr:col>15</xdr:col>
      <xdr:colOff>346120</xdr:colOff>
      <xdr:row>25</xdr:row>
      <xdr:rowOff>148820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65" name="Písanie rukou 64">
              <a:extLst>
                <a:ext uri="{FF2B5EF4-FFF2-40B4-BE49-F238E27FC236}">
                  <a16:creationId xmlns:a16="http://schemas.microsoft.com/office/drawing/2014/main" id="{A5CE0958-B716-4018-A7AD-9644FC05176A}"/>
                </a:ext>
              </a:extLst>
            </xdr14:cNvPr>
            <xdr14:cNvContentPartPr/>
          </xdr14:nvContentPartPr>
          <xdr14:nvPr macro=""/>
          <xdr14:xfrm>
            <a:off x="13905170" y="4444060"/>
            <a:ext cx="135360" cy="332640"/>
          </xdr14:xfrm>
        </xdr:contentPart>
      </mc:Choice>
      <mc:Fallback xmlns="">
        <xdr:pic>
          <xdr:nvPicPr>
            <xdr:cNvPr id="65" name="Písanie rukou 64">
              <a:extLst>
                <a:ext uri="{FF2B5EF4-FFF2-40B4-BE49-F238E27FC236}">
                  <a16:creationId xmlns:a16="http://schemas.microsoft.com/office/drawing/2014/main" id="{A5CE0958-B716-4018-A7AD-9644FC05176A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13896170" y="4435060"/>
              <a:ext cx="153000" cy="35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174860</xdr:colOff>
      <xdr:row>18</xdr:row>
      <xdr:rowOff>69770</xdr:rowOff>
    </xdr:from>
    <xdr:to>
      <xdr:col>20</xdr:col>
      <xdr:colOff>35480</xdr:colOff>
      <xdr:row>19</xdr:row>
      <xdr:rowOff>110850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68" name="Písanie rukou 67">
              <a:extLst>
                <a:ext uri="{FF2B5EF4-FFF2-40B4-BE49-F238E27FC236}">
                  <a16:creationId xmlns:a16="http://schemas.microsoft.com/office/drawing/2014/main" id="{7361D74B-A5DB-474A-872F-A95A0CBAE052}"/>
                </a:ext>
              </a:extLst>
            </xdr14:cNvPr>
            <xdr14:cNvContentPartPr/>
          </xdr14:nvContentPartPr>
          <xdr14:nvPr macro=""/>
          <xdr14:xfrm>
            <a:off x="17288110" y="3422570"/>
            <a:ext cx="462600" cy="218880"/>
          </xdr14:xfrm>
        </xdr:contentPart>
      </mc:Choice>
      <mc:Fallback xmlns="">
        <xdr:pic>
          <xdr:nvPicPr>
            <xdr:cNvPr id="68" name="Písanie rukou 67">
              <a:extLst>
                <a:ext uri="{FF2B5EF4-FFF2-40B4-BE49-F238E27FC236}">
                  <a16:creationId xmlns:a16="http://schemas.microsoft.com/office/drawing/2014/main" id="{7361D74B-A5DB-474A-872F-A95A0CBAE052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7279395" y="3413404"/>
              <a:ext cx="480392" cy="2368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108910</xdr:colOff>
      <xdr:row>20</xdr:row>
      <xdr:rowOff>76040</xdr:rowOff>
    </xdr:from>
    <xdr:to>
      <xdr:col>21</xdr:col>
      <xdr:colOff>263920</xdr:colOff>
      <xdr:row>22</xdr:row>
      <xdr:rowOff>1030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82" name="Písanie rukou 81">
              <a:extLst>
                <a:ext uri="{FF2B5EF4-FFF2-40B4-BE49-F238E27FC236}">
                  <a16:creationId xmlns:a16="http://schemas.microsoft.com/office/drawing/2014/main" id="{2C36CF3A-DA35-4EEE-83D3-4CBB2F198F84}"/>
                </a:ext>
              </a:extLst>
            </xdr14:cNvPr>
            <xdr14:cNvContentPartPr/>
          </xdr14:nvContentPartPr>
          <xdr14:nvPr macro=""/>
          <xdr14:xfrm>
            <a:off x="18441360" y="3797140"/>
            <a:ext cx="147390" cy="286940"/>
          </xdr14:xfrm>
        </xdr:contentPart>
      </mc:Choice>
      <mc:Fallback xmlns="">
        <xdr:pic>
          <xdr:nvPicPr>
            <xdr:cNvPr id="82" name="Písanie rukou 81">
              <a:extLst>
                <a:ext uri="{FF2B5EF4-FFF2-40B4-BE49-F238E27FC236}">
                  <a16:creationId xmlns:a16="http://schemas.microsoft.com/office/drawing/2014/main" id="{2C36CF3A-DA35-4EEE-83D3-4CBB2F198F84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8432690" y="3787978"/>
              <a:ext cx="165091" cy="3048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81650</xdr:colOff>
      <xdr:row>20</xdr:row>
      <xdr:rowOff>114920</xdr:rowOff>
    </xdr:from>
    <xdr:to>
      <xdr:col>20</xdr:col>
      <xdr:colOff>536120</xdr:colOff>
      <xdr:row>21</xdr:row>
      <xdr:rowOff>155580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83" name="Písanie rukou 82">
              <a:extLst>
                <a:ext uri="{FF2B5EF4-FFF2-40B4-BE49-F238E27FC236}">
                  <a16:creationId xmlns:a16="http://schemas.microsoft.com/office/drawing/2014/main" id="{AA302C00-5E68-4237-8889-65B60FD2EA6D}"/>
                </a:ext>
              </a:extLst>
            </xdr14:cNvPr>
            <xdr14:cNvContentPartPr/>
          </xdr14:nvContentPartPr>
          <xdr14:nvPr macro=""/>
          <xdr14:xfrm>
            <a:off x="17804500" y="3836020"/>
            <a:ext cx="459550" cy="224810"/>
          </xdr14:xfrm>
        </xdr:contentPart>
      </mc:Choice>
      <mc:Fallback xmlns="">
        <xdr:pic>
          <xdr:nvPicPr>
            <xdr:cNvPr id="83" name="Písanie rukou 82">
              <a:extLst>
                <a:ext uri="{FF2B5EF4-FFF2-40B4-BE49-F238E27FC236}">
                  <a16:creationId xmlns:a16="http://schemas.microsoft.com/office/drawing/2014/main" id="{AA302C00-5E68-4237-8889-65B60FD2EA6D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7795510" y="3827415"/>
              <a:ext cx="477170" cy="2423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375670</xdr:colOff>
      <xdr:row>21</xdr:row>
      <xdr:rowOff>80</xdr:rowOff>
    </xdr:from>
    <xdr:to>
      <xdr:col>19</xdr:col>
      <xdr:colOff>494160</xdr:colOff>
      <xdr:row>22</xdr:row>
      <xdr:rowOff>72840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84" name="Písanie rukou 83">
              <a:extLst>
                <a:ext uri="{FF2B5EF4-FFF2-40B4-BE49-F238E27FC236}">
                  <a16:creationId xmlns:a16="http://schemas.microsoft.com/office/drawing/2014/main" id="{74F355E5-4550-4A86-B7B6-9B0EBBEFAB35}"/>
                </a:ext>
              </a:extLst>
            </xdr14:cNvPr>
            <xdr14:cNvContentPartPr/>
          </xdr14:nvContentPartPr>
          <xdr14:nvPr macro=""/>
          <xdr14:xfrm>
            <a:off x="16879320" y="3905330"/>
            <a:ext cx="728090" cy="248020"/>
          </xdr14:xfrm>
        </xdr:contentPart>
      </mc:Choice>
      <mc:Fallback xmlns="">
        <xdr:pic>
          <xdr:nvPicPr>
            <xdr:cNvPr id="84" name="Písanie rukou 83">
              <a:extLst>
                <a:ext uri="{FF2B5EF4-FFF2-40B4-BE49-F238E27FC236}">
                  <a16:creationId xmlns:a16="http://schemas.microsoft.com/office/drawing/2014/main" id="{74F355E5-4550-4A86-B7B6-9B0EBBEFAB35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16870291" y="3896344"/>
              <a:ext cx="745787" cy="2656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426750</xdr:colOff>
      <xdr:row>20</xdr:row>
      <xdr:rowOff>28200</xdr:rowOff>
    </xdr:from>
    <xdr:to>
      <xdr:col>22</xdr:col>
      <xdr:colOff>193120</xdr:colOff>
      <xdr:row>21</xdr:row>
      <xdr:rowOff>79370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86" name="Písanie rukou 85">
              <a:extLst>
                <a:ext uri="{FF2B5EF4-FFF2-40B4-BE49-F238E27FC236}">
                  <a16:creationId xmlns:a16="http://schemas.microsoft.com/office/drawing/2014/main" id="{048340A4-43EE-4CD2-B17E-02FC5988062A}"/>
                </a:ext>
              </a:extLst>
            </xdr14:cNvPr>
            <xdr14:cNvContentPartPr/>
          </xdr14:nvContentPartPr>
          <xdr14:nvPr macro=""/>
          <xdr14:xfrm>
            <a:off x="18759200" y="3749300"/>
            <a:ext cx="383590" cy="241670"/>
          </xdr14:xfrm>
        </xdr:contentPart>
      </mc:Choice>
      <mc:Fallback xmlns="">
        <xdr:pic>
          <xdr:nvPicPr>
            <xdr:cNvPr id="86" name="Písanie rukou 85">
              <a:extLst>
                <a:ext uri="{FF2B5EF4-FFF2-40B4-BE49-F238E27FC236}">
                  <a16:creationId xmlns:a16="http://schemas.microsoft.com/office/drawing/2014/main" id="{048340A4-43EE-4CD2-B17E-02FC5988062A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18750580" y="3740795"/>
              <a:ext cx="401189" cy="2590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853050</xdr:colOff>
      <xdr:row>18</xdr:row>
      <xdr:rowOff>145500</xdr:rowOff>
    </xdr:from>
    <xdr:to>
      <xdr:col>25</xdr:col>
      <xdr:colOff>920730</xdr:colOff>
      <xdr:row>19</xdr:row>
      <xdr:rowOff>41270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105" name="Písanie rukou 104">
              <a:extLst>
                <a:ext uri="{FF2B5EF4-FFF2-40B4-BE49-F238E27FC236}">
                  <a16:creationId xmlns:a16="http://schemas.microsoft.com/office/drawing/2014/main" id="{82B4D145-C3F2-4A09-AD5E-4CA7EDD8B597}"/>
                </a:ext>
              </a:extLst>
            </xdr14:cNvPr>
            <xdr14:cNvContentPartPr/>
          </xdr14:nvContentPartPr>
          <xdr14:nvPr macro=""/>
          <xdr14:xfrm>
            <a:off x="24195650" y="3498300"/>
            <a:ext cx="67680" cy="79920"/>
          </xdr14:xfrm>
        </xdr:contentPart>
      </mc:Choice>
      <mc:Fallback xmlns="">
        <xdr:pic>
          <xdr:nvPicPr>
            <xdr:cNvPr id="105" name="Písanie rukou 104">
              <a:extLst>
                <a:ext uri="{FF2B5EF4-FFF2-40B4-BE49-F238E27FC236}">
                  <a16:creationId xmlns:a16="http://schemas.microsoft.com/office/drawing/2014/main" id="{82B4D145-C3F2-4A09-AD5E-4CA7EDD8B597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24187010" y="3489660"/>
              <a:ext cx="85320" cy="9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62880</xdr:colOff>
      <xdr:row>16</xdr:row>
      <xdr:rowOff>87140</xdr:rowOff>
    </xdr:from>
    <xdr:to>
      <xdr:col>28</xdr:col>
      <xdr:colOff>259770</xdr:colOff>
      <xdr:row>20</xdr:row>
      <xdr:rowOff>149290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108" name="Písanie rukou 107">
              <a:extLst>
                <a:ext uri="{FF2B5EF4-FFF2-40B4-BE49-F238E27FC236}">
                  <a16:creationId xmlns:a16="http://schemas.microsoft.com/office/drawing/2014/main" id="{B5D4F22A-EB0D-4880-96DF-237F1980EA0C}"/>
                </a:ext>
              </a:extLst>
            </xdr14:cNvPr>
            <xdr14:cNvContentPartPr/>
          </xdr14:nvContentPartPr>
          <xdr14:nvPr macro=""/>
          <xdr14:xfrm>
            <a:off x="24478630" y="3071640"/>
            <a:ext cx="1416090" cy="798750"/>
          </xdr14:xfrm>
        </xdr:contentPart>
      </mc:Choice>
      <mc:Fallback xmlns="">
        <xdr:pic>
          <xdr:nvPicPr>
            <xdr:cNvPr id="108" name="Písanie rukou 107">
              <a:extLst>
                <a:ext uri="{FF2B5EF4-FFF2-40B4-BE49-F238E27FC236}">
                  <a16:creationId xmlns:a16="http://schemas.microsoft.com/office/drawing/2014/main" id="{B5D4F22A-EB0D-4880-96DF-237F1980EA0C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24469613" y="3062899"/>
              <a:ext cx="1433764" cy="8165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69580</xdr:colOff>
      <xdr:row>14</xdr:row>
      <xdr:rowOff>145050</xdr:rowOff>
    </xdr:from>
    <xdr:to>
      <xdr:col>27</xdr:col>
      <xdr:colOff>234460</xdr:colOff>
      <xdr:row>15</xdr:row>
      <xdr:rowOff>119300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112" name="Písanie rukou 111">
              <a:extLst>
                <a:ext uri="{FF2B5EF4-FFF2-40B4-BE49-F238E27FC236}">
                  <a16:creationId xmlns:a16="http://schemas.microsoft.com/office/drawing/2014/main" id="{A7EB72DE-DB37-45E6-ACAE-8ECB965205D0}"/>
                </a:ext>
              </a:extLst>
            </xdr14:cNvPr>
            <xdr14:cNvContentPartPr/>
          </xdr14:nvContentPartPr>
          <xdr14:nvPr macro=""/>
          <xdr14:xfrm>
            <a:off x="25094930" y="2754900"/>
            <a:ext cx="164880" cy="158400"/>
          </xdr14:xfrm>
        </xdr:contentPart>
      </mc:Choice>
      <mc:Fallback xmlns="">
        <xdr:pic>
          <xdr:nvPicPr>
            <xdr:cNvPr id="112" name="Písanie rukou 111">
              <a:extLst>
                <a:ext uri="{FF2B5EF4-FFF2-40B4-BE49-F238E27FC236}">
                  <a16:creationId xmlns:a16="http://schemas.microsoft.com/office/drawing/2014/main" id="{A7EB72DE-DB37-45E6-ACAE-8ECB965205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25086290" y="2745900"/>
              <a:ext cx="182520" cy="17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42750</xdr:colOff>
      <xdr:row>12</xdr:row>
      <xdr:rowOff>4350</xdr:rowOff>
    </xdr:from>
    <xdr:to>
      <xdr:col>27</xdr:col>
      <xdr:colOff>300890</xdr:colOff>
      <xdr:row>14</xdr:row>
      <xdr:rowOff>33280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113" name="Písanie rukou 112">
              <a:extLst>
                <a:ext uri="{FF2B5EF4-FFF2-40B4-BE49-F238E27FC236}">
                  <a16:creationId xmlns:a16="http://schemas.microsoft.com/office/drawing/2014/main" id="{4C002E6B-44E6-4C45-A3A7-C1C60A707D2A}"/>
                </a:ext>
              </a:extLst>
            </xdr14:cNvPr>
            <xdr14:cNvContentPartPr/>
          </xdr14:nvContentPartPr>
          <xdr14:nvPr macro=""/>
          <xdr14:xfrm>
            <a:off x="25068100" y="2239550"/>
            <a:ext cx="258140" cy="403580"/>
          </xdr14:xfrm>
        </xdr:contentPart>
      </mc:Choice>
      <mc:Fallback xmlns="">
        <xdr:pic>
          <xdr:nvPicPr>
            <xdr:cNvPr id="113" name="Písanie rukou 112">
              <a:extLst>
                <a:ext uri="{FF2B5EF4-FFF2-40B4-BE49-F238E27FC236}">
                  <a16:creationId xmlns:a16="http://schemas.microsoft.com/office/drawing/2014/main" id="{4C002E6B-44E6-4C45-A3A7-C1C60A707D2A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25059447" y="2230460"/>
              <a:ext cx="275806" cy="4213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383980</xdr:colOff>
      <xdr:row>13</xdr:row>
      <xdr:rowOff>177510</xdr:rowOff>
    </xdr:from>
    <xdr:to>
      <xdr:col>26</xdr:col>
      <xdr:colOff>532660</xdr:colOff>
      <xdr:row>15</xdr:row>
      <xdr:rowOff>13820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114" name="Písanie rukou 113">
              <a:extLst>
                <a:ext uri="{FF2B5EF4-FFF2-40B4-BE49-F238E27FC236}">
                  <a16:creationId xmlns:a16="http://schemas.microsoft.com/office/drawing/2014/main" id="{3EDF1710-EC8D-4E09-9FE3-14B041FFF4C9}"/>
                </a:ext>
              </a:extLst>
            </xdr14:cNvPr>
            <xdr14:cNvContentPartPr/>
          </xdr14:nvContentPartPr>
          <xdr14:nvPr macro=""/>
          <xdr14:xfrm>
            <a:off x="24799730" y="2596860"/>
            <a:ext cx="148680" cy="210960"/>
          </xdr14:xfrm>
        </xdr:contentPart>
      </mc:Choice>
      <mc:Fallback xmlns="">
        <xdr:pic>
          <xdr:nvPicPr>
            <xdr:cNvPr id="114" name="Písanie rukou 113">
              <a:extLst>
                <a:ext uri="{FF2B5EF4-FFF2-40B4-BE49-F238E27FC236}">
                  <a16:creationId xmlns:a16="http://schemas.microsoft.com/office/drawing/2014/main" id="{3EDF1710-EC8D-4E09-9FE3-14B041FFF4C9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24791090" y="2588220"/>
              <a:ext cx="166320" cy="22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345610</xdr:colOff>
      <xdr:row>16</xdr:row>
      <xdr:rowOff>1160</xdr:rowOff>
    </xdr:from>
    <xdr:to>
      <xdr:col>33</xdr:col>
      <xdr:colOff>268660</xdr:colOff>
      <xdr:row>17</xdr:row>
      <xdr:rowOff>23310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124" name="Písanie rukou 123">
              <a:extLst>
                <a:ext uri="{FF2B5EF4-FFF2-40B4-BE49-F238E27FC236}">
                  <a16:creationId xmlns:a16="http://schemas.microsoft.com/office/drawing/2014/main" id="{DA66B658-5169-491D-B0A7-5D3CFE15D2F0}"/>
                </a:ext>
              </a:extLst>
            </xdr14:cNvPr>
            <xdr14:cNvContentPartPr/>
          </xdr14:nvContentPartPr>
          <xdr14:nvPr macro=""/>
          <xdr14:xfrm>
            <a:off x="28418960" y="2985660"/>
            <a:ext cx="532650" cy="206300"/>
          </xdr14:xfrm>
        </xdr:contentPart>
      </mc:Choice>
      <mc:Fallback xmlns="">
        <xdr:pic>
          <xdr:nvPicPr>
            <xdr:cNvPr id="124" name="Písanie rukou 123">
              <a:extLst>
                <a:ext uri="{FF2B5EF4-FFF2-40B4-BE49-F238E27FC236}">
                  <a16:creationId xmlns:a16="http://schemas.microsoft.com/office/drawing/2014/main" id="{DA66B658-5169-491D-B0A7-5D3CFE15D2F0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28410317" y="2976612"/>
              <a:ext cx="550297" cy="2240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166760</xdr:colOff>
      <xdr:row>18</xdr:row>
      <xdr:rowOff>43790</xdr:rowOff>
    </xdr:from>
    <xdr:to>
      <xdr:col>34</xdr:col>
      <xdr:colOff>308500</xdr:colOff>
      <xdr:row>20</xdr:row>
      <xdr:rowOff>62700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131" name="Písanie rukou 130">
              <a:extLst>
                <a:ext uri="{FF2B5EF4-FFF2-40B4-BE49-F238E27FC236}">
                  <a16:creationId xmlns:a16="http://schemas.microsoft.com/office/drawing/2014/main" id="{1A996920-D3EE-48B3-97FF-994E9B2CF308}"/>
                </a:ext>
              </a:extLst>
            </xdr14:cNvPr>
            <xdr14:cNvContentPartPr/>
          </xdr14:nvContentPartPr>
          <xdr14:nvPr macro=""/>
          <xdr14:xfrm>
            <a:off x="28849710" y="3396590"/>
            <a:ext cx="751340" cy="387210"/>
          </xdr14:xfrm>
        </xdr:contentPart>
      </mc:Choice>
      <mc:Fallback xmlns="">
        <xdr:pic>
          <xdr:nvPicPr>
            <xdr:cNvPr id="131" name="Písanie rukou 130">
              <a:extLst>
                <a:ext uri="{FF2B5EF4-FFF2-40B4-BE49-F238E27FC236}">
                  <a16:creationId xmlns:a16="http://schemas.microsoft.com/office/drawing/2014/main" id="{1A996920-D3EE-48B3-97FF-994E9B2CF308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28841057" y="3387560"/>
              <a:ext cx="769006" cy="404909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19</xdr:row>
      <xdr:rowOff>0</xdr:rowOff>
    </xdr:from>
    <xdr:to>
      <xdr:col>12</xdr:col>
      <xdr:colOff>447040</xdr:colOff>
      <xdr:row>33</xdr:row>
      <xdr:rowOff>172720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2583FF1E-0852-4F7E-9BE9-05F200EF02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86550" y="3536950"/>
              <a:ext cx="4657090" cy="2750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900490</xdr:colOff>
      <xdr:row>12</xdr:row>
      <xdr:rowOff>107350</xdr:rowOff>
    </xdr:from>
    <xdr:to>
      <xdr:col>14</xdr:col>
      <xdr:colOff>955320</xdr:colOff>
      <xdr:row>25</xdr:row>
      <xdr:rowOff>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4" name="Písanie rukou 3">
              <a:extLst>
                <a:ext uri="{FF2B5EF4-FFF2-40B4-BE49-F238E27FC236}">
                  <a16:creationId xmlns:a16="http://schemas.microsoft.com/office/drawing/2014/main" id="{893A93A8-30A6-4E78-B829-E0410FA861BA}"/>
                </a:ext>
              </a:extLst>
            </xdr14:cNvPr>
            <xdr14:cNvContentPartPr/>
          </xdr14:nvContentPartPr>
          <xdr14:nvPr macro=""/>
          <xdr14:xfrm>
            <a:off x="13067090" y="2336200"/>
            <a:ext cx="63720" cy="2293200"/>
          </xdr14:xfrm>
        </xdr:contentPart>
      </mc:Choice>
      <mc:Fallback xmlns="">
        <xdr:pic>
          <xdr:nvPicPr>
            <xdr:cNvPr id="4" name="Písanie rukou 3">
              <a:extLst>
                <a:ext uri="{FF2B5EF4-FFF2-40B4-BE49-F238E27FC236}">
                  <a16:creationId xmlns:a16="http://schemas.microsoft.com/office/drawing/2014/main" id="{893A93A8-30A6-4E78-B829-E0410FA861BA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058450" y="2327560"/>
              <a:ext cx="81360" cy="231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596650</xdr:colOff>
      <xdr:row>22</xdr:row>
      <xdr:rowOff>146620</xdr:rowOff>
    </xdr:from>
    <xdr:to>
      <xdr:col>19</xdr:col>
      <xdr:colOff>193310</xdr:colOff>
      <xdr:row>23</xdr:row>
      <xdr:rowOff>41780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Písanie rukou 6">
              <a:extLst>
                <a:ext uri="{FF2B5EF4-FFF2-40B4-BE49-F238E27FC236}">
                  <a16:creationId xmlns:a16="http://schemas.microsoft.com/office/drawing/2014/main" id="{8D1DB2EE-F6DD-4E36-B716-9583A152FE56}"/>
                </a:ext>
              </a:extLst>
            </xdr14:cNvPr>
            <xdr14:cNvContentPartPr/>
          </xdr14:nvContentPartPr>
          <xdr14:nvPr macro=""/>
          <xdr14:xfrm>
            <a:off x="12763250" y="4223320"/>
            <a:ext cx="5009400" cy="88200"/>
          </xdr14:xfrm>
        </xdr:contentPart>
      </mc:Choice>
      <mc:Fallback xmlns="">
        <xdr:pic>
          <xdr:nvPicPr>
            <xdr:cNvPr id="7" name="Písanie rukou 6">
              <a:extLst>
                <a:ext uri="{FF2B5EF4-FFF2-40B4-BE49-F238E27FC236}">
                  <a16:creationId xmlns:a16="http://schemas.microsoft.com/office/drawing/2014/main" id="{8D1DB2EE-F6DD-4E36-B716-9583A152FE5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754250" y="4214320"/>
              <a:ext cx="5027040" cy="10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1136290</xdr:colOff>
      <xdr:row>13</xdr:row>
      <xdr:rowOff>93120</xdr:rowOff>
    </xdr:from>
    <xdr:to>
      <xdr:col>18</xdr:col>
      <xdr:colOff>117430</xdr:colOff>
      <xdr:row>22</xdr:row>
      <xdr:rowOff>78860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9" name="Písanie rukou 8">
              <a:extLst>
                <a:ext uri="{FF2B5EF4-FFF2-40B4-BE49-F238E27FC236}">
                  <a16:creationId xmlns:a16="http://schemas.microsoft.com/office/drawing/2014/main" id="{C421CAF0-D411-4151-B844-5F66A6E7E836}"/>
                </a:ext>
              </a:extLst>
            </xdr14:cNvPr>
            <xdr14:cNvContentPartPr/>
          </xdr14:nvContentPartPr>
          <xdr14:nvPr macro=""/>
          <xdr14:xfrm>
            <a:off x="13302890" y="2506120"/>
            <a:ext cx="3789360" cy="1659600"/>
          </xdr14:xfrm>
        </xdr:contentPart>
      </mc:Choice>
      <mc:Fallback xmlns="">
        <xdr:pic>
          <xdr:nvPicPr>
            <xdr:cNvPr id="9" name="Písanie rukou 8">
              <a:extLst>
                <a:ext uri="{FF2B5EF4-FFF2-40B4-BE49-F238E27FC236}">
                  <a16:creationId xmlns:a16="http://schemas.microsoft.com/office/drawing/2014/main" id="{C421CAF0-D411-4151-B844-5F66A6E7E836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3294250" y="2497480"/>
              <a:ext cx="3807000" cy="167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1634190</xdr:colOff>
      <xdr:row>18</xdr:row>
      <xdr:rowOff>40820</xdr:rowOff>
    </xdr:from>
    <xdr:to>
      <xdr:col>16</xdr:col>
      <xdr:colOff>879750</xdr:colOff>
      <xdr:row>26</xdr:row>
      <xdr:rowOff>117270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30" name="Písanie rukou 29">
              <a:extLst>
                <a:ext uri="{FF2B5EF4-FFF2-40B4-BE49-F238E27FC236}">
                  <a16:creationId xmlns:a16="http://schemas.microsoft.com/office/drawing/2014/main" id="{DD76D2BE-AAFA-4FED-8135-D4801E28C19E}"/>
                </a:ext>
              </a:extLst>
            </xdr14:cNvPr>
            <xdr14:cNvContentPartPr/>
          </xdr14:nvContentPartPr>
          <xdr14:nvPr macro=""/>
          <xdr14:xfrm>
            <a:off x="13800790" y="3380920"/>
            <a:ext cx="2294830" cy="1549650"/>
          </xdr14:xfrm>
        </xdr:contentPart>
      </mc:Choice>
      <mc:Fallback xmlns="">
        <xdr:pic>
          <xdr:nvPicPr>
            <xdr:cNvPr id="30" name="Písanie rukou 29">
              <a:extLst>
                <a:ext uri="{FF2B5EF4-FFF2-40B4-BE49-F238E27FC236}">
                  <a16:creationId xmlns:a16="http://schemas.microsoft.com/office/drawing/2014/main" id="{DD76D2BE-AAFA-4FED-8135-D4801E28C19E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3791791" y="3371946"/>
              <a:ext cx="2312469" cy="15672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645970</xdr:colOff>
      <xdr:row>23</xdr:row>
      <xdr:rowOff>70470</xdr:rowOff>
    </xdr:from>
    <xdr:to>
      <xdr:col>14</xdr:col>
      <xdr:colOff>834440</xdr:colOff>
      <xdr:row>24</xdr:row>
      <xdr:rowOff>73580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1" name="Písanie rukou 30">
              <a:extLst>
                <a:ext uri="{FF2B5EF4-FFF2-40B4-BE49-F238E27FC236}">
                  <a16:creationId xmlns:a16="http://schemas.microsoft.com/office/drawing/2014/main" id="{0AF8236D-B587-4103-BCBF-9130A0D27D9D}"/>
                </a:ext>
              </a:extLst>
            </xdr14:cNvPr>
            <xdr14:cNvContentPartPr/>
          </xdr14:nvContentPartPr>
          <xdr14:nvPr macro=""/>
          <xdr14:xfrm>
            <a:off x="12812570" y="4331320"/>
            <a:ext cx="187200" cy="179640"/>
          </xdr14:xfrm>
        </xdr:contentPart>
      </mc:Choice>
      <mc:Fallback xmlns="">
        <xdr:pic>
          <xdr:nvPicPr>
            <xdr:cNvPr id="31" name="Písanie rukou 30">
              <a:extLst>
                <a:ext uri="{FF2B5EF4-FFF2-40B4-BE49-F238E27FC236}">
                  <a16:creationId xmlns:a16="http://schemas.microsoft.com/office/drawing/2014/main" id="{0AF8236D-B587-4103-BCBF-9130A0D27D9D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2803570" y="4322680"/>
              <a:ext cx="204840" cy="19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775840</xdr:colOff>
      <xdr:row>15</xdr:row>
      <xdr:rowOff>125440</xdr:rowOff>
    </xdr:from>
    <xdr:to>
      <xdr:col>13</xdr:col>
      <xdr:colOff>111700</xdr:colOff>
      <xdr:row>17</xdr:row>
      <xdr:rowOff>35310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38" name="Písanie rukou 37">
              <a:extLst>
                <a:ext uri="{FF2B5EF4-FFF2-40B4-BE49-F238E27FC236}">
                  <a16:creationId xmlns:a16="http://schemas.microsoft.com/office/drawing/2014/main" id="{38E198E0-356D-42A8-88BB-8713504AC1DA}"/>
                </a:ext>
              </a:extLst>
            </xdr14:cNvPr>
            <xdr14:cNvContentPartPr/>
          </xdr14:nvContentPartPr>
          <xdr14:nvPr macro=""/>
          <xdr14:xfrm>
            <a:off x="11462890" y="2906740"/>
            <a:ext cx="203270" cy="278170"/>
          </xdr14:xfrm>
        </xdr:contentPart>
      </mc:Choice>
      <mc:Fallback xmlns="">
        <xdr:pic>
          <xdr:nvPicPr>
            <xdr:cNvPr id="38" name="Písanie rukou 37">
              <a:extLst>
                <a:ext uri="{FF2B5EF4-FFF2-40B4-BE49-F238E27FC236}">
                  <a16:creationId xmlns:a16="http://schemas.microsoft.com/office/drawing/2014/main" id="{38E198E0-356D-42A8-88BB-8713504AC1D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1453734" y="2898024"/>
              <a:ext cx="221216" cy="2959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317410</xdr:colOff>
      <xdr:row>15</xdr:row>
      <xdr:rowOff>183820</xdr:rowOff>
    </xdr:from>
    <xdr:to>
      <xdr:col>13</xdr:col>
      <xdr:colOff>315780</xdr:colOff>
      <xdr:row>15</xdr:row>
      <xdr:rowOff>186720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39" name="Písanie rukou 38">
              <a:extLst>
                <a:ext uri="{FF2B5EF4-FFF2-40B4-BE49-F238E27FC236}">
                  <a16:creationId xmlns:a16="http://schemas.microsoft.com/office/drawing/2014/main" id="{F29B6077-A7F2-493E-8F05-7650CE539AD3}"/>
                </a:ext>
              </a:extLst>
            </xdr14:cNvPr>
            <xdr14:cNvContentPartPr/>
          </xdr14:nvContentPartPr>
          <xdr14:nvPr macro=""/>
          <xdr14:xfrm>
            <a:off x="11874410" y="2965120"/>
            <a:ext cx="360" cy="360"/>
          </xdr14:xfrm>
        </xdr:contentPart>
      </mc:Choice>
      <mc:Fallback xmlns="">
        <xdr:pic>
          <xdr:nvPicPr>
            <xdr:cNvPr id="39" name="Písanie rukou 38">
              <a:extLst>
                <a:ext uri="{FF2B5EF4-FFF2-40B4-BE49-F238E27FC236}">
                  <a16:creationId xmlns:a16="http://schemas.microsoft.com/office/drawing/2014/main" id="{F29B6077-A7F2-493E-8F05-7650CE539AD3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1865410" y="29564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279250</xdr:colOff>
      <xdr:row>16</xdr:row>
      <xdr:rowOff>145600</xdr:rowOff>
    </xdr:from>
    <xdr:to>
      <xdr:col>13</xdr:col>
      <xdr:colOff>277620</xdr:colOff>
      <xdr:row>16</xdr:row>
      <xdr:rowOff>149770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40" name="Písanie rukou 39">
              <a:extLst>
                <a:ext uri="{FF2B5EF4-FFF2-40B4-BE49-F238E27FC236}">
                  <a16:creationId xmlns:a16="http://schemas.microsoft.com/office/drawing/2014/main" id="{16DFB7CB-230E-49C8-BDC9-864853FB154B}"/>
                </a:ext>
              </a:extLst>
            </xdr14:cNvPr>
            <xdr14:cNvContentPartPr/>
          </xdr14:nvContentPartPr>
          <xdr14:nvPr macro=""/>
          <xdr14:xfrm>
            <a:off x="11836250" y="3117400"/>
            <a:ext cx="360" cy="360"/>
          </xdr14:xfrm>
        </xdr:contentPart>
      </mc:Choice>
      <mc:Fallback xmlns="">
        <xdr:pic>
          <xdr:nvPicPr>
            <xdr:cNvPr id="40" name="Písanie rukou 39">
              <a:extLst>
                <a:ext uri="{FF2B5EF4-FFF2-40B4-BE49-F238E27FC236}">
                  <a16:creationId xmlns:a16="http://schemas.microsoft.com/office/drawing/2014/main" id="{16DFB7CB-230E-49C8-BDC9-864853FB154B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1827250" y="31087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458530</xdr:colOff>
      <xdr:row>14</xdr:row>
      <xdr:rowOff>158900</xdr:rowOff>
    </xdr:from>
    <xdr:to>
      <xdr:col>14</xdr:col>
      <xdr:colOff>835010</xdr:colOff>
      <xdr:row>17</xdr:row>
      <xdr:rowOff>117610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5" name="Písanie rukou 64">
              <a:extLst>
                <a:ext uri="{FF2B5EF4-FFF2-40B4-BE49-F238E27FC236}">
                  <a16:creationId xmlns:a16="http://schemas.microsoft.com/office/drawing/2014/main" id="{816A8C8A-2BE7-4E5C-AE40-459C7A47E5E3}"/>
                </a:ext>
              </a:extLst>
            </xdr14:cNvPr>
            <xdr14:cNvContentPartPr/>
          </xdr14:nvContentPartPr>
          <xdr14:nvPr macro=""/>
          <xdr14:xfrm>
            <a:off x="12015530" y="2756050"/>
            <a:ext cx="982270" cy="522590"/>
          </xdr14:xfrm>
        </xdr:contentPart>
      </mc:Choice>
      <mc:Fallback xmlns="">
        <xdr:pic>
          <xdr:nvPicPr>
            <xdr:cNvPr id="65" name="Písanie rukou 64">
              <a:extLst>
                <a:ext uri="{FF2B5EF4-FFF2-40B4-BE49-F238E27FC236}">
                  <a16:creationId xmlns:a16="http://schemas.microsoft.com/office/drawing/2014/main" id="{816A8C8A-2BE7-4E5C-AE40-459C7A47E5E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2006879" y="2747430"/>
              <a:ext cx="999933" cy="540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691770</xdr:colOff>
      <xdr:row>18</xdr:row>
      <xdr:rowOff>44190</xdr:rowOff>
    </xdr:from>
    <xdr:to>
      <xdr:col>14</xdr:col>
      <xdr:colOff>35090</xdr:colOff>
      <xdr:row>20</xdr:row>
      <xdr:rowOff>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76" name="Písanie rukou 75">
              <a:extLst>
                <a:ext uri="{FF2B5EF4-FFF2-40B4-BE49-F238E27FC236}">
                  <a16:creationId xmlns:a16="http://schemas.microsoft.com/office/drawing/2014/main" id="{04982FD4-93E8-45BA-A5BB-A33978D91CC5}"/>
                </a:ext>
              </a:extLst>
            </xdr14:cNvPr>
            <xdr14:cNvContentPartPr/>
          </xdr14:nvContentPartPr>
          <xdr14:nvPr macro=""/>
          <xdr14:xfrm>
            <a:off x="11378820" y="3384290"/>
            <a:ext cx="819060" cy="314530"/>
          </xdr14:xfrm>
        </xdr:contentPart>
      </mc:Choice>
      <mc:Fallback xmlns="">
        <xdr:pic>
          <xdr:nvPicPr>
            <xdr:cNvPr id="76" name="Písanie rukou 75">
              <a:extLst>
                <a:ext uri="{FF2B5EF4-FFF2-40B4-BE49-F238E27FC236}">
                  <a16:creationId xmlns:a16="http://schemas.microsoft.com/office/drawing/2014/main" id="{04982FD4-93E8-45BA-A5BB-A33978D91CC5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1370141" y="3375178"/>
              <a:ext cx="836779" cy="3323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44050</xdr:colOff>
      <xdr:row>17</xdr:row>
      <xdr:rowOff>182850</xdr:rowOff>
    </xdr:from>
    <xdr:to>
      <xdr:col>14</xdr:col>
      <xdr:colOff>117430</xdr:colOff>
      <xdr:row>18</xdr:row>
      <xdr:rowOff>79850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77" name="Písanie rukou 76">
              <a:extLst>
                <a:ext uri="{FF2B5EF4-FFF2-40B4-BE49-F238E27FC236}">
                  <a16:creationId xmlns:a16="http://schemas.microsoft.com/office/drawing/2014/main" id="{61CD0F8C-8BA6-4398-BEB6-8D55F46E8940}"/>
                </a:ext>
              </a:extLst>
            </xdr14:cNvPr>
            <xdr14:cNvContentPartPr/>
          </xdr14:nvContentPartPr>
          <xdr14:nvPr macro=""/>
          <xdr14:xfrm>
            <a:off x="12210650" y="3338800"/>
            <a:ext cx="81000" cy="84960"/>
          </xdr14:xfrm>
        </xdr:contentPart>
      </mc:Choice>
      <mc:Fallback xmlns="">
        <xdr:pic>
          <xdr:nvPicPr>
            <xdr:cNvPr id="77" name="Písanie rukou 76">
              <a:extLst>
                <a:ext uri="{FF2B5EF4-FFF2-40B4-BE49-F238E27FC236}">
                  <a16:creationId xmlns:a16="http://schemas.microsoft.com/office/drawing/2014/main" id="{61CD0F8C-8BA6-4398-BEB6-8D55F46E894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2201650" y="3330160"/>
              <a:ext cx="98640" cy="10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33860</xdr:colOff>
      <xdr:row>18</xdr:row>
      <xdr:rowOff>156170</xdr:rowOff>
    </xdr:from>
    <xdr:to>
      <xdr:col>14</xdr:col>
      <xdr:colOff>802910</xdr:colOff>
      <xdr:row>21</xdr:row>
      <xdr:rowOff>34320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95" name="Písanie rukou 94">
              <a:extLst>
                <a:ext uri="{FF2B5EF4-FFF2-40B4-BE49-F238E27FC236}">
                  <a16:creationId xmlns:a16="http://schemas.microsoft.com/office/drawing/2014/main" id="{35E24D02-052D-4177-A3F1-56052C676F79}"/>
                </a:ext>
              </a:extLst>
            </xdr14:cNvPr>
            <xdr14:cNvContentPartPr/>
          </xdr14:nvContentPartPr>
          <xdr14:nvPr macro=""/>
          <xdr14:xfrm>
            <a:off x="12200460" y="3496270"/>
            <a:ext cx="774130" cy="430600"/>
          </xdr14:xfrm>
        </xdr:contentPart>
      </mc:Choice>
      <mc:Fallback xmlns="">
        <xdr:pic>
          <xdr:nvPicPr>
            <xdr:cNvPr id="95" name="Písanie rukou 94">
              <a:extLst>
                <a:ext uri="{FF2B5EF4-FFF2-40B4-BE49-F238E27FC236}">
                  <a16:creationId xmlns:a16="http://schemas.microsoft.com/office/drawing/2014/main" id="{35E24D02-052D-4177-A3F1-56052C676F79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2191819" y="3487607"/>
              <a:ext cx="791773" cy="4482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345800</xdr:colOff>
      <xdr:row>11</xdr:row>
      <xdr:rowOff>146970</xdr:rowOff>
    </xdr:from>
    <xdr:to>
      <xdr:col>16</xdr:col>
      <xdr:colOff>688410</xdr:colOff>
      <xdr:row>14</xdr:row>
      <xdr:rowOff>35180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11" name="Písanie rukou 110">
              <a:extLst>
                <a:ext uri="{FF2B5EF4-FFF2-40B4-BE49-F238E27FC236}">
                  <a16:creationId xmlns:a16="http://schemas.microsoft.com/office/drawing/2014/main" id="{3CDEEC40-8B2A-4DE7-8CE3-9CBBCF22ACC4}"/>
                </a:ext>
              </a:extLst>
            </xdr14:cNvPr>
            <xdr14:cNvContentPartPr/>
          </xdr14:nvContentPartPr>
          <xdr14:nvPr macro=""/>
          <xdr14:xfrm>
            <a:off x="14487250" y="2191670"/>
            <a:ext cx="1411950" cy="436850"/>
          </xdr14:xfrm>
        </xdr:contentPart>
      </mc:Choice>
      <mc:Fallback xmlns="">
        <xdr:pic>
          <xdr:nvPicPr>
            <xdr:cNvPr id="111" name="Písanie rukou 110">
              <a:extLst>
                <a:ext uri="{FF2B5EF4-FFF2-40B4-BE49-F238E27FC236}">
                  <a16:creationId xmlns:a16="http://schemas.microsoft.com/office/drawing/2014/main" id="{3CDEEC40-8B2A-4DE7-8CE3-9CBBCF22ACC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4478610" y="2183034"/>
              <a:ext cx="1429590" cy="4544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228420</xdr:colOff>
      <xdr:row>12</xdr:row>
      <xdr:rowOff>35390</xdr:rowOff>
    </xdr:from>
    <xdr:to>
      <xdr:col>15</xdr:col>
      <xdr:colOff>193170</xdr:colOff>
      <xdr:row>14</xdr:row>
      <xdr:rowOff>149570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24" name="Písanie rukou 123">
              <a:extLst>
                <a:ext uri="{FF2B5EF4-FFF2-40B4-BE49-F238E27FC236}">
                  <a16:creationId xmlns:a16="http://schemas.microsoft.com/office/drawing/2014/main" id="{74BCBE0F-BEB0-40CD-B85B-EDD7606D6824}"/>
                </a:ext>
              </a:extLst>
            </xdr14:cNvPr>
            <xdr14:cNvContentPartPr/>
          </xdr14:nvContentPartPr>
          <xdr14:nvPr macro=""/>
          <xdr14:xfrm>
            <a:off x="9416870" y="2264240"/>
            <a:ext cx="4917750" cy="477400"/>
          </xdr14:xfrm>
        </xdr:contentPart>
      </mc:Choice>
      <mc:Fallback xmlns="">
        <xdr:pic>
          <xdr:nvPicPr>
            <xdr:cNvPr id="124" name="Písanie rukou 123">
              <a:extLst>
                <a:ext uri="{FF2B5EF4-FFF2-40B4-BE49-F238E27FC236}">
                  <a16:creationId xmlns:a16="http://schemas.microsoft.com/office/drawing/2014/main" id="{74BCBE0F-BEB0-40CD-B85B-EDD7606D682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9407882" y="2255507"/>
              <a:ext cx="4935367" cy="4952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1717980</xdr:colOff>
      <xdr:row>14</xdr:row>
      <xdr:rowOff>65590</xdr:rowOff>
    </xdr:from>
    <xdr:to>
      <xdr:col>18</xdr:col>
      <xdr:colOff>35310</xdr:colOff>
      <xdr:row>25</xdr:row>
      <xdr:rowOff>155940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57" name="Písanie rukou 156">
              <a:extLst>
                <a:ext uri="{FF2B5EF4-FFF2-40B4-BE49-F238E27FC236}">
                  <a16:creationId xmlns:a16="http://schemas.microsoft.com/office/drawing/2014/main" id="{EBD8100B-1516-4294-9C97-E409A7D27041}"/>
                </a:ext>
              </a:extLst>
            </xdr14:cNvPr>
            <xdr14:cNvContentPartPr/>
          </xdr14:nvContentPartPr>
          <xdr14:nvPr macro=""/>
          <xdr14:xfrm>
            <a:off x="13884580" y="2662740"/>
            <a:ext cx="3106500" cy="2122350"/>
          </xdr14:xfrm>
        </xdr:contentPart>
      </mc:Choice>
      <mc:Fallback xmlns="">
        <xdr:pic>
          <xdr:nvPicPr>
            <xdr:cNvPr id="157" name="Písanie rukou 156">
              <a:extLst>
                <a:ext uri="{FF2B5EF4-FFF2-40B4-BE49-F238E27FC236}">
                  <a16:creationId xmlns:a16="http://schemas.microsoft.com/office/drawing/2014/main" id="{EBD8100B-1516-4294-9C97-E409A7D27041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3875940" y="2654068"/>
              <a:ext cx="3124140" cy="21400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923380</xdr:colOff>
      <xdr:row>16</xdr:row>
      <xdr:rowOff>117330</xdr:rowOff>
    </xdr:from>
    <xdr:to>
      <xdr:col>18</xdr:col>
      <xdr:colOff>193720</xdr:colOff>
      <xdr:row>18</xdr:row>
      <xdr:rowOff>72690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62" name="Písanie rukou 161">
              <a:extLst>
                <a:ext uri="{FF2B5EF4-FFF2-40B4-BE49-F238E27FC236}">
                  <a16:creationId xmlns:a16="http://schemas.microsoft.com/office/drawing/2014/main" id="{85C6F820-AD87-41DF-9678-D412D13F25F6}"/>
                </a:ext>
              </a:extLst>
            </xdr14:cNvPr>
            <xdr14:cNvContentPartPr/>
          </xdr14:nvContentPartPr>
          <xdr14:nvPr macro=""/>
          <xdr14:xfrm>
            <a:off x="16125280" y="3089130"/>
            <a:ext cx="1044530" cy="323660"/>
          </xdr14:xfrm>
        </xdr:contentPart>
      </mc:Choice>
      <mc:Fallback xmlns="">
        <xdr:pic>
          <xdr:nvPicPr>
            <xdr:cNvPr id="162" name="Písanie rukou 161">
              <a:extLst>
                <a:ext uri="{FF2B5EF4-FFF2-40B4-BE49-F238E27FC236}">
                  <a16:creationId xmlns:a16="http://schemas.microsoft.com/office/drawing/2014/main" id="{85C6F820-AD87-41DF-9678-D412D13F25F6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6116639" y="3080382"/>
              <a:ext cx="1062173" cy="34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1034620</xdr:colOff>
      <xdr:row>18</xdr:row>
      <xdr:rowOff>141980</xdr:rowOff>
    </xdr:from>
    <xdr:to>
      <xdr:col>18</xdr:col>
      <xdr:colOff>72660</xdr:colOff>
      <xdr:row>19</xdr:row>
      <xdr:rowOff>155450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69" name="Písanie rukou 168">
              <a:extLst>
                <a:ext uri="{FF2B5EF4-FFF2-40B4-BE49-F238E27FC236}">
                  <a16:creationId xmlns:a16="http://schemas.microsoft.com/office/drawing/2014/main" id="{9044FA71-41D1-4851-9A11-7C8A39943545}"/>
                </a:ext>
              </a:extLst>
            </xdr14:cNvPr>
            <xdr14:cNvContentPartPr/>
          </xdr14:nvContentPartPr>
          <xdr14:nvPr macro=""/>
          <xdr14:xfrm>
            <a:off x="16236520" y="3482080"/>
            <a:ext cx="784290" cy="197620"/>
          </xdr14:xfrm>
        </xdr:contentPart>
      </mc:Choice>
      <mc:Fallback xmlns="">
        <xdr:pic>
          <xdr:nvPicPr>
            <xdr:cNvPr id="169" name="Písanie rukou 168">
              <a:extLst>
                <a:ext uri="{FF2B5EF4-FFF2-40B4-BE49-F238E27FC236}">
                  <a16:creationId xmlns:a16="http://schemas.microsoft.com/office/drawing/2014/main" id="{9044FA71-41D1-4851-9A11-7C8A39943545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16227862" y="3473146"/>
              <a:ext cx="801967" cy="2151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243400</xdr:colOff>
      <xdr:row>18</xdr:row>
      <xdr:rowOff>80930</xdr:rowOff>
    </xdr:from>
    <xdr:to>
      <xdr:col>19</xdr:col>
      <xdr:colOff>339480</xdr:colOff>
      <xdr:row>19</xdr:row>
      <xdr:rowOff>155730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75" name="Písanie rukou 174">
              <a:extLst>
                <a:ext uri="{FF2B5EF4-FFF2-40B4-BE49-F238E27FC236}">
                  <a16:creationId xmlns:a16="http://schemas.microsoft.com/office/drawing/2014/main" id="{B90B476B-1FE5-4E46-93C8-B77E3E4AE45F}"/>
                </a:ext>
              </a:extLst>
            </xdr14:cNvPr>
            <xdr14:cNvContentPartPr/>
          </xdr14:nvContentPartPr>
          <xdr14:nvPr macro=""/>
          <xdr14:xfrm>
            <a:off x="17128050" y="3421030"/>
            <a:ext cx="699330" cy="270380"/>
          </xdr14:xfrm>
        </xdr:contentPart>
      </mc:Choice>
      <mc:Fallback xmlns="">
        <xdr:pic>
          <xdr:nvPicPr>
            <xdr:cNvPr id="175" name="Písanie rukou 174">
              <a:extLst>
                <a:ext uri="{FF2B5EF4-FFF2-40B4-BE49-F238E27FC236}">
                  <a16:creationId xmlns:a16="http://schemas.microsoft.com/office/drawing/2014/main" id="{B90B476B-1FE5-4E46-93C8-B77E3E4AE45F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7119052" y="3412389"/>
              <a:ext cx="716966" cy="2880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523660</xdr:colOff>
      <xdr:row>12</xdr:row>
      <xdr:rowOff>68130</xdr:rowOff>
    </xdr:from>
    <xdr:to>
      <xdr:col>19</xdr:col>
      <xdr:colOff>193830</xdr:colOff>
      <xdr:row>14</xdr:row>
      <xdr:rowOff>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82" name="Písanie rukou 181">
              <a:extLst>
                <a:ext uri="{FF2B5EF4-FFF2-40B4-BE49-F238E27FC236}">
                  <a16:creationId xmlns:a16="http://schemas.microsoft.com/office/drawing/2014/main" id="{B83EC258-B378-4601-A0E0-AC77E2E6122C}"/>
                </a:ext>
              </a:extLst>
            </xdr14:cNvPr>
            <xdr14:cNvContentPartPr/>
          </xdr14:nvContentPartPr>
          <xdr14:nvPr macro=""/>
          <xdr14:xfrm>
            <a:off x="17408310" y="2296980"/>
            <a:ext cx="289930" cy="314240"/>
          </xdr14:xfrm>
        </xdr:contentPart>
      </mc:Choice>
      <mc:Fallback xmlns="">
        <xdr:pic>
          <xdr:nvPicPr>
            <xdr:cNvPr id="182" name="Písanie rukou 181">
              <a:extLst>
                <a:ext uri="{FF2B5EF4-FFF2-40B4-BE49-F238E27FC236}">
                  <a16:creationId xmlns:a16="http://schemas.microsoft.com/office/drawing/2014/main" id="{B83EC258-B378-4601-A0E0-AC77E2E6122C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7399666" y="2288331"/>
              <a:ext cx="307578" cy="3318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408490</xdr:colOff>
      <xdr:row>12</xdr:row>
      <xdr:rowOff>124230</xdr:rowOff>
    </xdr:from>
    <xdr:to>
      <xdr:col>20</xdr:col>
      <xdr:colOff>269500</xdr:colOff>
      <xdr:row>13</xdr:row>
      <xdr:rowOff>155150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99" name="Písanie rukou 198">
              <a:extLst>
                <a:ext uri="{FF2B5EF4-FFF2-40B4-BE49-F238E27FC236}">
                  <a16:creationId xmlns:a16="http://schemas.microsoft.com/office/drawing/2014/main" id="{9F98AD41-4F85-4520-92D2-5BE871CF0E38}"/>
                </a:ext>
              </a:extLst>
            </xdr14:cNvPr>
            <xdr14:cNvContentPartPr/>
          </xdr14:nvContentPartPr>
          <xdr14:nvPr macro=""/>
          <xdr14:xfrm>
            <a:off x="17902740" y="2353080"/>
            <a:ext cx="476960" cy="223960"/>
          </xdr14:xfrm>
        </xdr:contentPart>
      </mc:Choice>
      <mc:Fallback xmlns="">
        <xdr:pic>
          <xdr:nvPicPr>
            <xdr:cNvPr id="199" name="Písanie rukou 198">
              <a:extLst>
                <a:ext uri="{FF2B5EF4-FFF2-40B4-BE49-F238E27FC236}">
                  <a16:creationId xmlns:a16="http://schemas.microsoft.com/office/drawing/2014/main" id="{9F98AD41-4F85-4520-92D2-5BE871CF0E38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7894094" y="2344438"/>
              <a:ext cx="494612" cy="2416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80920</xdr:colOff>
      <xdr:row>12</xdr:row>
      <xdr:rowOff>143180</xdr:rowOff>
    </xdr:from>
    <xdr:to>
      <xdr:col>22</xdr:col>
      <xdr:colOff>422580</xdr:colOff>
      <xdr:row>16</xdr:row>
      <xdr:rowOff>111210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15" name="Písanie rukou 214">
              <a:extLst>
                <a:ext uri="{FF2B5EF4-FFF2-40B4-BE49-F238E27FC236}">
                  <a16:creationId xmlns:a16="http://schemas.microsoft.com/office/drawing/2014/main" id="{854DDE98-6E99-486D-A600-0126169A126D}"/>
                </a:ext>
              </a:extLst>
            </xdr14:cNvPr>
            <xdr14:cNvContentPartPr/>
          </xdr14:nvContentPartPr>
          <xdr14:nvPr macro=""/>
          <xdr14:xfrm>
            <a:off x="18184770" y="2372030"/>
            <a:ext cx="1571020" cy="707170"/>
          </xdr14:xfrm>
        </xdr:contentPart>
      </mc:Choice>
      <mc:Fallback xmlns="">
        <xdr:pic>
          <xdr:nvPicPr>
            <xdr:cNvPr id="215" name="Písanie rukou 214">
              <a:extLst>
                <a:ext uri="{FF2B5EF4-FFF2-40B4-BE49-F238E27FC236}">
                  <a16:creationId xmlns:a16="http://schemas.microsoft.com/office/drawing/2014/main" id="{854DDE98-6E99-486D-A600-0126169A126D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8176136" y="2363388"/>
              <a:ext cx="1588648" cy="7248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837960</xdr:colOff>
      <xdr:row>10</xdr:row>
      <xdr:rowOff>31260</xdr:rowOff>
    </xdr:from>
    <xdr:to>
      <xdr:col>14</xdr:col>
      <xdr:colOff>838320</xdr:colOff>
      <xdr:row>10</xdr:row>
      <xdr:rowOff>35430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16" name="Písanie rukou 215">
              <a:extLst>
                <a:ext uri="{FF2B5EF4-FFF2-40B4-BE49-F238E27FC236}">
                  <a16:creationId xmlns:a16="http://schemas.microsoft.com/office/drawing/2014/main" id="{04DE8857-CFBE-499E-B71C-E3FBE354B0BE}"/>
                </a:ext>
              </a:extLst>
            </xdr14:cNvPr>
            <xdr14:cNvContentPartPr/>
          </xdr14:nvContentPartPr>
          <xdr14:nvPr macro=""/>
          <xdr14:xfrm>
            <a:off x="13004560" y="1885460"/>
            <a:ext cx="360" cy="360"/>
          </xdr14:xfrm>
        </xdr:contentPart>
      </mc:Choice>
      <mc:Fallback xmlns="">
        <xdr:pic>
          <xdr:nvPicPr>
            <xdr:cNvPr id="216" name="Písanie rukou 215">
              <a:extLst>
                <a:ext uri="{FF2B5EF4-FFF2-40B4-BE49-F238E27FC236}">
                  <a16:creationId xmlns:a16="http://schemas.microsoft.com/office/drawing/2014/main" id="{04DE8857-CFBE-499E-B71C-E3FBE354B0BE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2995560" y="18768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418900</xdr:colOff>
      <xdr:row>3</xdr:row>
      <xdr:rowOff>133020</xdr:rowOff>
    </xdr:from>
    <xdr:to>
      <xdr:col>28</xdr:col>
      <xdr:colOff>419260</xdr:colOff>
      <xdr:row>3</xdr:row>
      <xdr:rowOff>133380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23" name="Písanie rukou 222">
              <a:extLst>
                <a:ext uri="{FF2B5EF4-FFF2-40B4-BE49-F238E27FC236}">
                  <a16:creationId xmlns:a16="http://schemas.microsoft.com/office/drawing/2014/main" id="{D8CD8A5C-9EC2-4B09-9B0E-120D5D80B0EA}"/>
                </a:ext>
              </a:extLst>
            </xdr14:cNvPr>
            <xdr14:cNvContentPartPr/>
          </xdr14:nvContentPartPr>
          <xdr14:nvPr macro=""/>
          <xdr14:xfrm>
            <a:off x="26511050" y="704520"/>
            <a:ext cx="360" cy="360"/>
          </xdr14:xfrm>
        </xdr:contentPart>
      </mc:Choice>
      <mc:Fallback xmlns="">
        <xdr:pic>
          <xdr:nvPicPr>
            <xdr:cNvPr id="223" name="Písanie rukou 222">
              <a:extLst>
                <a:ext uri="{FF2B5EF4-FFF2-40B4-BE49-F238E27FC236}">
                  <a16:creationId xmlns:a16="http://schemas.microsoft.com/office/drawing/2014/main" id="{D8CD8A5C-9EC2-4B09-9B0E-120D5D80B0E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6502050" y="6958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399820</xdr:colOff>
      <xdr:row>4</xdr:row>
      <xdr:rowOff>82070</xdr:rowOff>
    </xdr:from>
    <xdr:to>
      <xdr:col>28</xdr:col>
      <xdr:colOff>400180</xdr:colOff>
      <xdr:row>4</xdr:row>
      <xdr:rowOff>82430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24" name="Písanie rukou 223">
              <a:extLst>
                <a:ext uri="{FF2B5EF4-FFF2-40B4-BE49-F238E27FC236}">
                  <a16:creationId xmlns:a16="http://schemas.microsoft.com/office/drawing/2014/main" id="{70A615F1-3FB7-4F44-807C-DD5AF09ED4D0}"/>
                </a:ext>
              </a:extLst>
            </xdr14:cNvPr>
            <xdr14:cNvContentPartPr/>
          </xdr14:nvContentPartPr>
          <xdr14:nvPr macro=""/>
          <xdr14:xfrm>
            <a:off x="26491970" y="837720"/>
            <a:ext cx="360" cy="360"/>
          </xdr14:xfrm>
        </xdr:contentPart>
      </mc:Choice>
      <mc:Fallback xmlns="">
        <xdr:pic>
          <xdr:nvPicPr>
            <xdr:cNvPr id="224" name="Písanie rukou 223">
              <a:extLst>
                <a:ext uri="{FF2B5EF4-FFF2-40B4-BE49-F238E27FC236}">
                  <a16:creationId xmlns:a16="http://schemas.microsoft.com/office/drawing/2014/main" id="{70A615F1-3FB7-4F44-807C-DD5AF09ED4D0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6482970" y="829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451250</xdr:colOff>
      <xdr:row>2</xdr:row>
      <xdr:rowOff>179900</xdr:rowOff>
    </xdr:from>
    <xdr:to>
      <xdr:col>28</xdr:col>
      <xdr:colOff>176280</xdr:colOff>
      <xdr:row>4</xdr:row>
      <xdr:rowOff>180540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25" name="Písanie rukou 224">
              <a:extLst>
                <a:ext uri="{FF2B5EF4-FFF2-40B4-BE49-F238E27FC236}">
                  <a16:creationId xmlns:a16="http://schemas.microsoft.com/office/drawing/2014/main" id="{C47F9BB7-FDFD-4E91-95BA-1319420B8D22}"/>
                </a:ext>
              </a:extLst>
            </xdr14:cNvPr>
            <xdr14:cNvContentPartPr/>
          </xdr14:nvContentPartPr>
          <xdr14:nvPr macro=""/>
          <xdr14:xfrm>
            <a:off x="25933800" y="560900"/>
            <a:ext cx="334630" cy="375290"/>
          </xdr14:xfrm>
        </xdr:contentPart>
      </mc:Choice>
      <mc:Fallback xmlns="">
        <xdr:pic>
          <xdr:nvPicPr>
            <xdr:cNvPr id="225" name="Písanie rukou 224">
              <a:extLst>
                <a:ext uri="{FF2B5EF4-FFF2-40B4-BE49-F238E27FC236}">
                  <a16:creationId xmlns:a16="http://schemas.microsoft.com/office/drawing/2014/main" id="{C47F9BB7-FDFD-4E91-95BA-1319420B8D22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5925127" y="552256"/>
              <a:ext cx="352337" cy="3929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534820</xdr:colOff>
      <xdr:row>3</xdr:row>
      <xdr:rowOff>123470</xdr:rowOff>
    </xdr:from>
    <xdr:to>
      <xdr:col>29</xdr:col>
      <xdr:colOff>419670</xdr:colOff>
      <xdr:row>4</xdr:row>
      <xdr:rowOff>154810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30" name="Písanie rukou 229">
              <a:extLst>
                <a:ext uri="{FF2B5EF4-FFF2-40B4-BE49-F238E27FC236}">
                  <a16:creationId xmlns:a16="http://schemas.microsoft.com/office/drawing/2014/main" id="{E1594C44-BB93-45F8-BF45-D06EA0FD683C}"/>
                </a:ext>
              </a:extLst>
            </xdr14:cNvPr>
            <xdr14:cNvContentPartPr/>
          </xdr14:nvContentPartPr>
          <xdr14:nvPr macro=""/>
          <xdr14:xfrm>
            <a:off x="26626970" y="694970"/>
            <a:ext cx="494450" cy="215490"/>
          </xdr14:xfrm>
        </xdr:contentPart>
      </mc:Choice>
      <mc:Fallback xmlns="">
        <xdr:pic>
          <xdr:nvPicPr>
            <xdr:cNvPr id="230" name="Písanie rukou 229">
              <a:extLst>
                <a:ext uri="{FF2B5EF4-FFF2-40B4-BE49-F238E27FC236}">
                  <a16:creationId xmlns:a16="http://schemas.microsoft.com/office/drawing/2014/main" id="{E1594C44-BB93-45F8-BF45-D06EA0FD683C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6617973" y="686322"/>
              <a:ext cx="512083" cy="2331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113980</xdr:colOff>
      <xdr:row>3</xdr:row>
      <xdr:rowOff>158580</xdr:rowOff>
    </xdr:from>
    <xdr:to>
      <xdr:col>31</xdr:col>
      <xdr:colOff>228820</xdr:colOff>
      <xdr:row>4</xdr:row>
      <xdr:rowOff>101870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35" name="Písanie rukou 234">
              <a:extLst>
                <a:ext uri="{FF2B5EF4-FFF2-40B4-BE49-F238E27FC236}">
                  <a16:creationId xmlns:a16="http://schemas.microsoft.com/office/drawing/2014/main" id="{D73B30E1-1B75-4A20-873E-508B8BF7DDC3}"/>
                </a:ext>
              </a:extLst>
            </xdr14:cNvPr>
            <xdr14:cNvContentPartPr/>
          </xdr14:nvContentPartPr>
          <xdr14:nvPr macro=""/>
          <xdr14:xfrm>
            <a:off x="28034930" y="730080"/>
            <a:ext cx="114840" cy="127440"/>
          </xdr14:xfrm>
        </xdr:contentPart>
      </mc:Choice>
      <mc:Fallback xmlns="">
        <xdr:pic>
          <xdr:nvPicPr>
            <xdr:cNvPr id="235" name="Písanie rukou 234">
              <a:extLst>
                <a:ext uri="{FF2B5EF4-FFF2-40B4-BE49-F238E27FC236}">
                  <a16:creationId xmlns:a16="http://schemas.microsoft.com/office/drawing/2014/main" id="{D73B30E1-1B75-4A20-873E-508B8BF7DDC3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8026290" y="721080"/>
              <a:ext cx="132480" cy="14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133060</xdr:colOff>
      <xdr:row>3</xdr:row>
      <xdr:rowOff>31500</xdr:rowOff>
    </xdr:from>
    <xdr:to>
      <xdr:col>31</xdr:col>
      <xdr:colOff>273460</xdr:colOff>
      <xdr:row>3</xdr:row>
      <xdr:rowOff>31860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36" name="Písanie rukou 235">
              <a:extLst>
                <a:ext uri="{FF2B5EF4-FFF2-40B4-BE49-F238E27FC236}">
                  <a16:creationId xmlns:a16="http://schemas.microsoft.com/office/drawing/2014/main" id="{4700E18C-2EDC-4D5F-8D90-725481F1F1A8}"/>
                </a:ext>
              </a:extLst>
            </xdr14:cNvPr>
            <xdr14:cNvContentPartPr/>
          </xdr14:nvContentPartPr>
          <xdr14:nvPr macro=""/>
          <xdr14:xfrm>
            <a:off x="28054010" y="603000"/>
            <a:ext cx="140400" cy="360"/>
          </xdr14:xfrm>
        </xdr:contentPart>
      </mc:Choice>
      <mc:Fallback xmlns="">
        <xdr:pic>
          <xdr:nvPicPr>
            <xdr:cNvPr id="236" name="Písanie rukou 235">
              <a:extLst>
                <a:ext uri="{FF2B5EF4-FFF2-40B4-BE49-F238E27FC236}">
                  <a16:creationId xmlns:a16="http://schemas.microsoft.com/office/drawing/2014/main" id="{4700E18C-2EDC-4D5F-8D90-725481F1F1A8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8045010" y="594000"/>
              <a:ext cx="15804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348990</xdr:colOff>
      <xdr:row>3</xdr:row>
      <xdr:rowOff>130480</xdr:rowOff>
    </xdr:from>
    <xdr:to>
      <xdr:col>30</xdr:col>
      <xdr:colOff>594360</xdr:colOff>
      <xdr:row>4</xdr:row>
      <xdr:rowOff>86370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37" name="Písanie rukou 236">
              <a:extLst>
                <a:ext uri="{FF2B5EF4-FFF2-40B4-BE49-F238E27FC236}">
                  <a16:creationId xmlns:a16="http://schemas.microsoft.com/office/drawing/2014/main" id="{408C9931-20AD-4786-B02B-B9FF0E871344}"/>
                </a:ext>
              </a:extLst>
            </xdr14:cNvPr>
            <xdr14:cNvContentPartPr/>
          </xdr14:nvContentPartPr>
          <xdr14:nvPr macro=""/>
          <xdr14:xfrm>
            <a:off x="27660340" y="701980"/>
            <a:ext cx="245370" cy="140040"/>
          </xdr14:xfrm>
        </xdr:contentPart>
      </mc:Choice>
      <mc:Fallback xmlns="">
        <xdr:pic>
          <xdr:nvPicPr>
            <xdr:cNvPr id="237" name="Písanie rukou 236">
              <a:extLst>
                <a:ext uri="{FF2B5EF4-FFF2-40B4-BE49-F238E27FC236}">
                  <a16:creationId xmlns:a16="http://schemas.microsoft.com/office/drawing/2014/main" id="{408C9931-20AD-4786-B02B-B9FF0E871344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7651252" y="693493"/>
              <a:ext cx="263182" cy="1573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599160</xdr:colOff>
      <xdr:row>3</xdr:row>
      <xdr:rowOff>152100</xdr:rowOff>
    </xdr:from>
    <xdr:to>
      <xdr:col>30</xdr:col>
      <xdr:colOff>142370</xdr:colOff>
      <xdr:row>4</xdr:row>
      <xdr:rowOff>28090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238" name="Písanie rukou 237">
              <a:extLst>
                <a:ext uri="{FF2B5EF4-FFF2-40B4-BE49-F238E27FC236}">
                  <a16:creationId xmlns:a16="http://schemas.microsoft.com/office/drawing/2014/main" id="{C121B36E-4AF6-4476-8A00-AF01FCC304CA}"/>
                </a:ext>
              </a:extLst>
            </xdr14:cNvPr>
            <xdr14:cNvContentPartPr/>
          </xdr14:nvContentPartPr>
          <xdr14:nvPr macro=""/>
          <xdr14:xfrm>
            <a:off x="27300910" y="723600"/>
            <a:ext cx="152810" cy="60140"/>
          </xdr14:xfrm>
        </xdr:contentPart>
      </mc:Choice>
      <mc:Fallback xmlns="">
        <xdr:pic>
          <xdr:nvPicPr>
            <xdr:cNvPr id="238" name="Písanie rukou 237">
              <a:extLst>
                <a:ext uri="{FF2B5EF4-FFF2-40B4-BE49-F238E27FC236}">
                  <a16:creationId xmlns:a16="http://schemas.microsoft.com/office/drawing/2014/main" id="{C121B36E-4AF6-4476-8A00-AF01FCC304CA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7291984" y="714597"/>
              <a:ext cx="170305" cy="777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266620</xdr:colOff>
      <xdr:row>6</xdr:row>
      <xdr:rowOff>126690</xdr:rowOff>
    </xdr:from>
    <xdr:to>
      <xdr:col>28</xdr:col>
      <xdr:colOff>266980</xdr:colOff>
      <xdr:row>6</xdr:row>
      <xdr:rowOff>127050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244" name="Písanie rukou 243">
              <a:extLst>
                <a:ext uri="{FF2B5EF4-FFF2-40B4-BE49-F238E27FC236}">
                  <a16:creationId xmlns:a16="http://schemas.microsoft.com/office/drawing/2014/main" id="{99A88206-B269-43E5-ACE3-A2F16C93860A}"/>
                </a:ext>
              </a:extLst>
            </xdr14:cNvPr>
            <xdr14:cNvContentPartPr/>
          </xdr14:nvContentPartPr>
          <xdr14:nvPr macro=""/>
          <xdr14:xfrm>
            <a:off x="26358770" y="1250640"/>
            <a:ext cx="360" cy="360"/>
          </xdr14:xfrm>
        </xdr:contentPart>
      </mc:Choice>
      <mc:Fallback xmlns="">
        <xdr:pic>
          <xdr:nvPicPr>
            <xdr:cNvPr id="244" name="Písanie rukou 243">
              <a:extLst>
                <a:ext uri="{FF2B5EF4-FFF2-40B4-BE49-F238E27FC236}">
                  <a16:creationId xmlns:a16="http://schemas.microsoft.com/office/drawing/2014/main" id="{99A88206-B269-43E5-ACE3-A2F16C93860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6349770" y="1241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272740</xdr:colOff>
      <xdr:row>7</xdr:row>
      <xdr:rowOff>24980</xdr:rowOff>
    </xdr:from>
    <xdr:to>
      <xdr:col>28</xdr:col>
      <xdr:colOff>273100</xdr:colOff>
      <xdr:row>7</xdr:row>
      <xdr:rowOff>25340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245" name="Písanie rukou 244">
              <a:extLst>
                <a:ext uri="{FF2B5EF4-FFF2-40B4-BE49-F238E27FC236}">
                  <a16:creationId xmlns:a16="http://schemas.microsoft.com/office/drawing/2014/main" id="{B09802AB-89B3-434B-974F-986922C2FE12}"/>
                </a:ext>
              </a:extLst>
            </xdr14:cNvPr>
            <xdr14:cNvContentPartPr/>
          </xdr14:nvContentPartPr>
          <xdr14:nvPr macro=""/>
          <xdr14:xfrm>
            <a:off x="26364890" y="1333080"/>
            <a:ext cx="360" cy="360"/>
          </xdr14:xfrm>
        </xdr:contentPart>
      </mc:Choice>
      <mc:Fallback xmlns="">
        <xdr:pic>
          <xdr:nvPicPr>
            <xdr:cNvPr id="245" name="Písanie rukou 244">
              <a:extLst>
                <a:ext uri="{FF2B5EF4-FFF2-40B4-BE49-F238E27FC236}">
                  <a16:creationId xmlns:a16="http://schemas.microsoft.com/office/drawing/2014/main" id="{B09802AB-89B3-434B-974F-986922C2FE12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6356250" y="1324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359000</xdr:colOff>
      <xdr:row>6</xdr:row>
      <xdr:rowOff>70720</xdr:rowOff>
    </xdr:from>
    <xdr:to>
      <xdr:col>30</xdr:col>
      <xdr:colOff>367560</xdr:colOff>
      <xdr:row>7</xdr:row>
      <xdr:rowOff>143970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253" name="Písanie rukou 252">
              <a:extLst>
                <a:ext uri="{FF2B5EF4-FFF2-40B4-BE49-F238E27FC236}">
                  <a16:creationId xmlns:a16="http://schemas.microsoft.com/office/drawing/2014/main" id="{6C8FF165-2859-444D-BF1D-8E3D31642CEB}"/>
                </a:ext>
              </a:extLst>
            </xdr14:cNvPr>
            <xdr14:cNvContentPartPr/>
          </xdr14:nvContentPartPr>
          <xdr14:nvPr macro=""/>
          <xdr14:xfrm>
            <a:off x="27060750" y="1194670"/>
            <a:ext cx="618160" cy="257400"/>
          </xdr14:xfrm>
        </xdr:contentPart>
      </mc:Choice>
      <mc:Fallback xmlns="">
        <xdr:pic>
          <xdr:nvPicPr>
            <xdr:cNvPr id="253" name="Písanie rukou 252">
              <a:extLst>
                <a:ext uri="{FF2B5EF4-FFF2-40B4-BE49-F238E27FC236}">
                  <a16:creationId xmlns:a16="http://schemas.microsoft.com/office/drawing/2014/main" id="{6C8FF165-2859-444D-BF1D-8E3D31642CEB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27052059" y="1186030"/>
              <a:ext cx="635904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467840</xdr:colOff>
      <xdr:row>6</xdr:row>
      <xdr:rowOff>104030</xdr:rowOff>
    </xdr:from>
    <xdr:to>
      <xdr:col>29</xdr:col>
      <xdr:colOff>190560</xdr:colOff>
      <xdr:row>7</xdr:row>
      <xdr:rowOff>100600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254" name="Písanie rukou 253">
              <a:extLst>
                <a:ext uri="{FF2B5EF4-FFF2-40B4-BE49-F238E27FC236}">
                  <a16:creationId xmlns:a16="http://schemas.microsoft.com/office/drawing/2014/main" id="{E4505AFC-98EC-452E-9098-3FE5D06C6724}"/>
                </a:ext>
              </a:extLst>
            </xdr14:cNvPr>
            <xdr14:cNvContentPartPr/>
          </xdr14:nvContentPartPr>
          <xdr14:nvPr macro=""/>
          <xdr14:xfrm>
            <a:off x="26559990" y="1227980"/>
            <a:ext cx="332320" cy="180720"/>
          </xdr14:xfrm>
        </xdr:contentPart>
      </mc:Choice>
      <mc:Fallback xmlns="">
        <xdr:pic>
          <xdr:nvPicPr>
            <xdr:cNvPr id="254" name="Písanie rukou 253">
              <a:extLst>
                <a:ext uri="{FF2B5EF4-FFF2-40B4-BE49-F238E27FC236}">
                  <a16:creationId xmlns:a16="http://schemas.microsoft.com/office/drawing/2014/main" id="{E4505AFC-98EC-452E-9098-3FE5D06C6724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26550999" y="1218980"/>
              <a:ext cx="349943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378170</xdr:colOff>
      <xdr:row>6</xdr:row>
      <xdr:rowOff>41710</xdr:rowOff>
    </xdr:from>
    <xdr:to>
      <xdr:col>28</xdr:col>
      <xdr:colOff>39820</xdr:colOff>
      <xdr:row>7</xdr:row>
      <xdr:rowOff>137680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255" name="Písanie rukou 254">
              <a:extLst>
                <a:ext uri="{FF2B5EF4-FFF2-40B4-BE49-F238E27FC236}">
                  <a16:creationId xmlns:a16="http://schemas.microsoft.com/office/drawing/2014/main" id="{04C1FE90-2303-43DA-9AE8-140CDBF8F160}"/>
                </a:ext>
              </a:extLst>
            </xdr14:cNvPr>
            <xdr14:cNvContentPartPr/>
          </xdr14:nvContentPartPr>
          <xdr14:nvPr macro=""/>
          <xdr14:xfrm>
            <a:off x="25860720" y="1165660"/>
            <a:ext cx="271250" cy="280120"/>
          </xdr14:xfrm>
        </xdr:contentPart>
      </mc:Choice>
      <mc:Fallback xmlns="">
        <xdr:pic>
          <xdr:nvPicPr>
            <xdr:cNvPr id="255" name="Písanie rukou 254">
              <a:extLst>
                <a:ext uri="{FF2B5EF4-FFF2-40B4-BE49-F238E27FC236}">
                  <a16:creationId xmlns:a16="http://schemas.microsoft.com/office/drawing/2014/main" id="{04C1FE90-2303-43DA-9AE8-140CDBF8F160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25851714" y="1156624"/>
              <a:ext cx="288901" cy="2978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393340</xdr:colOff>
      <xdr:row>5</xdr:row>
      <xdr:rowOff>88360</xdr:rowOff>
    </xdr:from>
    <xdr:to>
      <xdr:col>32</xdr:col>
      <xdr:colOff>24580</xdr:colOff>
      <xdr:row>5</xdr:row>
      <xdr:rowOff>141640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259" name="Písanie rukou 258">
              <a:extLst>
                <a:ext uri="{FF2B5EF4-FFF2-40B4-BE49-F238E27FC236}">
                  <a16:creationId xmlns:a16="http://schemas.microsoft.com/office/drawing/2014/main" id="{A1BB97EA-D028-41C6-B9BD-E80E86274116}"/>
                </a:ext>
              </a:extLst>
            </xdr14:cNvPr>
            <xdr14:cNvContentPartPr/>
          </xdr14:nvContentPartPr>
          <xdr14:nvPr macro=""/>
          <xdr14:xfrm>
            <a:off x="28314290" y="1028160"/>
            <a:ext cx="240840" cy="53280"/>
          </xdr14:xfrm>
        </xdr:contentPart>
      </mc:Choice>
      <mc:Fallback xmlns="">
        <xdr:pic>
          <xdr:nvPicPr>
            <xdr:cNvPr id="259" name="Písanie rukou 258">
              <a:extLst>
                <a:ext uri="{FF2B5EF4-FFF2-40B4-BE49-F238E27FC236}">
                  <a16:creationId xmlns:a16="http://schemas.microsoft.com/office/drawing/2014/main" id="{A1BB97EA-D028-41C6-B9BD-E80E86274116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28305650" y="1019520"/>
              <a:ext cx="258480" cy="7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580470</xdr:colOff>
      <xdr:row>6</xdr:row>
      <xdr:rowOff>70720</xdr:rowOff>
    </xdr:from>
    <xdr:to>
      <xdr:col>31</xdr:col>
      <xdr:colOff>526730</xdr:colOff>
      <xdr:row>7</xdr:row>
      <xdr:rowOff>98080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260" name="Písanie rukou 259">
              <a:extLst>
                <a:ext uri="{FF2B5EF4-FFF2-40B4-BE49-F238E27FC236}">
                  <a16:creationId xmlns:a16="http://schemas.microsoft.com/office/drawing/2014/main" id="{B1AC318D-0207-427C-826A-DA6210531DC8}"/>
                </a:ext>
              </a:extLst>
            </xdr14:cNvPr>
            <xdr14:cNvContentPartPr/>
          </xdr14:nvContentPartPr>
          <xdr14:nvPr macro=""/>
          <xdr14:xfrm>
            <a:off x="27891820" y="1194670"/>
            <a:ext cx="555860" cy="211510"/>
          </xdr14:xfrm>
        </xdr:contentPart>
      </mc:Choice>
      <mc:Fallback xmlns="">
        <xdr:pic>
          <xdr:nvPicPr>
            <xdr:cNvPr id="260" name="Písanie rukou 259">
              <a:extLst>
                <a:ext uri="{FF2B5EF4-FFF2-40B4-BE49-F238E27FC236}">
                  <a16:creationId xmlns:a16="http://schemas.microsoft.com/office/drawing/2014/main" id="{B1AC318D-0207-427C-826A-DA6210531DC8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27883140" y="1185978"/>
              <a:ext cx="573581" cy="2292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1025290</xdr:colOff>
      <xdr:row>9</xdr:row>
      <xdr:rowOff>37740</xdr:rowOff>
    </xdr:from>
    <xdr:to>
      <xdr:col>32</xdr:col>
      <xdr:colOff>269960</xdr:colOff>
      <xdr:row>22</xdr:row>
      <xdr:rowOff>149840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307" name="Písanie rukou 306">
              <a:extLst>
                <a:ext uri="{FF2B5EF4-FFF2-40B4-BE49-F238E27FC236}">
                  <a16:creationId xmlns:a16="http://schemas.microsoft.com/office/drawing/2014/main" id="{EEB23F32-33F0-42B1-B949-7932EF0F2434}"/>
                </a:ext>
              </a:extLst>
            </xdr14:cNvPr>
            <xdr14:cNvContentPartPr/>
          </xdr14:nvContentPartPr>
          <xdr14:nvPr macro=""/>
          <xdr14:xfrm>
            <a:off x="24825090" y="1714140"/>
            <a:ext cx="3975420" cy="2525100"/>
          </xdr14:xfrm>
        </xdr:contentPart>
      </mc:Choice>
      <mc:Fallback xmlns="">
        <xdr:pic>
          <xdr:nvPicPr>
            <xdr:cNvPr id="307" name="Písanie rukou 306">
              <a:extLst>
                <a:ext uri="{FF2B5EF4-FFF2-40B4-BE49-F238E27FC236}">
                  <a16:creationId xmlns:a16="http://schemas.microsoft.com/office/drawing/2014/main" id="{EEB23F32-33F0-42B1-B949-7932EF0F2434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24816450" y="1705113"/>
              <a:ext cx="3993060" cy="25427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500190</xdr:colOff>
      <xdr:row>9</xdr:row>
      <xdr:rowOff>37740</xdr:rowOff>
    </xdr:from>
    <xdr:to>
      <xdr:col>30</xdr:col>
      <xdr:colOff>55110</xdr:colOff>
      <xdr:row>10</xdr:row>
      <xdr:rowOff>60250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310" name="Písanie rukou 309">
              <a:extLst>
                <a:ext uri="{FF2B5EF4-FFF2-40B4-BE49-F238E27FC236}">
                  <a16:creationId xmlns:a16="http://schemas.microsoft.com/office/drawing/2014/main" id="{823D3A9E-C4FA-4436-8A02-C90500198D1D}"/>
                </a:ext>
              </a:extLst>
            </xdr14:cNvPr>
            <xdr14:cNvContentPartPr/>
          </xdr14:nvContentPartPr>
          <xdr14:nvPr macro=""/>
          <xdr14:xfrm>
            <a:off x="27201940" y="1714140"/>
            <a:ext cx="164520" cy="206660"/>
          </xdr14:xfrm>
        </xdr:contentPart>
      </mc:Choice>
      <mc:Fallback xmlns="">
        <xdr:pic>
          <xdr:nvPicPr>
            <xdr:cNvPr id="310" name="Písanie rukou 309">
              <a:extLst>
                <a:ext uri="{FF2B5EF4-FFF2-40B4-BE49-F238E27FC236}">
                  <a16:creationId xmlns:a16="http://schemas.microsoft.com/office/drawing/2014/main" id="{823D3A9E-C4FA-4436-8A02-C90500198D1D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27192940" y="1705028"/>
              <a:ext cx="182160" cy="22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176620</xdr:colOff>
      <xdr:row>9</xdr:row>
      <xdr:rowOff>6060</xdr:rowOff>
    </xdr:from>
    <xdr:to>
      <xdr:col>30</xdr:col>
      <xdr:colOff>273100</xdr:colOff>
      <xdr:row>10</xdr:row>
      <xdr:rowOff>164990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311" name="Písanie rukou 310">
              <a:extLst>
                <a:ext uri="{FF2B5EF4-FFF2-40B4-BE49-F238E27FC236}">
                  <a16:creationId xmlns:a16="http://schemas.microsoft.com/office/drawing/2014/main" id="{10A10459-F673-4378-924C-A50ED1B49A4A}"/>
                </a:ext>
              </a:extLst>
            </xdr14:cNvPr>
            <xdr14:cNvContentPartPr/>
          </xdr14:nvContentPartPr>
          <xdr14:nvPr macro=""/>
          <xdr14:xfrm>
            <a:off x="27487970" y="1682460"/>
            <a:ext cx="96480" cy="343080"/>
          </xdr14:xfrm>
        </xdr:contentPart>
      </mc:Choice>
      <mc:Fallback xmlns="">
        <xdr:pic>
          <xdr:nvPicPr>
            <xdr:cNvPr id="311" name="Písanie rukou 310">
              <a:extLst>
                <a:ext uri="{FF2B5EF4-FFF2-40B4-BE49-F238E27FC236}">
                  <a16:creationId xmlns:a16="http://schemas.microsoft.com/office/drawing/2014/main" id="{10A10459-F673-4378-924C-A50ED1B49A4A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27479330" y="1673820"/>
              <a:ext cx="11412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266260</xdr:colOff>
      <xdr:row>9</xdr:row>
      <xdr:rowOff>4790</xdr:rowOff>
    </xdr:from>
    <xdr:to>
      <xdr:col>31</xdr:col>
      <xdr:colOff>161210</xdr:colOff>
      <xdr:row>10</xdr:row>
      <xdr:rowOff>168400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316" name="Písanie rukou 315">
              <a:extLst>
                <a:ext uri="{FF2B5EF4-FFF2-40B4-BE49-F238E27FC236}">
                  <a16:creationId xmlns:a16="http://schemas.microsoft.com/office/drawing/2014/main" id="{E0993B7B-A58E-4D71-8C04-CFB53EE27C8F}"/>
                </a:ext>
              </a:extLst>
            </xdr14:cNvPr>
            <xdr14:cNvContentPartPr/>
          </xdr14:nvContentPartPr>
          <xdr14:nvPr macro=""/>
          <xdr14:xfrm>
            <a:off x="27577610" y="1681190"/>
            <a:ext cx="504550" cy="347760"/>
          </xdr14:xfrm>
        </xdr:contentPart>
      </mc:Choice>
      <mc:Fallback xmlns="">
        <xdr:pic>
          <xdr:nvPicPr>
            <xdr:cNvPr id="316" name="Písanie rukou 315">
              <a:extLst>
                <a:ext uri="{FF2B5EF4-FFF2-40B4-BE49-F238E27FC236}">
                  <a16:creationId xmlns:a16="http://schemas.microsoft.com/office/drawing/2014/main" id="{E0993B7B-A58E-4D71-8C04-CFB53EE27C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27568619" y="1672550"/>
              <a:ext cx="522171" cy="36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506500</xdr:colOff>
      <xdr:row>19</xdr:row>
      <xdr:rowOff>69350</xdr:rowOff>
    </xdr:from>
    <xdr:to>
      <xdr:col>29</xdr:col>
      <xdr:colOff>520900</xdr:colOff>
      <xdr:row>20</xdr:row>
      <xdr:rowOff>43600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317" name="Písanie rukou 316">
              <a:extLst>
                <a:ext uri="{FF2B5EF4-FFF2-40B4-BE49-F238E27FC236}">
                  <a16:creationId xmlns:a16="http://schemas.microsoft.com/office/drawing/2014/main" id="{AA2A94E1-A246-4F00-9EB9-806BFBDEDD69}"/>
                </a:ext>
              </a:extLst>
            </xdr14:cNvPr>
            <xdr14:cNvContentPartPr/>
          </xdr14:nvContentPartPr>
          <xdr14:nvPr macro=""/>
          <xdr14:xfrm>
            <a:off x="27208250" y="3606300"/>
            <a:ext cx="14400" cy="158400"/>
          </xdr14:xfrm>
        </xdr:contentPart>
      </mc:Choice>
      <mc:Fallback xmlns="">
        <xdr:pic>
          <xdr:nvPicPr>
            <xdr:cNvPr id="317" name="Písanie rukou 316">
              <a:extLst>
                <a:ext uri="{FF2B5EF4-FFF2-40B4-BE49-F238E27FC236}">
                  <a16:creationId xmlns:a16="http://schemas.microsoft.com/office/drawing/2014/main" id="{AA2A94E1-A246-4F00-9EB9-806BFBDEDD69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27199250" y="3597660"/>
              <a:ext cx="32040" cy="17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174240</xdr:colOff>
      <xdr:row>20</xdr:row>
      <xdr:rowOff>124050</xdr:rowOff>
    </xdr:from>
    <xdr:to>
      <xdr:col>29</xdr:col>
      <xdr:colOff>556920</xdr:colOff>
      <xdr:row>21</xdr:row>
      <xdr:rowOff>83180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323" name="Písanie rukou 322">
              <a:extLst>
                <a:ext uri="{FF2B5EF4-FFF2-40B4-BE49-F238E27FC236}">
                  <a16:creationId xmlns:a16="http://schemas.microsoft.com/office/drawing/2014/main" id="{90C086C0-9321-4966-90E6-34B820A2508E}"/>
                </a:ext>
              </a:extLst>
            </xdr14:cNvPr>
            <xdr14:cNvContentPartPr/>
          </xdr14:nvContentPartPr>
          <xdr14:nvPr macro=""/>
          <xdr14:xfrm>
            <a:off x="26875990" y="3845150"/>
            <a:ext cx="382680" cy="143280"/>
          </xdr14:xfrm>
        </xdr:contentPart>
      </mc:Choice>
      <mc:Fallback xmlns="">
        <xdr:pic>
          <xdr:nvPicPr>
            <xdr:cNvPr id="323" name="Písanie rukou 322">
              <a:extLst>
                <a:ext uri="{FF2B5EF4-FFF2-40B4-BE49-F238E27FC236}">
                  <a16:creationId xmlns:a16="http://schemas.microsoft.com/office/drawing/2014/main" id="{90C086C0-9321-4966-90E6-34B820A2508E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26867309" y="3836422"/>
              <a:ext cx="400403" cy="1610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404760</xdr:colOff>
      <xdr:row>19</xdr:row>
      <xdr:rowOff>27610</xdr:rowOff>
    </xdr:from>
    <xdr:to>
      <xdr:col>32</xdr:col>
      <xdr:colOff>142200</xdr:colOff>
      <xdr:row>19</xdr:row>
      <xdr:rowOff>121000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337" name="Písanie rukou 336">
              <a:extLst>
                <a:ext uri="{FF2B5EF4-FFF2-40B4-BE49-F238E27FC236}">
                  <a16:creationId xmlns:a16="http://schemas.microsoft.com/office/drawing/2014/main" id="{8C7985EE-C001-4FC6-87DA-B39C1DF8A3E1}"/>
                </a:ext>
              </a:extLst>
            </xdr14:cNvPr>
            <xdr14:cNvContentPartPr/>
          </xdr14:nvContentPartPr>
          <xdr14:nvPr macro=""/>
          <xdr14:xfrm>
            <a:off x="28325710" y="3564560"/>
            <a:ext cx="347040" cy="93390"/>
          </xdr14:xfrm>
        </xdr:contentPart>
      </mc:Choice>
      <mc:Fallback xmlns="">
        <xdr:pic>
          <xdr:nvPicPr>
            <xdr:cNvPr id="337" name="Písanie rukou 336">
              <a:extLst>
                <a:ext uri="{FF2B5EF4-FFF2-40B4-BE49-F238E27FC236}">
                  <a16:creationId xmlns:a16="http://schemas.microsoft.com/office/drawing/2014/main" id="{8C7985EE-C001-4FC6-87DA-B39C1DF8A3E1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28317007" y="3555805"/>
              <a:ext cx="364809" cy="1112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407540</xdr:colOff>
      <xdr:row>11</xdr:row>
      <xdr:rowOff>110230</xdr:rowOff>
    </xdr:from>
    <xdr:to>
      <xdr:col>31</xdr:col>
      <xdr:colOff>116890</xdr:colOff>
      <xdr:row>19</xdr:row>
      <xdr:rowOff>89830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342" name="Písanie rukou 341">
              <a:extLst>
                <a:ext uri="{FF2B5EF4-FFF2-40B4-BE49-F238E27FC236}">
                  <a16:creationId xmlns:a16="http://schemas.microsoft.com/office/drawing/2014/main" id="{ED0B847E-5D86-4331-A7BA-6AD954761C0B}"/>
                </a:ext>
              </a:extLst>
            </xdr14:cNvPr>
            <xdr14:cNvContentPartPr/>
          </xdr14:nvContentPartPr>
          <xdr14:nvPr macro=""/>
          <xdr14:xfrm>
            <a:off x="27109290" y="2161280"/>
            <a:ext cx="928550" cy="1465500"/>
          </xdr14:xfrm>
        </xdr:contentPart>
      </mc:Choice>
      <mc:Fallback xmlns="">
        <xdr:pic>
          <xdr:nvPicPr>
            <xdr:cNvPr id="342" name="Písanie rukou 341">
              <a:extLst>
                <a:ext uri="{FF2B5EF4-FFF2-40B4-BE49-F238E27FC236}">
                  <a16:creationId xmlns:a16="http://schemas.microsoft.com/office/drawing/2014/main" id="{ED0B847E-5D86-4331-A7BA-6AD954761C0B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27100327" y="2152327"/>
              <a:ext cx="946117" cy="14830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524110</xdr:colOff>
      <xdr:row>10</xdr:row>
      <xdr:rowOff>73380</xdr:rowOff>
    </xdr:from>
    <xdr:to>
      <xdr:col>32</xdr:col>
      <xdr:colOff>395450</xdr:colOff>
      <xdr:row>13</xdr:row>
      <xdr:rowOff>30800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350" name="Písanie rukou 349">
              <a:extLst>
                <a:ext uri="{FF2B5EF4-FFF2-40B4-BE49-F238E27FC236}">
                  <a16:creationId xmlns:a16="http://schemas.microsoft.com/office/drawing/2014/main" id="{7344EEE2-D62A-4A0E-BD94-F73AC0B30F05}"/>
                </a:ext>
              </a:extLst>
            </xdr14:cNvPr>
            <xdr14:cNvContentPartPr/>
          </xdr14:nvContentPartPr>
          <xdr14:nvPr macro=""/>
          <xdr14:xfrm>
            <a:off x="28445060" y="1933930"/>
            <a:ext cx="480940" cy="516220"/>
          </xdr14:xfrm>
        </xdr:contentPart>
      </mc:Choice>
      <mc:Fallback xmlns="">
        <xdr:pic>
          <xdr:nvPicPr>
            <xdr:cNvPr id="350" name="Písanie rukou 349">
              <a:extLst>
                <a:ext uri="{FF2B5EF4-FFF2-40B4-BE49-F238E27FC236}">
                  <a16:creationId xmlns:a16="http://schemas.microsoft.com/office/drawing/2014/main" id="{7344EEE2-D62A-4A0E-BD94-F73AC0B30F05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28436060" y="1924911"/>
              <a:ext cx="498579" cy="5338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47000</xdr:colOff>
      <xdr:row>10</xdr:row>
      <xdr:rowOff>75710</xdr:rowOff>
    </xdr:from>
    <xdr:to>
      <xdr:col>33</xdr:col>
      <xdr:colOff>327800</xdr:colOff>
      <xdr:row>12</xdr:row>
      <xdr:rowOff>8880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352" name="Písanie rukou 351">
              <a:extLst>
                <a:ext uri="{FF2B5EF4-FFF2-40B4-BE49-F238E27FC236}">
                  <a16:creationId xmlns:a16="http://schemas.microsoft.com/office/drawing/2014/main" id="{57179EB6-AE2D-4F54-8791-73ADCDCE1CEA}"/>
                </a:ext>
              </a:extLst>
            </xdr14:cNvPr>
            <xdr14:cNvContentPartPr/>
          </xdr14:nvContentPartPr>
          <xdr14:nvPr macro=""/>
          <xdr14:xfrm>
            <a:off x="29187150" y="1936260"/>
            <a:ext cx="280800" cy="307820"/>
          </xdr14:xfrm>
        </xdr:contentPart>
      </mc:Choice>
      <mc:Fallback xmlns="">
        <xdr:pic>
          <xdr:nvPicPr>
            <xdr:cNvPr id="352" name="Písanie rukou 351">
              <a:extLst>
                <a:ext uri="{FF2B5EF4-FFF2-40B4-BE49-F238E27FC236}">
                  <a16:creationId xmlns:a16="http://schemas.microsoft.com/office/drawing/2014/main" id="{57179EB6-AE2D-4F54-8791-73ADCDCE1CEA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29178510" y="1927619"/>
              <a:ext cx="298440" cy="3254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63220</xdr:colOff>
      <xdr:row>12</xdr:row>
      <xdr:rowOff>171220</xdr:rowOff>
    </xdr:from>
    <xdr:to>
      <xdr:col>33</xdr:col>
      <xdr:colOff>304780</xdr:colOff>
      <xdr:row>13</xdr:row>
      <xdr:rowOff>140430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353" name="Písanie rukou 352">
              <a:extLst>
                <a:ext uri="{FF2B5EF4-FFF2-40B4-BE49-F238E27FC236}">
                  <a16:creationId xmlns:a16="http://schemas.microsoft.com/office/drawing/2014/main" id="{92F07319-8FE4-4AA4-839B-BC9121B4A762}"/>
                </a:ext>
              </a:extLst>
            </xdr14:cNvPr>
            <xdr14:cNvContentPartPr/>
          </xdr14:nvContentPartPr>
          <xdr14:nvPr macro=""/>
          <xdr14:xfrm>
            <a:off x="29203370" y="2406420"/>
            <a:ext cx="241560" cy="153360"/>
          </xdr14:xfrm>
        </xdr:contentPart>
      </mc:Choice>
      <mc:Fallback xmlns="">
        <xdr:pic>
          <xdr:nvPicPr>
            <xdr:cNvPr id="353" name="Písanie rukou 352">
              <a:extLst>
                <a:ext uri="{FF2B5EF4-FFF2-40B4-BE49-F238E27FC236}">
                  <a16:creationId xmlns:a16="http://schemas.microsoft.com/office/drawing/2014/main" id="{92F07319-8FE4-4AA4-839B-BC9121B4A762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29194370" y="2397420"/>
              <a:ext cx="259200" cy="17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3630</xdr:colOff>
      <xdr:row>14</xdr:row>
      <xdr:rowOff>80780</xdr:rowOff>
    </xdr:from>
    <xdr:to>
      <xdr:col>34</xdr:col>
      <xdr:colOff>590140</xdr:colOff>
      <xdr:row>17</xdr:row>
      <xdr:rowOff>109160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364" name="Písanie rukou 363">
              <a:extLst>
                <a:ext uri="{FF2B5EF4-FFF2-40B4-BE49-F238E27FC236}">
                  <a16:creationId xmlns:a16="http://schemas.microsoft.com/office/drawing/2014/main" id="{9AC2B563-CB0F-4B22-A8F0-B19A83EA6700}"/>
                </a:ext>
              </a:extLst>
            </xdr14:cNvPr>
            <xdr14:cNvContentPartPr/>
          </xdr14:nvContentPartPr>
          <xdr14:nvPr macro=""/>
          <xdr14:xfrm>
            <a:off x="29143780" y="2690630"/>
            <a:ext cx="1196110" cy="587180"/>
          </xdr14:xfrm>
        </xdr:contentPart>
      </mc:Choice>
      <mc:Fallback xmlns="">
        <xdr:pic>
          <xdr:nvPicPr>
            <xdr:cNvPr id="364" name="Písanie rukou 363">
              <a:extLst>
                <a:ext uri="{FF2B5EF4-FFF2-40B4-BE49-F238E27FC236}">
                  <a16:creationId xmlns:a16="http://schemas.microsoft.com/office/drawing/2014/main" id="{9AC2B563-CB0F-4B22-A8F0-B19A83EA670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29135139" y="2681931"/>
              <a:ext cx="1213753" cy="6049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407160</xdr:colOff>
      <xdr:row>16</xdr:row>
      <xdr:rowOff>28540</xdr:rowOff>
    </xdr:from>
    <xdr:to>
      <xdr:col>33</xdr:col>
      <xdr:colOff>496490</xdr:colOff>
      <xdr:row>17</xdr:row>
      <xdr:rowOff>121740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71" name="Písanie rukou 370">
              <a:extLst>
                <a:ext uri="{FF2B5EF4-FFF2-40B4-BE49-F238E27FC236}">
                  <a16:creationId xmlns:a16="http://schemas.microsoft.com/office/drawing/2014/main" id="{83150991-9F58-48D1-B856-A295DD97729D}"/>
                </a:ext>
              </a:extLst>
            </xdr14:cNvPr>
            <xdr14:cNvContentPartPr/>
          </xdr14:nvContentPartPr>
          <xdr14:nvPr macro=""/>
          <xdr14:xfrm>
            <a:off x="28937710" y="3013040"/>
            <a:ext cx="698930" cy="277350"/>
          </xdr14:xfrm>
        </xdr:contentPart>
      </mc:Choice>
      <mc:Fallback xmlns="">
        <xdr:pic>
          <xdr:nvPicPr>
            <xdr:cNvPr id="371" name="Písanie rukou 370">
              <a:extLst>
                <a:ext uri="{FF2B5EF4-FFF2-40B4-BE49-F238E27FC236}">
                  <a16:creationId xmlns:a16="http://schemas.microsoft.com/office/drawing/2014/main" id="{83150991-9F58-48D1-B856-A295DD97729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28929068" y="3004362"/>
              <a:ext cx="716574" cy="2950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549560</xdr:colOff>
      <xdr:row>19</xdr:row>
      <xdr:rowOff>29940</xdr:rowOff>
    </xdr:from>
    <xdr:to>
      <xdr:col>34</xdr:col>
      <xdr:colOff>325760</xdr:colOff>
      <xdr:row>20</xdr:row>
      <xdr:rowOff>91480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78" name="Písanie rukou 377">
              <a:extLst>
                <a:ext uri="{FF2B5EF4-FFF2-40B4-BE49-F238E27FC236}">
                  <a16:creationId xmlns:a16="http://schemas.microsoft.com/office/drawing/2014/main" id="{5E62F2CB-5CFF-4C8D-AFDD-5CC53CF349D3}"/>
                </a:ext>
              </a:extLst>
            </xdr14:cNvPr>
            <xdr14:cNvContentPartPr/>
          </xdr14:nvContentPartPr>
          <xdr14:nvPr macro=""/>
          <xdr14:xfrm>
            <a:off x="29080110" y="3566890"/>
            <a:ext cx="995400" cy="245690"/>
          </xdr14:xfrm>
        </xdr:contentPart>
      </mc:Choice>
      <mc:Fallback xmlns="">
        <xdr:pic>
          <xdr:nvPicPr>
            <xdr:cNvPr id="378" name="Písanie rukou 377">
              <a:extLst>
                <a:ext uri="{FF2B5EF4-FFF2-40B4-BE49-F238E27FC236}">
                  <a16:creationId xmlns:a16="http://schemas.microsoft.com/office/drawing/2014/main" id="{5E62F2CB-5CFF-4C8D-AFDD-5CC53CF349D3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29071470" y="3557884"/>
              <a:ext cx="1013040" cy="2633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511520</xdr:colOff>
      <xdr:row>18</xdr:row>
      <xdr:rowOff>146410</xdr:rowOff>
    </xdr:from>
    <xdr:to>
      <xdr:col>36</xdr:col>
      <xdr:colOff>328400</xdr:colOff>
      <xdr:row>20</xdr:row>
      <xdr:rowOff>33710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385" name="Písanie rukou 384">
              <a:extLst>
                <a:ext uri="{FF2B5EF4-FFF2-40B4-BE49-F238E27FC236}">
                  <a16:creationId xmlns:a16="http://schemas.microsoft.com/office/drawing/2014/main" id="{16415A3C-86C1-4FDB-9224-274F13D6BA20}"/>
                </a:ext>
              </a:extLst>
            </xdr14:cNvPr>
            <xdr14:cNvContentPartPr/>
          </xdr14:nvContentPartPr>
          <xdr14:nvPr macro=""/>
          <xdr14:xfrm>
            <a:off x="30261270" y="3499210"/>
            <a:ext cx="1036080" cy="255600"/>
          </xdr14:xfrm>
        </xdr:contentPart>
      </mc:Choice>
      <mc:Fallback xmlns="">
        <xdr:pic>
          <xdr:nvPicPr>
            <xdr:cNvPr id="385" name="Písanie rukou 384">
              <a:extLst>
                <a:ext uri="{FF2B5EF4-FFF2-40B4-BE49-F238E27FC236}">
                  <a16:creationId xmlns:a16="http://schemas.microsoft.com/office/drawing/2014/main" id="{16415A3C-86C1-4FDB-9224-274F13D6BA20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30252270" y="3490421"/>
              <a:ext cx="1053720" cy="2735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294260</xdr:colOff>
      <xdr:row>7</xdr:row>
      <xdr:rowOff>44590</xdr:rowOff>
    </xdr:from>
    <xdr:to>
      <xdr:col>38</xdr:col>
      <xdr:colOff>325750</xdr:colOff>
      <xdr:row>8</xdr:row>
      <xdr:rowOff>124150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409" name="Písanie rukou 408">
              <a:extLst>
                <a:ext uri="{FF2B5EF4-FFF2-40B4-BE49-F238E27FC236}">
                  <a16:creationId xmlns:a16="http://schemas.microsoft.com/office/drawing/2014/main" id="{9E3A4FD4-0F35-4670-9A28-6ACE96D77F72}"/>
                </a:ext>
              </a:extLst>
            </xdr14:cNvPr>
            <xdr14:cNvContentPartPr/>
          </xdr14:nvContentPartPr>
          <xdr14:nvPr macro=""/>
          <xdr14:xfrm>
            <a:off x="30653610" y="1352690"/>
            <a:ext cx="1860290" cy="263710"/>
          </xdr14:xfrm>
        </xdr:contentPart>
      </mc:Choice>
      <mc:Fallback xmlns="">
        <xdr:pic>
          <xdr:nvPicPr>
            <xdr:cNvPr id="409" name="Písanie rukou 408">
              <a:extLst>
                <a:ext uri="{FF2B5EF4-FFF2-40B4-BE49-F238E27FC236}">
                  <a16:creationId xmlns:a16="http://schemas.microsoft.com/office/drawing/2014/main" id="{9E3A4FD4-0F35-4670-9A28-6ACE96D77F72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30644969" y="1344056"/>
              <a:ext cx="1877932" cy="281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283180</xdr:colOff>
      <xdr:row>6</xdr:row>
      <xdr:rowOff>70720</xdr:rowOff>
    </xdr:from>
    <xdr:to>
      <xdr:col>35</xdr:col>
      <xdr:colOff>71590</xdr:colOff>
      <xdr:row>8</xdr:row>
      <xdr:rowOff>83280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410" name="Písanie rukou 409">
              <a:extLst>
                <a:ext uri="{FF2B5EF4-FFF2-40B4-BE49-F238E27FC236}">
                  <a16:creationId xmlns:a16="http://schemas.microsoft.com/office/drawing/2014/main" id="{EEE8D9FE-BAB5-465B-8AC7-882F38582813}"/>
                </a:ext>
              </a:extLst>
            </xdr14:cNvPr>
            <xdr14:cNvContentPartPr/>
          </xdr14:nvContentPartPr>
          <xdr14:nvPr macro=""/>
          <xdr14:xfrm>
            <a:off x="30032930" y="1194670"/>
            <a:ext cx="398010" cy="380860"/>
          </xdr14:xfrm>
        </xdr:contentPart>
      </mc:Choice>
      <mc:Fallback xmlns="">
        <xdr:pic>
          <xdr:nvPicPr>
            <xdr:cNvPr id="410" name="Písanie rukou 409">
              <a:extLst>
                <a:ext uri="{FF2B5EF4-FFF2-40B4-BE49-F238E27FC236}">
                  <a16:creationId xmlns:a16="http://schemas.microsoft.com/office/drawing/2014/main" id="{EEE8D9FE-BAB5-465B-8AC7-882F38582813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30023933" y="1185998"/>
              <a:ext cx="415643" cy="3985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596900</xdr:colOff>
      <xdr:row>10</xdr:row>
      <xdr:rowOff>80740</xdr:rowOff>
    </xdr:from>
    <xdr:to>
      <xdr:col>38</xdr:col>
      <xdr:colOff>276600</xdr:colOff>
      <xdr:row>11</xdr:row>
      <xdr:rowOff>79810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421" name="Písanie rukou 420">
              <a:extLst>
                <a:ext uri="{FF2B5EF4-FFF2-40B4-BE49-F238E27FC236}">
                  <a16:creationId xmlns:a16="http://schemas.microsoft.com/office/drawing/2014/main" id="{D88CC47B-9FE5-4BC8-AEFE-1DF54F21FCFF}"/>
                </a:ext>
              </a:extLst>
            </xdr14:cNvPr>
            <xdr14:cNvContentPartPr/>
          </xdr14:nvContentPartPr>
          <xdr14:nvPr macro=""/>
          <xdr14:xfrm>
            <a:off x="31565850" y="1941290"/>
            <a:ext cx="898900" cy="189570"/>
          </xdr14:xfrm>
        </xdr:contentPart>
      </mc:Choice>
      <mc:Fallback xmlns="">
        <xdr:pic>
          <xdr:nvPicPr>
            <xdr:cNvPr id="421" name="Písanie rukou 420">
              <a:extLst>
                <a:ext uri="{FF2B5EF4-FFF2-40B4-BE49-F238E27FC236}">
                  <a16:creationId xmlns:a16="http://schemas.microsoft.com/office/drawing/2014/main" id="{D88CC47B-9FE5-4BC8-AEFE-1DF54F21FCFF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31556850" y="1932640"/>
              <a:ext cx="916540" cy="2072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236790</xdr:colOff>
      <xdr:row>9</xdr:row>
      <xdr:rowOff>161190</xdr:rowOff>
    </xdr:from>
    <xdr:to>
      <xdr:col>36</xdr:col>
      <xdr:colOff>403220</xdr:colOff>
      <xdr:row>11</xdr:row>
      <xdr:rowOff>119920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422" name="Písanie rukou 421">
              <a:extLst>
                <a:ext uri="{FF2B5EF4-FFF2-40B4-BE49-F238E27FC236}">
                  <a16:creationId xmlns:a16="http://schemas.microsoft.com/office/drawing/2014/main" id="{FAE36717-02A7-4D2B-951F-2213B09155F0}"/>
                </a:ext>
              </a:extLst>
            </xdr14:cNvPr>
            <xdr14:cNvContentPartPr/>
          </xdr14:nvContentPartPr>
          <xdr14:nvPr macro=""/>
          <xdr14:xfrm>
            <a:off x="30596140" y="1837590"/>
            <a:ext cx="776030" cy="333380"/>
          </xdr14:xfrm>
        </xdr:contentPart>
      </mc:Choice>
      <mc:Fallback xmlns="">
        <xdr:pic>
          <xdr:nvPicPr>
            <xdr:cNvPr id="422" name="Písanie rukou 421">
              <a:extLst>
                <a:ext uri="{FF2B5EF4-FFF2-40B4-BE49-F238E27FC236}">
                  <a16:creationId xmlns:a16="http://schemas.microsoft.com/office/drawing/2014/main" id="{FAE36717-02A7-4D2B-951F-2213B09155F0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30587142" y="1828589"/>
              <a:ext cx="793667" cy="351021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17389</xdr:colOff>
      <xdr:row>1</xdr:row>
      <xdr:rowOff>8206</xdr:rowOff>
    </xdr:from>
    <xdr:to>
      <xdr:col>22</xdr:col>
      <xdr:colOff>10688</xdr:colOff>
      <xdr:row>12</xdr:row>
      <xdr:rowOff>157076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9FAE6321-D2FB-4D73-99E8-FAE2F142A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8389" y="191086"/>
          <a:ext cx="6089299" cy="213007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13</xdr:row>
      <xdr:rowOff>110490</xdr:rowOff>
    </xdr:from>
    <xdr:to>
      <xdr:col>20</xdr:col>
      <xdr:colOff>278130</xdr:colOff>
      <xdr:row>25</xdr:row>
      <xdr:rowOff>110490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D26C9E07-9B45-44CA-A8DA-26BCF93E8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6400" y="2442210"/>
          <a:ext cx="5129530" cy="2011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519430</xdr:colOff>
      <xdr:row>15</xdr:row>
      <xdr:rowOff>96520</xdr:rowOff>
    </xdr:from>
    <xdr:to>
      <xdr:col>7</xdr:col>
      <xdr:colOff>263396</xdr:colOff>
      <xdr:row>29</xdr:row>
      <xdr:rowOff>9589</xdr:rowOff>
    </xdr:to>
    <xdr:pic>
      <xdr:nvPicPr>
        <xdr:cNvPr id="4" name="Obrázok 3">
          <a:extLst>
            <a:ext uri="{FF2B5EF4-FFF2-40B4-BE49-F238E27FC236}">
              <a16:creationId xmlns:a16="http://schemas.microsoft.com/office/drawing/2014/main" id="{6724D7D3-1D54-4B4E-AD04-BB8750FC0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8630" y="2585720"/>
          <a:ext cx="3221226" cy="222446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96520</xdr:colOff>
      <xdr:row>3</xdr:row>
      <xdr:rowOff>110490</xdr:rowOff>
    </xdr:from>
    <xdr:to>
      <xdr:col>19</xdr:col>
      <xdr:colOff>318654</xdr:colOff>
      <xdr:row>10</xdr:row>
      <xdr:rowOff>148786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8D4C9F05-90E7-4950-A902-58F22DD45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740" r="20613"/>
        <a:stretch/>
      </xdr:blipFill>
      <xdr:spPr>
        <a:xfrm>
          <a:off x="12039138" y="623108"/>
          <a:ext cx="4807989" cy="1215933"/>
        </a:xfrm>
        <a:prstGeom prst="rect">
          <a:avLst/>
        </a:prstGeom>
      </xdr:spPr>
    </xdr:pic>
    <xdr:clientData/>
  </xdr:twoCellAnchor>
  <xdr:twoCellAnchor editAs="oneCell">
    <xdr:from>
      <xdr:col>2</xdr:col>
      <xdr:colOff>290830</xdr:colOff>
      <xdr:row>22</xdr:row>
      <xdr:rowOff>77470</xdr:rowOff>
    </xdr:from>
    <xdr:to>
      <xdr:col>6</xdr:col>
      <xdr:colOff>720090</xdr:colOff>
      <xdr:row>32</xdr:row>
      <xdr:rowOff>148590</xdr:rowOff>
    </xdr:to>
    <xdr:pic>
      <xdr:nvPicPr>
        <xdr:cNvPr id="4" name="Obrázok 3">
          <a:extLst>
            <a:ext uri="{FF2B5EF4-FFF2-40B4-BE49-F238E27FC236}">
              <a16:creationId xmlns:a16="http://schemas.microsoft.com/office/drawing/2014/main" id="{E8098E4F-86D8-42E8-9959-AE0837575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780" y="3760470"/>
          <a:ext cx="3685540" cy="175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568037</xdr:colOff>
      <xdr:row>54</xdr:row>
      <xdr:rowOff>152402</xdr:rowOff>
    </xdr:from>
    <xdr:to>
      <xdr:col>34</xdr:col>
      <xdr:colOff>148116</xdr:colOff>
      <xdr:row>81</xdr:row>
      <xdr:rowOff>120091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648602F2-0669-464B-9D9C-049C4E813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63855" y="9254838"/>
          <a:ext cx="8114479" cy="4456562"/>
        </a:xfrm>
        <a:prstGeom prst="rect">
          <a:avLst/>
        </a:prstGeom>
      </xdr:spPr>
    </xdr:pic>
    <xdr:clientData/>
  </xdr:twoCellAnchor>
  <xdr:twoCellAnchor editAs="oneCell">
    <xdr:from>
      <xdr:col>8</xdr:col>
      <xdr:colOff>113707</xdr:colOff>
      <xdr:row>55</xdr:row>
      <xdr:rowOff>107826</xdr:rowOff>
    </xdr:from>
    <xdr:to>
      <xdr:col>19</xdr:col>
      <xdr:colOff>1409463</xdr:colOff>
      <xdr:row>81</xdr:row>
      <xdr:rowOff>4785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Písanie rukou 4">
              <a:extLst>
                <a:ext uri="{FF2B5EF4-FFF2-40B4-BE49-F238E27FC236}">
                  <a16:creationId xmlns:a16="http://schemas.microsoft.com/office/drawing/2014/main" id="{193E8CE1-2290-45B4-AAFB-27B0E66DF56A}"/>
                </a:ext>
              </a:extLst>
            </xdr14:cNvPr>
            <xdr14:cNvContentPartPr/>
          </xdr14:nvContentPartPr>
          <xdr14:nvPr macro=""/>
          <xdr14:xfrm>
            <a:off x="7373489" y="9376517"/>
            <a:ext cx="10564447" cy="4219577"/>
          </xdr14:xfrm>
        </xdr:contentPart>
      </mc:Choice>
      <mc:Fallback xmlns="">
        <xdr:pic>
          <xdr:nvPicPr>
            <xdr:cNvPr id="5" name="Písanie rukou 4">
              <a:extLst>
                <a:ext uri="{FF2B5EF4-FFF2-40B4-BE49-F238E27FC236}">
                  <a16:creationId xmlns:a16="http://schemas.microsoft.com/office/drawing/2014/main" id="{193E8CE1-2290-45B4-AAFB-27B0E66DF56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364489" y="9367517"/>
              <a:ext cx="10582087" cy="4237217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14743</xdr:colOff>
      <xdr:row>1</xdr:row>
      <xdr:rowOff>33130</xdr:rowOff>
    </xdr:from>
    <xdr:to>
      <xdr:col>21</xdr:col>
      <xdr:colOff>418754</xdr:colOff>
      <xdr:row>16</xdr:row>
      <xdr:rowOff>38977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5F867566-BA11-4B37-ACE9-4E7664877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8523" y="200770"/>
          <a:ext cx="6500011" cy="2596647"/>
        </a:xfrm>
        <a:prstGeom prst="rect">
          <a:avLst/>
        </a:prstGeom>
      </xdr:spPr>
    </xdr:pic>
    <xdr:clientData/>
  </xdr:twoCellAnchor>
  <xdr:twoCellAnchor editAs="oneCell">
    <xdr:from>
      <xdr:col>11</xdr:col>
      <xdr:colOff>228405</xdr:colOff>
      <xdr:row>16</xdr:row>
      <xdr:rowOff>89647</xdr:rowOff>
    </xdr:from>
    <xdr:to>
      <xdr:col>21</xdr:col>
      <xdr:colOff>106485</xdr:colOff>
      <xdr:row>26</xdr:row>
      <xdr:rowOff>134919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7763EFF0-F88B-4A47-ABA9-BD142F45B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22185" y="2848087"/>
          <a:ext cx="5974080" cy="1782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531720</xdr:colOff>
      <xdr:row>37</xdr:row>
      <xdr:rowOff>62584</xdr:rowOff>
    </xdr:from>
    <xdr:to>
      <xdr:col>0</xdr:col>
      <xdr:colOff>826920</xdr:colOff>
      <xdr:row>39</xdr:row>
      <xdr:rowOff>92005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4" name="Písanie rukou 3">
              <a:extLst>
                <a:ext uri="{FF2B5EF4-FFF2-40B4-BE49-F238E27FC236}">
                  <a16:creationId xmlns:a16="http://schemas.microsoft.com/office/drawing/2014/main" id="{5D8FABD8-F02F-46AE-B890-E159F80E34A3}"/>
                </a:ext>
              </a:extLst>
            </xdr14:cNvPr>
            <xdr14:cNvContentPartPr/>
          </xdr14:nvContentPartPr>
          <xdr14:nvPr macro=""/>
          <xdr14:xfrm>
            <a:off x="531720" y="6544066"/>
            <a:ext cx="295200" cy="370080"/>
          </xdr14:xfrm>
        </xdr:contentPart>
      </mc:Choice>
      <mc:Fallback xmlns="">
        <xdr:pic>
          <xdr:nvPicPr>
            <xdr:cNvPr id="114" name="Písanie rukou 113">
              <a:extLst>
                <a:ext uri="{FF2B5EF4-FFF2-40B4-BE49-F238E27FC236}">
                  <a16:creationId xmlns:a16="http://schemas.microsoft.com/office/drawing/2014/main" id="{7CFC8FAF-0026-456D-A2E3-9A01B3A7651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22731" y="6535066"/>
              <a:ext cx="312819" cy="38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1080720</xdr:colOff>
      <xdr:row>37</xdr:row>
      <xdr:rowOff>24424</xdr:rowOff>
    </xdr:from>
    <xdr:to>
      <xdr:col>1</xdr:col>
      <xdr:colOff>1182558</xdr:colOff>
      <xdr:row>39</xdr:row>
      <xdr:rowOff>77245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" name="Písanie rukou 4">
              <a:extLst>
                <a:ext uri="{FF2B5EF4-FFF2-40B4-BE49-F238E27FC236}">
                  <a16:creationId xmlns:a16="http://schemas.microsoft.com/office/drawing/2014/main" id="{6BA9261A-50CC-4CC6-9ACE-74D76ACDE5C7}"/>
                </a:ext>
              </a:extLst>
            </xdr14:cNvPr>
            <xdr14:cNvContentPartPr/>
          </xdr14:nvContentPartPr>
          <xdr14:nvPr macro=""/>
          <xdr14:xfrm>
            <a:off x="1080720" y="6505906"/>
            <a:ext cx="1554120" cy="393480"/>
          </xdr14:xfrm>
        </xdr:contentPart>
      </mc:Choice>
      <mc:Fallback xmlns="">
        <xdr:pic>
          <xdr:nvPicPr>
            <xdr:cNvPr id="120" name="Písanie rukou 119">
              <a:extLst>
                <a:ext uri="{FF2B5EF4-FFF2-40B4-BE49-F238E27FC236}">
                  <a16:creationId xmlns:a16="http://schemas.microsoft.com/office/drawing/2014/main" id="{9DCD2F5B-6776-498C-90FE-DB83CC270CF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72080" y="6497266"/>
              <a:ext cx="1571760" cy="41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474120</xdr:colOff>
      <xdr:row>40</xdr:row>
      <xdr:rowOff>161075</xdr:rowOff>
    </xdr:from>
    <xdr:to>
      <xdr:col>0</xdr:col>
      <xdr:colOff>645120</xdr:colOff>
      <xdr:row>42</xdr:row>
      <xdr:rowOff>23097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6" name="Písanie rukou 5">
              <a:extLst>
                <a:ext uri="{FF2B5EF4-FFF2-40B4-BE49-F238E27FC236}">
                  <a16:creationId xmlns:a16="http://schemas.microsoft.com/office/drawing/2014/main" id="{8E67CD27-E089-470F-BCB7-8C67C87B5A7F}"/>
                </a:ext>
              </a:extLst>
            </xdr14:cNvPr>
            <xdr14:cNvContentPartPr/>
          </xdr14:nvContentPartPr>
          <xdr14:nvPr macro=""/>
          <xdr14:xfrm>
            <a:off x="474120" y="7153546"/>
            <a:ext cx="171000" cy="202680"/>
          </xdr14:xfrm>
        </xdr:contentPart>
      </mc:Choice>
      <mc:Fallback xmlns="">
        <xdr:pic>
          <xdr:nvPicPr>
            <xdr:cNvPr id="130" name="Písanie rukou 129">
              <a:extLst>
                <a:ext uri="{FF2B5EF4-FFF2-40B4-BE49-F238E27FC236}">
                  <a16:creationId xmlns:a16="http://schemas.microsoft.com/office/drawing/2014/main" id="{E4E7C17D-4D53-4FEA-8365-89B92DF13745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65139" y="7144546"/>
              <a:ext cx="188603" cy="22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815760</xdr:colOff>
      <xdr:row>40</xdr:row>
      <xdr:rowOff>51275</xdr:rowOff>
    </xdr:from>
    <xdr:to>
      <xdr:col>2</xdr:col>
      <xdr:colOff>261692</xdr:colOff>
      <xdr:row>42</xdr:row>
      <xdr:rowOff>65217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" name="Písanie rukou 6">
              <a:extLst>
                <a:ext uri="{FF2B5EF4-FFF2-40B4-BE49-F238E27FC236}">
                  <a16:creationId xmlns:a16="http://schemas.microsoft.com/office/drawing/2014/main" id="{9C45B6A4-9F74-43B0-B551-060C97867839}"/>
                </a:ext>
              </a:extLst>
            </xdr14:cNvPr>
            <xdr14:cNvContentPartPr/>
          </xdr14:nvContentPartPr>
          <xdr14:nvPr macro=""/>
          <xdr14:xfrm>
            <a:off x="815760" y="7043746"/>
            <a:ext cx="2090520" cy="354600"/>
          </xdr14:xfrm>
        </xdr:contentPart>
      </mc:Choice>
      <mc:Fallback xmlns="">
        <xdr:pic>
          <xdr:nvPicPr>
            <xdr:cNvPr id="138" name="Písanie rukou 137">
              <a:extLst>
                <a:ext uri="{FF2B5EF4-FFF2-40B4-BE49-F238E27FC236}">
                  <a16:creationId xmlns:a16="http://schemas.microsoft.com/office/drawing/2014/main" id="{B03B3785-22AE-4F57-9874-EB40AB13E775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06762" y="7035097"/>
              <a:ext cx="2108157" cy="3722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466052</xdr:colOff>
      <xdr:row>39</xdr:row>
      <xdr:rowOff>116125</xdr:rowOff>
    </xdr:from>
    <xdr:to>
      <xdr:col>3</xdr:col>
      <xdr:colOff>619052</xdr:colOff>
      <xdr:row>40</xdr:row>
      <xdr:rowOff>72515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8" name="Písanie rukou 7">
              <a:extLst>
                <a:ext uri="{FF2B5EF4-FFF2-40B4-BE49-F238E27FC236}">
                  <a16:creationId xmlns:a16="http://schemas.microsoft.com/office/drawing/2014/main" id="{9692CCD4-30A3-4E28-9568-6FD1A4126066}"/>
                </a:ext>
              </a:extLst>
            </xdr14:cNvPr>
            <xdr14:cNvContentPartPr/>
          </xdr14:nvContentPartPr>
          <xdr14:nvPr macro=""/>
          <xdr14:xfrm>
            <a:off x="3720240" y="6938266"/>
            <a:ext cx="153000" cy="126720"/>
          </xdr14:xfrm>
        </xdr:contentPart>
      </mc:Choice>
      <mc:Fallback xmlns="">
        <xdr:pic>
          <xdr:nvPicPr>
            <xdr:cNvPr id="142" name="Písanie rukou 141">
              <a:extLst>
                <a:ext uri="{FF2B5EF4-FFF2-40B4-BE49-F238E27FC236}">
                  <a16:creationId xmlns:a16="http://schemas.microsoft.com/office/drawing/2014/main" id="{1F3D4CB7-8CA8-4711-AB30-B963EE4D31E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711240" y="6929626"/>
              <a:ext cx="170640" cy="14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596012</xdr:colOff>
      <xdr:row>38</xdr:row>
      <xdr:rowOff>93134</xdr:rowOff>
    </xdr:from>
    <xdr:to>
      <xdr:col>5</xdr:col>
      <xdr:colOff>144106</xdr:colOff>
      <xdr:row>41</xdr:row>
      <xdr:rowOff>39706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9" name="Písanie rukou 8">
              <a:extLst>
                <a:ext uri="{FF2B5EF4-FFF2-40B4-BE49-F238E27FC236}">
                  <a16:creationId xmlns:a16="http://schemas.microsoft.com/office/drawing/2014/main" id="{E9B3E8F5-5625-423A-95D4-4EBB6480612F}"/>
                </a:ext>
              </a:extLst>
            </xdr14:cNvPr>
            <xdr14:cNvContentPartPr/>
          </xdr14:nvContentPartPr>
          <xdr14:nvPr macro=""/>
          <xdr14:xfrm>
            <a:off x="3850200" y="6744946"/>
            <a:ext cx="1807200" cy="457560"/>
          </xdr14:xfrm>
        </xdr:contentPart>
      </mc:Choice>
      <mc:Fallback xmlns="">
        <xdr:pic>
          <xdr:nvPicPr>
            <xdr:cNvPr id="159" name="Písanie rukou 158">
              <a:extLst>
                <a:ext uri="{FF2B5EF4-FFF2-40B4-BE49-F238E27FC236}">
                  <a16:creationId xmlns:a16="http://schemas.microsoft.com/office/drawing/2014/main" id="{E223A2CE-9201-4856-93A9-CB0CE79F2A39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841202" y="6735946"/>
              <a:ext cx="1824836" cy="47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896040</xdr:colOff>
      <xdr:row>43</xdr:row>
      <xdr:rowOff>169637</xdr:rowOff>
    </xdr:from>
    <xdr:to>
      <xdr:col>5</xdr:col>
      <xdr:colOff>207106</xdr:colOff>
      <xdr:row>62</xdr:row>
      <xdr:rowOff>92018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0" name="Písanie rukou 9">
              <a:extLst>
                <a:ext uri="{FF2B5EF4-FFF2-40B4-BE49-F238E27FC236}">
                  <a16:creationId xmlns:a16="http://schemas.microsoft.com/office/drawing/2014/main" id="{696309B9-073B-402F-9BE0-9B8C079118E0}"/>
                </a:ext>
              </a:extLst>
            </xdr14:cNvPr>
            <xdr14:cNvContentPartPr/>
          </xdr14:nvContentPartPr>
          <xdr14:nvPr macro=""/>
          <xdr14:xfrm>
            <a:off x="896040" y="7673096"/>
            <a:ext cx="4824360" cy="3158640"/>
          </xdr14:xfrm>
        </xdr:contentPart>
      </mc:Choice>
      <mc:Fallback xmlns="">
        <xdr:pic>
          <xdr:nvPicPr>
            <xdr:cNvPr id="198" name="Písanie rukou 197">
              <a:extLst>
                <a:ext uri="{FF2B5EF4-FFF2-40B4-BE49-F238E27FC236}">
                  <a16:creationId xmlns:a16="http://schemas.microsoft.com/office/drawing/2014/main" id="{C658C7AE-50DB-4467-A5C2-3910CE77FB63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87400" y="7664456"/>
              <a:ext cx="4842000" cy="317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196878</xdr:colOff>
      <xdr:row>45</xdr:row>
      <xdr:rowOff>69458</xdr:rowOff>
    </xdr:from>
    <xdr:to>
      <xdr:col>4</xdr:col>
      <xdr:colOff>341449</xdr:colOff>
      <xdr:row>55</xdr:row>
      <xdr:rowOff>99204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1" name="Písanie rukou 10">
              <a:extLst>
                <a:ext uri="{FF2B5EF4-FFF2-40B4-BE49-F238E27FC236}">
                  <a16:creationId xmlns:a16="http://schemas.microsoft.com/office/drawing/2014/main" id="{B667C2DB-425C-4C26-AAE5-301D0DD6E925}"/>
                </a:ext>
              </a:extLst>
            </xdr14:cNvPr>
            <xdr14:cNvContentPartPr/>
          </xdr14:nvContentPartPr>
          <xdr14:nvPr macro=""/>
          <xdr14:xfrm>
            <a:off x="1649160" y="7913576"/>
            <a:ext cx="3398760" cy="1733040"/>
          </xdr14:xfrm>
        </xdr:contentPart>
      </mc:Choice>
      <mc:Fallback xmlns="">
        <xdr:pic>
          <xdr:nvPicPr>
            <xdr:cNvPr id="202" name="Písanie rukou 201">
              <a:extLst>
                <a:ext uri="{FF2B5EF4-FFF2-40B4-BE49-F238E27FC236}">
                  <a16:creationId xmlns:a16="http://schemas.microsoft.com/office/drawing/2014/main" id="{C823B289-A2EA-4820-8397-5E5CD99E763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640160" y="7904936"/>
              <a:ext cx="3416400" cy="175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188972</xdr:colOff>
      <xdr:row>57</xdr:row>
      <xdr:rowOff>11265</xdr:rowOff>
    </xdr:from>
    <xdr:to>
      <xdr:col>2</xdr:col>
      <xdr:colOff>296972</xdr:colOff>
      <xdr:row>58</xdr:row>
      <xdr:rowOff>45776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2" name="Písanie rukou 11">
              <a:extLst>
                <a:ext uri="{FF2B5EF4-FFF2-40B4-BE49-F238E27FC236}">
                  <a16:creationId xmlns:a16="http://schemas.microsoft.com/office/drawing/2014/main" id="{4CA8E46F-A0C2-4AF2-9C9C-333C5E1EB0EA}"/>
                </a:ext>
              </a:extLst>
            </xdr14:cNvPr>
            <xdr14:cNvContentPartPr/>
          </xdr14:nvContentPartPr>
          <xdr14:nvPr macro=""/>
          <xdr14:xfrm>
            <a:off x="2833560" y="9899336"/>
            <a:ext cx="108000" cy="204840"/>
          </xdr14:xfrm>
        </xdr:contentPart>
      </mc:Choice>
      <mc:Fallback xmlns="">
        <xdr:pic>
          <xdr:nvPicPr>
            <xdr:cNvPr id="203" name="Písanie rukou 202">
              <a:extLst>
                <a:ext uri="{FF2B5EF4-FFF2-40B4-BE49-F238E27FC236}">
                  <a16:creationId xmlns:a16="http://schemas.microsoft.com/office/drawing/2014/main" id="{1AFDC023-AC88-4104-B882-E1AC1A62FA6C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824920" y="9890696"/>
              <a:ext cx="125640" cy="22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1370012</xdr:colOff>
      <xdr:row>37</xdr:row>
      <xdr:rowOff>52934</xdr:rowOff>
    </xdr:from>
    <xdr:to>
      <xdr:col>5</xdr:col>
      <xdr:colOff>510586</xdr:colOff>
      <xdr:row>42</xdr:row>
      <xdr:rowOff>2456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3" name="Písanie rukou 12">
              <a:extLst>
                <a:ext uri="{FF2B5EF4-FFF2-40B4-BE49-F238E27FC236}">
                  <a16:creationId xmlns:a16="http://schemas.microsoft.com/office/drawing/2014/main" id="{BC0A6D62-2AC3-4261-A45E-26A2A2EC56A7}"/>
                </a:ext>
              </a:extLst>
            </xdr14:cNvPr>
            <xdr14:cNvContentPartPr/>
          </xdr14:nvContentPartPr>
          <xdr14:nvPr macro=""/>
          <xdr14:xfrm>
            <a:off x="4624200" y="6534416"/>
            <a:ext cx="1399680" cy="798480"/>
          </xdr14:xfrm>
        </xdr:contentPart>
      </mc:Choice>
      <mc:Fallback xmlns="">
        <xdr:pic>
          <xdr:nvPicPr>
            <xdr:cNvPr id="226" name="Písanie rukou 225">
              <a:extLst>
                <a:ext uri="{FF2B5EF4-FFF2-40B4-BE49-F238E27FC236}">
                  <a16:creationId xmlns:a16="http://schemas.microsoft.com/office/drawing/2014/main" id="{220EA4EC-3E80-4C4E-806D-A6833FAF8ED5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615560" y="6525416"/>
              <a:ext cx="1417320" cy="81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806400</xdr:colOff>
      <xdr:row>52</xdr:row>
      <xdr:rowOff>62632</xdr:rowOff>
    </xdr:from>
    <xdr:to>
      <xdr:col>1</xdr:col>
      <xdr:colOff>799878</xdr:colOff>
      <xdr:row>58</xdr:row>
      <xdr:rowOff>13016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4" name="Písanie rukou 13">
              <a:extLst>
                <a:ext uri="{FF2B5EF4-FFF2-40B4-BE49-F238E27FC236}">
                  <a16:creationId xmlns:a16="http://schemas.microsoft.com/office/drawing/2014/main" id="{22015F39-CF65-4E37-818E-66576911DF96}"/>
                </a:ext>
              </a:extLst>
            </xdr14:cNvPr>
            <xdr14:cNvContentPartPr/>
          </xdr14:nvContentPartPr>
          <xdr14:nvPr macro=""/>
          <xdr14:xfrm>
            <a:off x="806400" y="9099056"/>
            <a:ext cx="1445760" cy="972360"/>
          </xdr14:xfrm>
        </xdr:contentPart>
      </mc:Choice>
      <mc:Fallback xmlns="">
        <xdr:pic>
          <xdr:nvPicPr>
            <xdr:cNvPr id="249" name="Písanie rukou 248">
              <a:extLst>
                <a:ext uri="{FF2B5EF4-FFF2-40B4-BE49-F238E27FC236}">
                  <a16:creationId xmlns:a16="http://schemas.microsoft.com/office/drawing/2014/main" id="{D4EB8C64-39F6-46B0-A447-5B2432CCB6FE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797400" y="9090056"/>
              <a:ext cx="1463400" cy="99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1030320</xdr:colOff>
      <xdr:row>52</xdr:row>
      <xdr:rowOff>44632</xdr:rowOff>
    </xdr:from>
    <xdr:to>
      <xdr:col>4</xdr:col>
      <xdr:colOff>170089</xdr:colOff>
      <xdr:row>60</xdr:row>
      <xdr:rowOff>55037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5" name="Písanie rukou 14">
              <a:extLst>
                <a:ext uri="{FF2B5EF4-FFF2-40B4-BE49-F238E27FC236}">
                  <a16:creationId xmlns:a16="http://schemas.microsoft.com/office/drawing/2014/main" id="{EABD1584-0788-482D-8550-B023EBFA4409}"/>
                </a:ext>
              </a:extLst>
            </xdr14:cNvPr>
            <xdr14:cNvContentPartPr/>
          </xdr14:nvContentPartPr>
          <xdr14:nvPr macro=""/>
          <xdr14:xfrm>
            <a:off x="1030320" y="9081056"/>
            <a:ext cx="3846240" cy="1373040"/>
          </xdr14:xfrm>
        </xdr:contentPart>
      </mc:Choice>
      <mc:Fallback xmlns="">
        <xdr:pic>
          <xdr:nvPicPr>
            <xdr:cNvPr id="261" name="Písanie rukou 260">
              <a:extLst>
                <a:ext uri="{FF2B5EF4-FFF2-40B4-BE49-F238E27FC236}">
                  <a16:creationId xmlns:a16="http://schemas.microsoft.com/office/drawing/2014/main" id="{ADF939CD-31AD-49B9-A162-FEE39CA902F9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021680" y="9072416"/>
              <a:ext cx="3863880" cy="139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24226</xdr:colOff>
      <xdr:row>46</xdr:row>
      <xdr:rowOff>142849</xdr:rowOff>
    </xdr:from>
    <xdr:to>
      <xdr:col>5</xdr:col>
      <xdr:colOff>394306</xdr:colOff>
      <xdr:row>48</xdr:row>
      <xdr:rowOff>123670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6" name="Písanie rukou 15">
              <a:extLst>
                <a:ext uri="{FF2B5EF4-FFF2-40B4-BE49-F238E27FC236}">
                  <a16:creationId xmlns:a16="http://schemas.microsoft.com/office/drawing/2014/main" id="{C732A8C5-1E6B-4B47-9312-6EE5D2599A44}"/>
                </a:ext>
              </a:extLst>
            </xdr14:cNvPr>
            <xdr14:cNvContentPartPr/>
          </xdr14:nvContentPartPr>
          <xdr14:nvPr macro=""/>
          <xdr14:xfrm>
            <a:off x="5537520" y="8157296"/>
            <a:ext cx="370080" cy="321480"/>
          </xdr14:xfrm>
        </xdr:contentPart>
      </mc:Choice>
      <mc:Fallback xmlns="">
        <xdr:pic>
          <xdr:nvPicPr>
            <xdr:cNvPr id="262" name="Písanie rukou 261">
              <a:extLst>
                <a:ext uri="{FF2B5EF4-FFF2-40B4-BE49-F238E27FC236}">
                  <a16:creationId xmlns:a16="http://schemas.microsoft.com/office/drawing/2014/main" id="{A75D8CF3-18E2-48DA-AFD4-2560037825E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528880" y="8148656"/>
              <a:ext cx="387720" cy="33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26386</xdr:colOff>
      <xdr:row>47</xdr:row>
      <xdr:rowOff>34080</xdr:rowOff>
    </xdr:from>
    <xdr:to>
      <xdr:col>6</xdr:col>
      <xdr:colOff>1156306</xdr:colOff>
      <xdr:row>51</xdr:row>
      <xdr:rowOff>126042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7" name="Písanie rukou 16">
              <a:extLst>
                <a:ext uri="{FF2B5EF4-FFF2-40B4-BE49-F238E27FC236}">
                  <a16:creationId xmlns:a16="http://schemas.microsoft.com/office/drawing/2014/main" id="{E5DD40E6-709E-46CE-82A3-BAEFB58B80EC}"/>
                </a:ext>
              </a:extLst>
            </xdr14:cNvPr>
            <xdr14:cNvContentPartPr/>
          </xdr14:nvContentPartPr>
          <xdr14:nvPr macro=""/>
          <xdr14:xfrm>
            <a:off x="5539680" y="8218856"/>
            <a:ext cx="1739520" cy="773280"/>
          </xdr14:xfrm>
        </xdr:contentPart>
      </mc:Choice>
      <mc:Fallback xmlns="">
        <xdr:pic>
          <xdr:nvPicPr>
            <xdr:cNvPr id="274" name="Písanie rukou 273">
              <a:extLst>
                <a:ext uri="{FF2B5EF4-FFF2-40B4-BE49-F238E27FC236}">
                  <a16:creationId xmlns:a16="http://schemas.microsoft.com/office/drawing/2014/main" id="{158CDDD2-FE6A-4664-91E6-8D1015DF01A8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530678" y="8210216"/>
              <a:ext cx="1757164" cy="79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545506</xdr:colOff>
      <xdr:row>53</xdr:row>
      <xdr:rowOff>79863</xdr:rowOff>
    </xdr:from>
    <xdr:to>
      <xdr:col>6</xdr:col>
      <xdr:colOff>1353586</xdr:colOff>
      <xdr:row>58</xdr:row>
      <xdr:rowOff>72776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8" name="Písanie rukou 17">
              <a:extLst>
                <a:ext uri="{FF2B5EF4-FFF2-40B4-BE49-F238E27FC236}">
                  <a16:creationId xmlns:a16="http://schemas.microsoft.com/office/drawing/2014/main" id="{AF4F548B-00D6-4EB6-8589-A052974C00BB}"/>
                </a:ext>
              </a:extLst>
            </xdr14:cNvPr>
            <xdr14:cNvContentPartPr/>
          </xdr14:nvContentPartPr>
          <xdr14:nvPr macro=""/>
          <xdr14:xfrm>
            <a:off x="6058800" y="9286616"/>
            <a:ext cx="1417680" cy="844560"/>
          </xdr14:xfrm>
        </xdr:contentPart>
      </mc:Choice>
      <mc:Fallback xmlns="">
        <xdr:pic>
          <xdr:nvPicPr>
            <xdr:cNvPr id="285" name="Písanie rukou 284">
              <a:extLst>
                <a:ext uri="{FF2B5EF4-FFF2-40B4-BE49-F238E27FC236}">
                  <a16:creationId xmlns:a16="http://schemas.microsoft.com/office/drawing/2014/main" id="{D25C260F-3C06-4CA1-8918-8A1FA5D556C2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049800" y="9277976"/>
              <a:ext cx="1435320" cy="86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228353</xdr:colOff>
      <xdr:row>48</xdr:row>
      <xdr:rowOff>125110</xdr:rowOff>
    </xdr:from>
    <xdr:to>
      <xdr:col>8</xdr:col>
      <xdr:colOff>578153</xdr:colOff>
      <xdr:row>50</xdr:row>
      <xdr:rowOff>118171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9" name="Písanie rukou 18">
              <a:extLst>
                <a:ext uri="{FF2B5EF4-FFF2-40B4-BE49-F238E27FC236}">
                  <a16:creationId xmlns:a16="http://schemas.microsoft.com/office/drawing/2014/main" id="{9D9F86EC-A350-4739-A8AE-30611456BDA3}"/>
                </a:ext>
              </a:extLst>
            </xdr14:cNvPr>
            <xdr14:cNvContentPartPr/>
          </xdr14:nvContentPartPr>
          <xdr14:nvPr macro=""/>
          <xdr14:xfrm>
            <a:off x="8395200" y="8480216"/>
            <a:ext cx="959400" cy="333720"/>
          </xdr14:xfrm>
        </xdr:contentPart>
      </mc:Choice>
      <mc:Fallback xmlns="">
        <xdr:pic>
          <xdr:nvPicPr>
            <xdr:cNvPr id="288" name="Písanie rukou 287">
              <a:extLst>
                <a:ext uri="{FF2B5EF4-FFF2-40B4-BE49-F238E27FC236}">
                  <a16:creationId xmlns:a16="http://schemas.microsoft.com/office/drawing/2014/main" id="{D0032878-85E7-4A14-9C4F-ACD6EA5D4CF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386200" y="8471216"/>
              <a:ext cx="977040" cy="35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716393</xdr:colOff>
      <xdr:row>48</xdr:row>
      <xdr:rowOff>9190</xdr:rowOff>
    </xdr:from>
    <xdr:to>
      <xdr:col>8</xdr:col>
      <xdr:colOff>960113</xdr:colOff>
      <xdr:row>50</xdr:row>
      <xdr:rowOff>35731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0" name="Písanie rukou 19">
              <a:extLst>
                <a:ext uri="{FF2B5EF4-FFF2-40B4-BE49-F238E27FC236}">
                  <a16:creationId xmlns:a16="http://schemas.microsoft.com/office/drawing/2014/main" id="{B446B4CE-50C0-461B-A14D-4DED0784EFCA}"/>
                </a:ext>
              </a:extLst>
            </xdr14:cNvPr>
            <xdr14:cNvContentPartPr/>
          </xdr14:nvContentPartPr>
          <xdr14:nvPr macro=""/>
          <xdr14:xfrm>
            <a:off x="9492840" y="8364296"/>
            <a:ext cx="243720" cy="367200"/>
          </xdr14:xfrm>
        </xdr:contentPart>
      </mc:Choice>
      <mc:Fallback xmlns="">
        <xdr:pic>
          <xdr:nvPicPr>
            <xdr:cNvPr id="295" name="Písanie rukou 294">
              <a:extLst>
                <a:ext uri="{FF2B5EF4-FFF2-40B4-BE49-F238E27FC236}">
                  <a16:creationId xmlns:a16="http://schemas.microsoft.com/office/drawing/2014/main" id="{B572E8A5-C919-408C-B7EC-26A0730AA73E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9484200" y="8355296"/>
              <a:ext cx="261360" cy="38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196906</xdr:colOff>
      <xdr:row>41</xdr:row>
      <xdr:rowOff>71096</xdr:rowOff>
    </xdr:from>
    <xdr:to>
      <xdr:col>6</xdr:col>
      <xdr:colOff>1846786</xdr:colOff>
      <xdr:row>45</xdr:row>
      <xdr:rowOff>17978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1" name="Písanie rukou 20">
              <a:extLst>
                <a:ext uri="{FF2B5EF4-FFF2-40B4-BE49-F238E27FC236}">
                  <a16:creationId xmlns:a16="http://schemas.microsoft.com/office/drawing/2014/main" id="{155744AA-AF2E-4C27-A244-5A1A140094AC}"/>
                </a:ext>
              </a:extLst>
            </xdr14:cNvPr>
            <xdr14:cNvContentPartPr/>
          </xdr14:nvContentPartPr>
          <xdr14:nvPr macro=""/>
          <xdr14:xfrm>
            <a:off x="6319800" y="7233896"/>
            <a:ext cx="1649880" cy="628200"/>
          </xdr14:xfrm>
        </xdr:contentPart>
      </mc:Choice>
      <mc:Fallback xmlns="">
        <xdr:pic>
          <xdr:nvPicPr>
            <xdr:cNvPr id="307" name="Písanie rukou 306">
              <a:extLst>
                <a:ext uri="{FF2B5EF4-FFF2-40B4-BE49-F238E27FC236}">
                  <a16:creationId xmlns:a16="http://schemas.microsoft.com/office/drawing/2014/main" id="{9A0394B4-1F48-48DA-A2FA-B16AD068EC5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310800" y="7225256"/>
              <a:ext cx="1667520" cy="64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96953</xdr:colOff>
      <xdr:row>42</xdr:row>
      <xdr:rowOff>98407</xdr:rowOff>
    </xdr:from>
    <xdr:to>
      <xdr:col>8</xdr:col>
      <xdr:colOff>871913</xdr:colOff>
      <xdr:row>45</xdr:row>
      <xdr:rowOff>15098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2" name="Písanie rukou 21">
              <a:extLst>
                <a:ext uri="{FF2B5EF4-FFF2-40B4-BE49-F238E27FC236}">
                  <a16:creationId xmlns:a16="http://schemas.microsoft.com/office/drawing/2014/main" id="{97F3A76D-11E7-48A9-AF5D-901E03177590}"/>
                </a:ext>
              </a:extLst>
            </xdr14:cNvPr>
            <xdr14:cNvContentPartPr/>
          </xdr14:nvContentPartPr>
          <xdr14:nvPr macro=""/>
          <xdr14:xfrm>
            <a:off x="8263800" y="7431536"/>
            <a:ext cx="1384560" cy="427680"/>
          </xdr14:xfrm>
        </xdr:contentPart>
      </mc:Choice>
      <mc:Fallback xmlns="">
        <xdr:pic>
          <xdr:nvPicPr>
            <xdr:cNvPr id="315" name="Písanie rukou 314">
              <a:extLst>
                <a:ext uri="{FF2B5EF4-FFF2-40B4-BE49-F238E27FC236}">
                  <a16:creationId xmlns:a16="http://schemas.microsoft.com/office/drawing/2014/main" id="{E0541859-C6B3-4D6C-B988-1D0FB2394C7E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8255160" y="7422544"/>
              <a:ext cx="1402200" cy="4453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61913</xdr:colOff>
      <xdr:row>53</xdr:row>
      <xdr:rowOff>64743</xdr:rowOff>
    </xdr:from>
    <xdr:to>
      <xdr:col>8</xdr:col>
      <xdr:colOff>251633</xdr:colOff>
      <xdr:row>54</xdr:row>
      <xdr:rowOff>20414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3" name="Písanie rukou 22">
              <a:extLst>
                <a:ext uri="{FF2B5EF4-FFF2-40B4-BE49-F238E27FC236}">
                  <a16:creationId xmlns:a16="http://schemas.microsoft.com/office/drawing/2014/main" id="{8AF33458-685E-434B-B8F3-F804E3AD706B}"/>
                </a:ext>
              </a:extLst>
            </xdr14:cNvPr>
            <xdr14:cNvContentPartPr/>
          </xdr14:nvContentPartPr>
          <xdr14:nvPr macro=""/>
          <xdr14:xfrm>
            <a:off x="8838360" y="9271496"/>
            <a:ext cx="189720" cy="126000"/>
          </xdr14:xfrm>
        </xdr:contentPart>
      </mc:Choice>
      <mc:Fallback xmlns="">
        <xdr:pic>
          <xdr:nvPicPr>
            <xdr:cNvPr id="319" name="Písanie rukou 318">
              <a:extLst>
                <a:ext uri="{FF2B5EF4-FFF2-40B4-BE49-F238E27FC236}">
                  <a16:creationId xmlns:a16="http://schemas.microsoft.com/office/drawing/2014/main" id="{1203776F-728B-4C52-9C53-3FA167B242DC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8829720" y="9262856"/>
              <a:ext cx="207360" cy="14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244193</xdr:colOff>
      <xdr:row>52</xdr:row>
      <xdr:rowOff>80272</xdr:rowOff>
    </xdr:from>
    <xdr:to>
      <xdr:col>7</xdr:col>
      <xdr:colOff>422753</xdr:colOff>
      <xdr:row>54</xdr:row>
      <xdr:rowOff>80174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4" name="Písanie rukou 23">
              <a:extLst>
                <a:ext uri="{FF2B5EF4-FFF2-40B4-BE49-F238E27FC236}">
                  <a16:creationId xmlns:a16="http://schemas.microsoft.com/office/drawing/2014/main" id="{313EB329-9CCC-4D19-85F4-56C4C0B504AD}"/>
                </a:ext>
              </a:extLst>
            </xdr14:cNvPr>
            <xdr14:cNvContentPartPr/>
          </xdr14:nvContentPartPr>
          <xdr14:nvPr macro=""/>
          <xdr14:xfrm>
            <a:off x="8411040" y="9116696"/>
            <a:ext cx="178560" cy="340560"/>
          </xdr14:xfrm>
        </xdr:contentPart>
      </mc:Choice>
      <mc:Fallback xmlns="">
        <xdr:pic>
          <xdr:nvPicPr>
            <xdr:cNvPr id="326" name="Písanie rukou 325">
              <a:extLst>
                <a:ext uri="{FF2B5EF4-FFF2-40B4-BE49-F238E27FC236}">
                  <a16:creationId xmlns:a16="http://schemas.microsoft.com/office/drawing/2014/main" id="{981F881F-562A-4B04-A9B6-BB7A36BC6598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8402040" y="9107696"/>
              <a:ext cx="196200" cy="35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524513</xdr:colOff>
      <xdr:row>52</xdr:row>
      <xdr:rowOff>44632</xdr:rowOff>
    </xdr:from>
    <xdr:to>
      <xdr:col>10</xdr:col>
      <xdr:colOff>318487</xdr:colOff>
      <xdr:row>54</xdr:row>
      <xdr:rowOff>45254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5" name="Písanie rukou 24">
              <a:extLst>
                <a:ext uri="{FF2B5EF4-FFF2-40B4-BE49-F238E27FC236}">
                  <a16:creationId xmlns:a16="http://schemas.microsoft.com/office/drawing/2014/main" id="{ABAAD79B-0F5A-49D7-827B-F8325922ABC7}"/>
                </a:ext>
              </a:extLst>
            </xdr14:cNvPr>
            <xdr14:cNvContentPartPr/>
          </xdr14:nvContentPartPr>
          <xdr14:nvPr macro=""/>
          <xdr14:xfrm>
            <a:off x="9300960" y="9081056"/>
            <a:ext cx="1595880" cy="341280"/>
          </xdr14:xfrm>
        </xdr:contentPart>
      </mc:Choice>
      <mc:Fallback xmlns="">
        <xdr:pic>
          <xdr:nvPicPr>
            <xdr:cNvPr id="341" name="Písanie rukou 340">
              <a:extLst>
                <a:ext uri="{FF2B5EF4-FFF2-40B4-BE49-F238E27FC236}">
                  <a16:creationId xmlns:a16="http://schemas.microsoft.com/office/drawing/2014/main" id="{2C989D67-9E15-4B02-9D11-9C542DCABD8D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9292320" y="9072407"/>
              <a:ext cx="1613520" cy="3589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294035</xdr:colOff>
      <xdr:row>37</xdr:row>
      <xdr:rowOff>159494</xdr:rowOff>
    </xdr:from>
    <xdr:to>
      <xdr:col>16</xdr:col>
      <xdr:colOff>583115</xdr:colOff>
      <xdr:row>40</xdr:row>
      <xdr:rowOff>33345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6" name="Písanie rukou 25">
              <a:extLst>
                <a:ext uri="{FF2B5EF4-FFF2-40B4-BE49-F238E27FC236}">
                  <a16:creationId xmlns:a16="http://schemas.microsoft.com/office/drawing/2014/main" id="{99537EC9-5332-43F7-A6FD-935A2F8BA023}"/>
                </a:ext>
              </a:extLst>
            </xdr14:cNvPr>
            <xdr14:cNvContentPartPr/>
          </xdr14:nvContentPartPr>
          <xdr14:nvPr macro=""/>
          <xdr14:xfrm>
            <a:off x="12701188" y="6640976"/>
            <a:ext cx="2117880" cy="384840"/>
          </xdr14:xfrm>
        </xdr:contentPart>
      </mc:Choice>
      <mc:Fallback xmlns="">
        <xdr:pic>
          <xdr:nvPicPr>
            <xdr:cNvPr id="351" name="Písanie rukou 350">
              <a:extLst>
                <a:ext uri="{FF2B5EF4-FFF2-40B4-BE49-F238E27FC236}">
                  <a16:creationId xmlns:a16="http://schemas.microsoft.com/office/drawing/2014/main" id="{5CD903CE-8DC1-43E6-ACB1-963820807C8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2692548" y="6631976"/>
              <a:ext cx="2135520" cy="40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36035</xdr:colOff>
      <xdr:row>37</xdr:row>
      <xdr:rowOff>80294</xdr:rowOff>
    </xdr:from>
    <xdr:to>
      <xdr:col>12</xdr:col>
      <xdr:colOff>404675</xdr:colOff>
      <xdr:row>39</xdr:row>
      <xdr:rowOff>41315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7" name="Písanie rukou 26">
              <a:extLst>
                <a:ext uri="{FF2B5EF4-FFF2-40B4-BE49-F238E27FC236}">
                  <a16:creationId xmlns:a16="http://schemas.microsoft.com/office/drawing/2014/main" id="{BBC78564-E5CB-412F-A051-4E935CAE5BA3}"/>
                </a:ext>
              </a:extLst>
            </xdr14:cNvPr>
            <xdr14:cNvContentPartPr/>
          </xdr14:nvContentPartPr>
          <xdr14:nvPr macro=""/>
          <xdr14:xfrm>
            <a:off x="11833588" y="6561776"/>
            <a:ext cx="368640" cy="301680"/>
          </xdr14:xfrm>
        </xdr:contentPart>
      </mc:Choice>
      <mc:Fallback xmlns="">
        <xdr:pic>
          <xdr:nvPicPr>
            <xdr:cNvPr id="357" name="Písanie rukou 356">
              <a:extLst>
                <a:ext uri="{FF2B5EF4-FFF2-40B4-BE49-F238E27FC236}">
                  <a16:creationId xmlns:a16="http://schemas.microsoft.com/office/drawing/2014/main" id="{06C1801C-034C-4E25-959E-741755AD0C7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1824588" y="6553136"/>
              <a:ext cx="386280" cy="31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80195</xdr:colOff>
      <xdr:row>38</xdr:row>
      <xdr:rowOff>106884</xdr:rowOff>
    </xdr:from>
    <xdr:to>
      <xdr:col>13</xdr:col>
      <xdr:colOff>80555</xdr:colOff>
      <xdr:row>38</xdr:row>
      <xdr:rowOff>116604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8" name="Písanie rukou 27">
              <a:extLst>
                <a:ext uri="{FF2B5EF4-FFF2-40B4-BE49-F238E27FC236}">
                  <a16:creationId xmlns:a16="http://schemas.microsoft.com/office/drawing/2014/main" id="{33D668F2-7F9D-46E9-945B-EBF1A6628B94}"/>
                </a:ext>
              </a:extLst>
            </xdr14:cNvPr>
            <xdr14:cNvContentPartPr/>
          </xdr14:nvContentPartPr>
          <xdr14:nvPr macro=""/>
          <xdr14:xfrm>
            <a:off x="12487348" y="6758696"/>
            <a:ext cx="360" cy="9720"/>
          </xdr14:xfrm>
        </xdr:contentPart>
      </mc:Choice>
      <mc:Fallback xmlns="">
        <xdr:pic>
          <xdr:nvPicPr>
            <xdr:cNvPr id="365" name="Písanie rukou 364">
              <a:extLst>
                <a:ext uri="{FF2B5EF4-FFF2-40B4-BE49-F238E27FC236}">
                  <a16:creationId xmlns:a16="http://schemas.microsoft.com/office/drawing/2014/main" id="{76621452-09C0-4C02-998D-0F2C94F76E8A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2478348" y="6750056"/>
              <a:ext cx="18000" cy="2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71195</xdr:colOff>
      <xdr:row>39</xdr:row>
      <xdr:rowOff>53555</xdr:rowOff>
    </xdr:from>
    <xdr:to>
      <xdr:col>13</xdr:col>
      <xdr:colOff>71555</xdr:colOff>
      <xdr:row>39</xdr:row>
      <xdr:rowOff>57515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9" name="Písanie rukou 28">
              <a:extLst>
                <a:ext uri="{FF2B5EF4-FFF2-40B4-BE49-F238E27FC236}">
                  <a16:creationId xmlns:a16="http://schemas.microsoft.com/office/drawing/2014/main" id="{FDF22E6E-98DF-4A57-BEC5-DB5D29503C89}"/>
                </a:ext>
              </a:extLst>
            </xdr14:cNvPr>
            <xdr14:cNvContentPartPr/>
          </xdr14:nvContentPartPr>
          <xdr14:nvPr macro=""/>
          <xdr14:xfrm>
            <a:off x="12478348" y="6875696"/>
            <a:ext cx="360" cy="3960"/>
          </xdr14:xfrm>
        </xdr:contentPart>
      </mc:Choice>
      <mc:Fallback xmlns="">
        <xdr:pic>
          <xdr:nvPicPr>
            <xdr:cNvPr id="366" name="Písanie rukou 365">
              <a:extLst>
                <a:ext uri="{FF2B5EF4-FFF2-40B4-BE49-F238E27FC236}">
                  <a16:creationId xmlns:a16="http://schemas.microsoft.com/office/drawing/2014/main" id="{2E3BF16F-AF9E-4B24-8F23-ABC97AAF86F5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2469708" y="6867056"/>
              <a:ext cx="1800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53675</xdr:colOff>
      <xdr:row>40</xdr:row>
      <xdr:rowOff>170145</xdr:rowOff>
    </xdr:from>
    <xdr:to>
      <xdr:col>12</xdr:col>
      <xdr:colOff>414395</xdr:colOff>
      <xdr:row>43</xdr:row>
      <xdr:rowOff>641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30" name="Písanie rukou 29">
              <a:extLst>
                <a:ext uri="{FF2B5EF4-FFF2-40B4-BE49-F238E27FC236}">
                  <a16:creationId xmlns:a16="http://schemas.microsoft.com/office/drawing/2014/main" id="{382042C1-7ACA-4C4D-822C-505BFABCC7FC}"/>
                </a:ext>
              </a:extLst>
            </xdr14:cNvPr>
            <xdr14:cNvContentPartPr/>
          </xdr14:nvContentPartPr>
          <xdr14:nvPr macro=""/>
          <xdr14:xfrm>
            <a:off x="11851228" y="7162616"/>
            <a:ext cx="360720" cy="334440"/>
          </xdr14:xfrm>
        </xdr:contentPart>
      </mc:Choice>
      <mc:Fallback xmlns="">
        <xdr:pic>
          <xdr:nvPicPr>
            <xdr:cNvPr id="367" name="Písanie rukou 366">
              <a:extLst>
                <a:ext uri="{FF2B5EF4-FFF2-40B4-BE49-F238E27FC236}">
                  <a16:creationId xmlns:a16="http://schemas.microsoft.com/office/drawing/2014/main" id="{3B9E5490-580F-45C4-B747-EB393A1A27FA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1842228" y="7153616"/>
              <a:ext cx="378360" cy="35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17555</xdr:colOff>
      <xdr:row>41</xdr:row>
      <xdr:rowOff>152096</xdr:rowOff>
    </xdr:from>
    <xdr:to>
      <xdr:col>13</xdr:col>
      <xdr:colOff>17915</xdr:colOff>
      <xdr:row>42</xdr:row>
      <xdr:rowOff>656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1" name="Písanie rukou 30">
              <a:extLst>
                <a:ext uri="{FF2B5EF4-FFF2-40B4-BE49-F238E27FC236}">
                  <a16:creationId xmlns:a16="http://schemas.microsoft.com/office/drawing/2014/main" id="{383F8C4B-76F0-4F08-B22C-CD91F0802ED6}"/>
                </a:ext>
              </a:extLst>
            </xdr14:cNvPr>
            <xdr14:cNvContentPartPr/>
          </xdr14:nvContentPartPr>
          <xdr14:nvPr macro=""/>
          <xdr14:xfrm>
            <a:off x="12424708" y="7314896"/>
            <a:ext cx="360" cy="16200"/>
          </xdr14:xfrm>
        </xdr:contentPart>
      </mc:Choice>
      <mc:Fallback xmlns="">
        <xdr:pic>
          <xdr:nvPicPr>
            <xdr:cNvPr id="368" name="Písanie rukou 367">
              <a:extLst>
                <a:ext uri="{FF2B5EF4-FFF2-40B4-BE49-F238E27FC236}">
                  <a16:creationId xmlns:a16="http://schemas.microsoft.com/office/drawing/2014/main" id="{2B61DCB0-2311-4AD2-A45F-8C9FD635617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2415708" y="7306256"/>
              <a:ext cx="18000" cy="3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600515</xdr:colOff>
      <xdr:row>42</xdr:row>
      <xdr:rowOff>98407</xdr:rowOff>
    </xdr:from>
    <xdr:to>
      <xdr:col>12</xdr:col>
      <xdr:colOff>600875</xdr:colOff>
      <xdr:row>42</xdr:row>
      <xdr:rowOff>98767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2" name="Písanie rukou 31">
              <a:extLst>
                <a:ext uri="{FF2B5EF4-FFF2-40B4-BE49-F238E27FC236}">
                  <a16:creationId xmlns:a16="http://schemas.microsoft.com/office/drawing/2014/main" id="{90423115-B4B1-4694-9F58-4AC1F8805B1D}"/>
                </a:ext>
              </a:extLst>
            </xdr14:cNvPr>
            <xdr14:cNvContentPartPr/>
          </xdr14:nvContentPartPr>
          <xdr14:nvPr macro=""/>
          <xdr14:xfrm>
            <a:off x="12398068" y="7431536"/>
            <a:ext cx="360" cy="360"/>
          </xdr14:xfrm>
        </xdr:contentPart>
      </mc:Choice>
      <mc:Fallback xmlns="">
        <xdr:pic>
          <xdr:nvPicPr>
            <xdr:cNvPr id="369" name="Písanie rukou 368">
              <a:extLst>
                <a:ext uri="{FF2B5EF4-FFF2-40B4-BE49-F238E27FC236}">
                  <a16:creationId xmlns:a16="http://schemas.microsoft.com/office/drawing/2014/main" id="{AC15577A-4AF4-492A-A43C-DF4F63E0D1E2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2389068" y="7422536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187115</xdr:colOff>
      <xdr:row>41</xdr:row>
      <xdr:rowOff>89456</xdr:rowOff>
    </xdr:from>
    <xdr:to>
      <xdr:col>13</xdr:col>
      <xdr:colOff>502115</xdr:colOff>
      <xdr:row>42</xdr:row>
      <xdr:rowOff>143407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3" name="Písanie rukou 32">
              <a:extLst>
                <a:ext uri="{FF2B5EF4-FFF2-40B4-BE49-F238E27FC236}">
                  <a16:creationId xmlns:a16="http://schemas.microsoft.com/office/drawing/2014/main" id="{9C5848A9-310D-495C-8E10-430942FD3C07}"/>
                </a:ext>
              </a:extLst>
            </xdr14:cNvPr>
            <xdr14:cNvContentPartPr/>
          </xdr14:nvContentPartPr>
          <xdr14:nvPr macro=""/>
          <xdr14:xfrm>
            <a:off x="12594268" y="7252256"/>
            <a:ext cx="315000" cy="224280"/>
          </xdr14:xfrm>
        </xdr:contentPart>
      </mc:Choice>
      <mc:Fallback xmlns="">
        <xdr:pic>
          <xdr:nvPicPr>
            <xdr:cNvPr id="373" name="Písanie rukou 372">
              <a:extLst>
                <a:ext uri="{FF2B5EF4-FFF2-40B4-BE49-F238E27FC236}">
                  <a16:creationId xmlns:a16="http://schemas.microsoft.com/office/drawing/2014/main" id="{DAD88D11-B071-445A-9A57-00BD0C988F69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2585628" y="7243616"/>
              <a:ext cx="332640" cy="24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100235</xdr:colOff>
      <xdr:row>41</xdr:row>
      <xdr:rowOff>80075</xdr:rowOff>
    </xdr:from>
    <xdr:to>
      <xdr:col>14</xdr:col>
      <xdr:colOff>269075</xdr:colOff>
      <xdr:row>41</xdr:row>
      <xdr:rowOff>153515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4" name="Písanie rukou 33">
              <a:extLst>
                <a:ext uri="{FF2B5EF4-FFF2-40B4-BE49-F238E27FC236}">
                  <a16:creationId xmlns:a16="http://schemas.microsoft.com/office/drawing/2014/main" id="{FC873846-72B9-4B91-AA2F-5952F2476BAA}"/>
                </a:ext>
              </a:extLst>
            </xdr14:cNvPr>
            <xdr14:cNvContentPartPr/>
          </xdr14:nvContentPartPr>
          <xdr14:nvPr macro=""/>
          <xdr14:xfrm>
            <a:off x="13116988" y="7242875"/>
            <a:ext cx="168840" cy="73440"/>
          </xdr14:xfrm>
        </xdr:contentPart>
      </mc:Choice>
      <mc:Fallback xmlns="">
        <xdr:pic>
          <xdr:nvPicPr>
            <xdr:cNvPr id="374" name="Písanie rukou 373">
              <a:extLst>
                <a:ext uri="{FF2B5EF4-FFF2-40B4-BE49-F238E27FC236}">
                  <a16:creationId xmlns:a16="http://schemas.microsoft.com/office/drawing/2014/main" id="{F53AFF07-9D0B-4CCA-B092-8F082737F36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3108348" y="7234235"/>
              <a:ext cx="186480" cy="9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41435</xdr:colOff>
      <xdr:row>40</xdr:row>
      <xdr:rowOff>165444</xdr:rowOff>
    </xdr:from>
    <xdr:to>
      <xdr:col>15</xdr:col>
      <xdr:colOff>295235</xdr:colOff>
      <xdr:row>42</xdr:row>
      <xdr:rowOff>90466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5" name="Písanie rukou 34">
              <a:extLst>
                <a:ext uri="{FF2B5EF4-FFF2-40B4-BE49-F238E27FC236}">
                  <a16:creationId xmlns:a16="http://schemas.microsoft.com/office/drawing/2014/main" id="{F4CDD438-9053-4A78-9CE9-426C0164E431}"/>
                </a:ext>
              </a:extLst>
            </xdr14:cNvPr>
            <xdr14:cNvContentPartPr/>
          </xdr14:nvContentPartPr>
          <xdr14:nvPr macro=""/>
          <xdr14:xfrm>
            <a:off x="13667788" y="7157915"/>
            <a:ext cx="253800" cy="265680"/>
          </xdr14:xfrm>
        </xdr:contentPart>
      </mc:Choice>
      <mc:Fallback xmlns="">
        <xdr:pic>
          <xdr:nvPicPr>
            <xdr:cNvPr id="375" name="Písanie rukou 374">
              <a:extLst>
                <a:ext uri="{FF2B5EF4-FFF2-40B4-BE49-F238E27FC236}">
                  <a16:creationId xmlns:a16="http://schemas.microsoft.com/office/drawing/2014/main" id="{31CC8303-24C3-4924-AE44-1AC241103A17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3659148" y="7148915"/>
              <a:ext cx="271440" cy="28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427355</xdr:colOff>
      <xdr:row>40</xdr:row>
      <xdr:rowOff>141684</xdr:rowOff>
    </xdr:from>
    <xdr:to>
      <xdr:col>15</xdr:col>
      <xdr:colOff>583595</xdr:colOff>
      <xdr:row>42</xdr:row>
      <xdr:rowOff>46546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6" name="Písanie rukou 35">
              <a:extLst>
                <a:ext uri="{FF2B5EF4-FFF2-40B4-BE49-F238E27FC236}">
                  <a16:creationId xmlns:a16="http://schemas.microsoft.com/office/drawing/2014/main" id="{FC8B5EFE-AE9D-48CE-BF21-5509425DBFA0}"/>
                </a:ext>
              </a:extLst>
            </xdr14:cNvPr>
            <xdr14:cNvContentPartPr/>
          </xdr14:nvContentPartPr>
          <xdr14:nvPr macro=""/>
          <xdr14:xfrm>
            <a:off x="14053708" y="7134155"/>
            <a:ext cx="156240" cy="245520"/>
          </xdr14:xfrm>
        </xdr:contentPart>
      </mc:Choice>
      <mc:Fallback xmlns="">
        <xdr:pic>
          <xdr:nvPicPr>
            <xdr:cNvPr id="376" name="Písanie rukou 375">
              <a:extLst>
                <a:ext uri="{FF2B5EF4-FFF2-40B4-BE49-F238E27FC236}">
                  <a16:creationId xmlns:a16="http://schemas.microsoft.com/office/drawing/2014/main" id="{77543A94-5AFD-4E0B-9088-C52E53FF13D7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4044708" y="7125155"/>
              <a:ext cx="173880" cy="26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515555</xdr:colOff>
      <xdr:row>40</xdr:row>
      <xdr:rowOff>158604</xdr:rowOff>
    </xdr:from>
    <xdr:to>
      <xdr:col>16</xdr:col>
      <xdr:colOff>279635</xdr:colOff>
      <xdr:row>43</xdr:row>
      <xdr:rowOff>2216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37" name="Písanie rukou 36">
              <a:extLst>
                <a:ext uri="{FF2B5EF4-FFF2-40B4-BE49-F238E27FC236}">
                  <a16:creationId xmlns:a16="http://schemas.microsoft.com/office/drawing/2014/main" id="{2692D29D-EBCC-4575-9273-5CAF25909BA2}"/>
                </a:ext>
              </a:extLst>
            </xdr14:cNvPr>
            <xdr14:cNvContentPartPr/>
          </xdr14:nvContentPartPr>
          <xdr14:nvPr macro=""/>
          <xdr14:xfrm>
            <a:off x="14141908" y="7151075"/>
            <a:ext cx="373680" cy="354600"/>
          </xdr14:xfrm>
        </xdr:contentPart>
      </mc:Choice>
      <mc:Fallback xmlns="">
        <xdr:pic>
          <xdr:nvPicPr>
            <xdr:cNvPr id="379" name="Písanie rukou 378">
              <a:extLst>
                <a:ext uri="{FF2B5EF4-FFF2-40B4-BE49-F238E27FC236}">
                  <a16:creationId xmlns:a16="http://schemas.microsoft.com/office/drawing/2014/main" id="{4354B990-9FF8-434D-B8EC-1D8E26C9512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14133268" y="7142075"/>
              <a:ext cx="391320" cy="37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421115</xdr:colOff>
      <xdr:row>44</xdr:row>
      <xdr:rowOff>80259</xdr:rowOff>
    </xdr:from>
    <xdr:to>
      <xdr:col>18</xdr:col>
      <xdr:colOff>456515</xdr:colOff>
      <xdr:row>53</xdr:row>
      <xdr:rowOff>99254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38" name="Písanie rukou 37">
              <a:extLst>
                <a:ext uri="{FF2B5EF4-FFF2-40B4-BE49-F238E27FC236}">
                  <a16:creationId xmlns:a16="http://schemas.microsoft.com/office/drawing/2014/main" id="{1B484B5C-7597-4EA0-B1ED-2E52A6599530}"/>
                </a:ext>
              </a:extLst>
            </xdr14:cNvPr>
            <xdr14:cNvContentPartPr/>
          </xdr14:nvContentPartPr>
          <xdr14:nvPr macro=""/>
          <xdr14:xfrm>
            <a:off x="12828268" y="7754047"/>
            <a:ext cx="3083400" cy="1551960"/>
          </xdr14:xfrm>
        </xdr:contentPart>
      </mc:Choice>
      <mc:Fallback xmlns="">
        <xdr:pic>
          <xdr:nvPicPr>
            <xdr:cNvPr id="383" name="Písanie rukou 382">
              <a:extLst>
                <a:ext uri="{FF2B5EF4-FFF2-40B4-BE49-F238E27FC236}">
                  <a16:creationId xmlns:a16="http://schemas.microsoft.com/office/drawing/2014/main" id="{F93D09B2-C7AB-4A21-9687-1DC2FB4432B7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2819268" y="7745407"/>
              <a:ext cx="3101040" cy="156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80315</xdr:colOff>
      <xdr:row>54</xdr:row>
      <xdr:rowOff>107125</xdr:rowOff>
    </xdr:from>
    <xdr:to>
      <xdr:col>15</xdr:col>
      <xdr:colOff>80675</xdr:colOff>
      <xdr:row>55</xdr:row>
      <xdr:rowOff>134075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39" name="Písanie rukou 38">
              <a:extLst>
                <a:ext uri="{FF2B5EF4-FFF2-40B4-BE49-F238E27FC236}">
                  <a16:creationId xmlns:a16="http://schemas.microsoft.com/office/drawing/2014/main" id="{601FBCD1-A58D-48EA-983D-575B94C67E71}"/>
                </a:ext>
              </a:extLst>
            </xdr14:cNvPr>
            <xdr14:cNvContentPartPr/>
          </xdr14:nvContentPartPr>
          <xdr14:nvPr macro=""/>
          <xdr14:xfrm>
            <a:off x="13706668" y="9484207"/>
            <a:ext cx="360" cy="197280"/>
          </xdr14:xfrm>
        </xdr:contentPart>
      </mc:Choice>
      <mc:Fallback xmlns="">
        <xdr:pic>
          <xdr:nvPicPr>
            <xdr:cNvPr id="384" name="Písanie rukou 383">
              <a:extLst>
                <a:ext uri="{FF2B5EF4-FFF2-40B4-BE49-F238E27FC236}">
                  <a16:creationId xmlns:a16="http://schemas.microsoft.com/office/drawing/2014/main" id="{49D3CE08-1059-4DC6-8E00-4EC8CE2FA9BA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3697668" y="9475207"/>
              <a:ext cx="18000" cy="21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35315</xdr:colOff>
      <xdr:row>42</xdr:row>
      <xdr:rowOff>142998</xdr:rowOff>
    </xdr:from>
    <xdr:to>
      <xdr:col>19</xdr:col>
      <xdr:colOff>198995</xdr:colOff>
      <xdr:row>45</xdr:row>
      <xdr:rowOff>289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0" name="Písanie rukou 39">
              <a:extLst>
                <a:ext uri="{FF2B5EF4-FFF2-40B4-BE49-F238E27FC236}">
                  <a16:creationId xmlns:a16="http://schemas.microsoft.com/office/drawing/2014/main" id="{AF1BCA76-F928-4D93-94C9-C089139F76C8}"/>
                </a:ext>
              </a:extLst>
            </xdr14:cNvPr>
            <xdr14:cNvContentPartPr/>
          </xdr14:nvContentPartPr>
          <xdr14:nvPr macro=""/>
          <xdr14:xfrm>
            <a:off x="15490468" y="7476127"/>
            <a:ext cx="773280" cy="368280"/>
          </xdr14:xfrm>
        </xdr:contentPart>
      </mc:Choice>
      <mc:Fallback xmlns="">
        <xdr:pic>
          <xdr:nvPicPr>
            <xdr:cNvPr id="417" name="Písanie rukou 416">
              <a:extLst>
                <a:ext uri="{FF2B5EF4-FFF2-40B4-BE49-F238E27FC236}">
                  <a16:creationId xmlns:a16="http://schemas.microsoft.com/office/drawing/2014/main" id="{E3184AAF-F93B-45BB-BB71-F0BEBCD0A06B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5481824" y="7467487"/>
              <a:ext cx="790928" cy="38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367475</xdr:colOff>
      <xdr:row>42</xdr:row>
      <xdr:rowOff>99749</xdr:rowOff>
    </xdr:from>
    <xdr:to>
      <xdr:col>22</xdr:col>
      <xdr:colOff>112955</xdr:colOff>
      <xdr:row>44</xdr:row>
      <xdr:rowOff>94970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1" name="Písanie rukou 40">
              <a:extLst>
                <a:ext uri="{FF2B5EF4-FFF2-40B4-BE49-F238E27FC236}">
                  <a16:creationId xmlns:a16="http://schemas.microsoft.com/office/drawing/2014/main" id="{1855DE4C-58F4-4139-BFD4-2CA2209EE0D9}"/>
                </a:ext>
              </a:extLst>
            </xdr14:cNvPr>
            <xdr14:cNvContentPartPr/>
          </xdr14:nvContentPartPr>
          <xdr14:nvPr macro=""/>
          <xdr14:xfrm>
            <a:off x="16432228" y="7432878"/>
            <a:ext cx="1574280" cy="335880"/>
          </xdr14:xfrm>
        </xdr:contentPart>
      </mc:Choice>
      <mc:Fallback xmlns="">
        <xdr:pic>
          <xdr:nvPicPr>
            <xdr:cNvPr id="427" name="Písanie rukou 426">
              <a:extLst>
                <a:ext uri="{FF2B5EF4-FFF2-40B4-BE49-F238E27FC236}">
                  <a16:creationId xmlns:a16="http://schemas.microsoft.com/office/drawing/2014/main" id="{A82A2E65-EC26-4A43-AC1D-4C8D282D2A78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6423228" y="7424238"/>
              <a:ext cx="1591920" cy="35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52115</xdr:colOff>
      <xdr:row>53</xdr:row>
      <xdr:rowOff>53485</xdr:rowOff>
    </xdr:from>
    <xdr:to>
      <xdr:col>14</xdr:col>
      <xdr:colOff>545915</xdr:colOff>
      <xdr:row>56</xdr:row>
      <xdr:rowOff>135057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2" name="Písanie rukou 41">
              <a:extLst>
                <a:ext uri="{FF2B5EF4-FFF2-40B4-BE49-F238E27FC236}">
                  <a16:creationId xmlns:a16="http://schemas.microsoft.com/office/drawing/2014/main" id="{3E134D92-9E8A-4587-9C2A-6290415302B0}"/>
                </a:ext>
              </a:extLst>
            </xdr14:cNvPr>
            <xdr14:cNvContentPartPr/>
          </xdr14:nvContentPartPr>
          <xdr14:nvPr macro=""/>
          <xdr14:xfrm>
            <a:off x="12459268" y="9260238"/>
            <a:ext cx="1103400" cy="592560"/>
          </xdr14:xfrm>
        </xdr:contentPart>
      </mc:Choice>
      <mc:Fallback xmlns="">
        <xdr:pic>
          <xdr:nvPicPr>
            <xdr:cNvPr id="442" name="Písanie rukou 441">
              <a:extLst>
                <a:ext uri="{FF2B5EF4-FFF2-40B4-BE49-F238E27FC236}">
                  <a16:creationId xmlns:a16="http://schemas.microsoft.com/office/drawing/2014/main" id="{FD6F26D8-AACB-4F8A-B982-048CE602EE4C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2450268" y="9251243"/>
              <a:ext cx="1121040" cy="610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60755</xdr:colOff>
      <xdr:row>50</xdr:row>
      <xdr:rowOff>52553</xdr:rowOff>
    </xdr:from>
    <xdr:to>
      <xdr:col>13</xdr:col>
      <xdr:colOff>306275</xdr:colOff>
      <xdr:row>51</xdr:row>
      <xdr:rowOff>98944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3" name="Písanie rukou 42">
              <a:extLst>
                <a:ext uri="{FF2B5EF4-FFF2-40B4-BE49-F238E27FC236}">
                  <a16:creationId xmlns:a16="http://schemas.microsoft.com/office/drawing/2014/main" id="{00836395-A5A4-4AA8-A0E4-BB920F73F97A}"/>
                </a:ext>
              </a:extLst>
            </xdr14:cNvPr>
            <xdr14:cNvContentPartPr/>
          </xdr14:nvContentPartPr>
          <xdr14:nvPr macro=""/>
          <xdr14:xfrm>
            <a:off x="12467908" y="8748318"/>
            <a:ext cx="245520" cy="216720"/>
          </xdr14:xfrm>
        </xdr:contentPart>
      </mc:Choice>
      <mc:Fallback xmlns="">
        <xdr:pic>
          <xdr:nvPicPr>
            <xdr:cNvPr id="445" name="Písanie rukou 444">
              <a:extLst>
                <a:ext uri="{FF2B5EF4-FFF2-40B4-BE49-F238E27FC236}">
                  <a16:creationId xmlns:a16="http://schemas.microsoft.com/office/drawing/2014/main" id="{64FB304E-884A-4DEC-9EE3-F02AD6D15ADF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2459268" y="8739692"/>
              <a:ext cx="263160" cy="2343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227795</xdr:colOff>
      <xdr:row>51</xdr:row>
      <xdr:rowOff>98224</xdr:rowOff>
    </xdr:from>
    <xdr:to>
      <xdr:col>13</xdr:col>
      <xdr:colOff>411755</xdr:colOff>
      <xdr:row>52</xdr:row>
      <xdr:rowOff>71534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4" name="Písanie rukou 43">
              <a:extLst>
                <a:ext uri="{FF2B5EF4-FFF2-40B4-BE49-F238E27FC236}">
                  <a16:creationId xmlns:a16="http://schemas.microsoft.com/office/drawing/2014/main" id="{95A3644E-0727-40D2-BDC7-4B6A7A00FBF5}"/>
                </a:ext>
              </a:extLst>
            </xdr14:cNvPr>
            <xdr14:cNvContentPartPr/>
          </xdr14:nvContentPartPr>
          <xdr14:nvPr macro=""/>
          <xdr14:xfrm>
            <a:off x="12634948" y="8964318"/>
            <a:ext cx="183960" cy="143640"/>
          </xdr14:xfrm>
        </xdr:contentPart>
      </mc:Choice>
      <mc:Fallback xmlns="">
        <xdr:pic>
          <xdr:nvPicPr>
            <xdr:cNvPr id="448" name="Písanie rukou 447">
              <a:extLst>
                <a:ext uri="{FF2B5EF4-FFF2-40B4-BE49-F238E27FC236}">
                  <a16:creationId xmlns:a16="http://schemas.microsoft.com/office/drawing/2014/main" id="{1050A3E9-4EA9-4FB0-9A0F-361EB6316CF9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2625966" y="8955678"/>
              <a:ext cx="201566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322595</xdr:colOff>
      <xdr:row>47</xdr:row>
      <xdr:rowOff>116062</xdr:rowOff>
    </xdr:from>
    <xdr:to>
      <xdr:col>18</xdr:col>
      <xdr:colOff>465155</xdr:colOff>
      <xdr:row>47</xdr:row>
      <xdr:rowOff>116422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45" name="Písanie rukou 44">
              <a:extLst>
                <a:ext uri="{FF2B5EF4-FFF2-40B4-BE49-F238E27FC236}">
                  <a16:creationId xmlns:a16="http://schemas.microsoft.com/office/drawing/2014/main" id="{BE2009BA-AC58-434A-8C0A-21C4251BA6FA}"/>
                </a:ext>
              </a:extLst>
            </xdr14:cNvPr>
            <xdr14:cNvContentPartPr/>
          </xdr14:nvContentPartPr>
          <xdr14:nvPr macro=""/>
          <xdr14:xfrm>
            <a:off x="15777748" y="8300838"/>
            <a:ext cx="142560" cy="360"/>
          </xdr14:xfrm>
        </xdr:contentPart>
      </mc:Choice>
      <mc:Fallback xmlns="">
        <xdr:pic>
          <xdr:nvPicPr>
            <xdr:cNvPr id="449" name="Písanie rukou 448">
              <a:extLst>
                <a:ext uri="{FF2B5EF4-FFF2-40B4-BE49-F238E27FC236}">
                  <a16:creationId xmlns:a16="http://schemas.microsoft.com/office/drawing/2014/main" id="{57593CBC-8CAD-46BF-8D20-BDC57C5FDDC9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15768748" y="8291838"/>
              <a:ext cx="1602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564155</xdr:colOff>
      <xdr:row>47</xdr:row>
      <xdr:rowOff>53422</xdr:rowOff>
    </xdr:from>
    <xdr:to>
      <xdr:col>19</xdr:col>
      <xdr:colOff>54995</xdr:colOff>
      <xdr:row>48</xdr:row>
      <xdr:rowOff>110972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46" name="Písanie rukou 45">
              <a:extLst>
                <a:ext uri="{FF2B5EF4-FFF2-40B4-BE49-F238E27FC236}">
                  <a16:creationId xmlns:a16="http://schemas.microsoft.com/office/drawing/2014/main" id="{99659768-A0FA-4BC7-B596-370D65EB97BD}"/>
                </a:ext>
              </a:extLst>
            </xdr14:cNvPr>
            <xdr14:cNvContentPartPr/>
          </xdr14:nvContentPartPr>
          <xdr14:nvPr macro=""/>
          <xdr14:xfrm>
            <a:off x="16019308" y="8238198"/>
            <a:ext cx="100440" cy="227880"/>
          </xdr14:xfrm>
        </xdr:contentPart>
      </mc:Choice>
      <mc:Fallback xmlns="">
        <xdr:pic>
          <xdr:nvPicPr>
            <xdr:cNvPr id="450" name="Písanie rukou 449">
              <a:extLst>
                <a:ext uri="{FF2B5EF4-FFF2-40B4-BE49-F238E27FC236}">
                  <a16:creationId xmlns:a16="http://schemas.microsoft.com/office/drawing/2014/main" id="{B61C6C14-3D8D-4FD2-B831-46C56A2FD827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6010668" y="8229198"/>
              <a:ext cx="118080" cy="24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597275</xdr:colOff>
      <xdr:row>47</xdr:row>
      <xdr:rowOff>26782</xdr:rowOff>
    </xdr:from>
    <xdr:to>
      <xdr:col>19</xdr:col>
      <xdr:colOff>36275</xdr:colOff>
      <xdr:row>47</xdr:row>
      <xdr:rowOff>35782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47" name="Písanie rukou 46">
              <a:extLst>
                <a:ext uri="{FF2B5EF4-FFF2-40B4-BE49-F238E27FC236}">
                  <a16:creationId xmlns:a16="http://schemas.microsoft.com/office/drawing/2014/main" id="{8D52C8B7-5ED7-4614-9A8A-0A474C39D646}"/>
                </a:ext>
              </a:extLst>
            </xdr14:cNvPr>
            <xdr14:cNvContentPartPr/>
          </xdr14:nvContentPartPr>
          <xdr14:nvPr macro=""/>
          <xdr14:xfrm>
            <a:off x="16052428" y="8211558"/>
            <a:ext cx="48600" cy="9000"/>
          </xdr14:xfrm>
        </xdr:contentPart>
      </mc:Choice>
      <mc:Fallback xmlns="">
        <xdr:pic>
          <xdr:nvPicPr>
            <xdr:cNvPr id="451" name="Písanie rukou 450">
              <a:extLst>
                <a:ext uri="{FF2B5EF4-FFF2-40B4-BE49-F238E27FC236}">
                  <a16:creationId xmlns:a16="http://schemas.microsoft.com/office/drawing/2014/main" id="{95BF6C71-4BC1-4AD3-9382-6738CC7B0FF3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16043428" y="8202558"/>
              <a:ext cx="6624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107195</xdr:colOff>
      <xdr:row>48</xdr:row>
      <xdr:rowOff>98012</xdr:rowOff>
    </xdr:from>
    <xdr:to>
      <xdr:col>19</xdr:col>
      <xdr:colOff>116915</xdr:colOff>
      <xdr:row>49</xdr:row>
      <xdr:rowOff>1292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48" name="Písanie rukou 47">
              <a:extLst>
                <a:ext uri="{FF2B5EF4-FFF2-40B4-BE49-F238E27FC236}">
                  <a16:creationId xmlns:a16="http://schemas.microsoft.com/office/drawing/2014/main" id="{7B94FA01-8CA3-4909-92C9-3F47D3426313}"/>
                </a:ext>
              </a:extLst>
            </xdr14:cNvPr>
            <xdr14:cNvContentPartPr/>
          </xdr14:nvContentPartPr>
          <xdr14:nvPr macro=""/>
          <xdr14:xfrm>
            <a:off x="16171948" y="8453118"/>
            <a:ext cx="9720" cy="70920"/>
          </xdr14:xfrm>
        </xdr:contentPart>
      </mc:Choice>
      <mc:Fallback xmlns="">
        <xdr:pic>
          <xdr:nvPicPr>
            <xdr:cNvPr id="452" name="Písanie rukou 451">
              <a:extLst>
                <a:ext uri="{FF2B5EF4-FFF2-40B4-BE49-F238E27FC236}">
                  <a16:creationId xmlns:a16="http://schemas.microsoft.com/office/drawing/2014/main" id="{007CFCA3-587D-4A93-B1C5-F66732FB915F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6163308" y="8444478"/>
              <a:ext cx="27360" cy="8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223835</xdr:colOff>
      <xdr:row>47</xdr:row>
      <xdr:rowOff>50902</xdr:rowOff>
    </xdr:from>
    <xdr:to>
      <xdr:col>19</xdr:col>
      <xdr:colOff>360275</xdr:colOff>
      <xdr:row>48</xdr:row>
      <xdr:rowOff>109892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49" name="Písanie rukou 48">
              <a:extLst>
                <a:ext uri="{FF2B5EF4-FFF2-40B4-BE49-F238E27FC236}">
                  <a16:creationId xmlns:a16="http://schemas.microsoft.com/office/drawing/2014/main" id="{208B05FE-66EE-444B-9067-552D44CF120A}"/>
                </a:ext>
              </a:extLst>
            </xdr14:cNvPr>
            <xdr14:cNvContentPartPr/>
          </xdr14:nvContentPartPr>
          <xdr14:nvPr macro=""/>
          <xdr14:xfrm>
            <a:off x="16288588" y="8235678"/>
            <a:ext cx="136440" cy="229320"/>
          </xdr14:xfrm>
        </xdr:contentPart>
      </mc:Choice>
      <mc:Fallback xmlns="">
        <xdr:pic>
          <xdr:nvPicPr>
            <xdr:cNvPr id="453" name="Písanie rukou 452">
              <a:extLst>
                <a:ext uri="{FF2B5EF4-FFF2-40B4-BE49-F238E27FC236}">
                  <a16:creationId xmlns:a16="http://schemas.microsoft.com/office/drawing/2014/main" id="{8CF4AA26-CED7-44D3-BEA6-35145A9982B7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6279588" y="8227038"/>
              <a:ext cx="154080" cy="24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402755</xdr:colOff>
      <xdr:row>47</xdr:row>
      <xdr:rowOff>35422</xdr:rowOff>
    </xdr:from>
    <xdr:to>
      <xdr:col>19</xdr:col>
      <xdr:colOff>567275</xdr:colOff>
      <xdr:row>48</xdr:row>
      <xdr:rowOff>113132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50" name="Písanie rukou 49">
              <a:extLst>
                <a:ext uri="{FF2B5EF4-FFF2-40B4-BE49-F238E27FC236}">
                  <a16:creationId xmlns:a16="http://schemas.microsoft.com/office/drawing/2014/main" id="{8694B9B0-959A-4022-B1C6-F70A6A2B7D63}"/>
                </a:ext>
              </a:extLst>
            </xdr14:cNvPr>
            <xdr14:cNvContentPartPr/>
          </xdr14:nvContentPartPr>
          <xdr14:nvPr macro=""/>
          <xdr14:xfrm>
            <a:off x="16467508" y="8220198"/>
            <a:ext cx="164520" cy="248040"/>
          </xdr14:xfrm>
        </xdr:contentPart>
      </mc:Choice>
      <mc:Fallback xmlns="">
        <xdr:pic>
          <xdr:nvPicPr>
            <xdr:cNvPr id="454" name="Písanie rukou 453">
              <a:extLst>
                <a:ext uri="{FF2B5EF4-FFF2-40B4-BE49-F238E27FC236}">
                  <a16:creationId xmlns:a16="http://schemas.microsoft.com/office/drawing/2014/main" id="{571072BB-8D98-47CD-A8DD-70AA5F80985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6458868" y="8211558"/>
              <a:ext cx="182160" cy="26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466115</xdr:colOff>
      <xdr:row>47</xdr:row>
      <xdr:rowOff>135862</xdr:rowOff>
    </xdr:from>
    <xdr:to>
      <xdr:col>20</xdr:col>
      <xdr:colOff>63515</xdr:colOff>
      <xdr:row>47</xdr:row>
      <xdr:rowOff>153142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51" name="Písanie rukou 50">
              <a:extLst>
                <a:ext uri="{FF2B5EF4-FFF2-40B4-BE49-F238E27FC236}">
                  <a16:creationId xmlns:a16="http://schemas.microsoft.com/office/drawing/2014/main" id="{05D27733-7865-42D0-8866-42E36CFE5510}"/>
                </a:ext>
              </a:extLst>
            </xdr14:cNvPr>
            <xdr14:cNvContentPartPr/>
          </xdr14:nvContentPartPr>
          <xdr14:nvPr macro=""/>
          <xdr14:xfrm>
            <a:off x="16530868" y="8320638"/>
            <a:ext cx="207000" cy="17280"/>
          </xdr14:xfrm>
        </xdr:contentPart>
      </mc:Choice>
      <mc:Fallback xmlns="">
        <xdr:pic>
          <xdr:nvPicPr>
            <xdr:cNvPr id="455" name="Písanie rukou 454">
              <a:extLst>
                <a:ext uri="{FF2B5EF4-FFF2-40B4-BE49-F238E27FC236}">
                  <a16:creationId xmlns:a16="http://schemas.microsoft.com/office/drawing/2014/main" id="{2592D2E6-2538-4CF7-A4CE-D7D08AC28953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6521868" y="8311638"/>
              <a:ext cx="22464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267861</xdr:colOff>
      <xdr:row>46</xdr:row>
      <xdr:rowOff>71111</xdr:rowOff>
    </xdr:from>
    <xdr:to>
      <xdr:col>20</xdr:col>
      <xdr:colOff>532821</xdr:colOff>
      <xdr:row>49</xdr:row>
      <xdr:rowOff>64123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52" name="Písanie rukou 51">
              <a:extLst>
                <a:ext uri="{FF2B5EF4-FFF2-40B4-BE49-F238E27FC236}">
                  <a16:creationId xmlns:a16="http://schemas.microsoft.com/office/drawing/2014/main" id="{8464EAA5-6041-4D1C-B79C-6971D0C538F6}"/>
                </a:ext>
              </a:extLst>
            </xdr14:cNvPr>
            <xdr14:cNvContentPartPr/>
          </xdr14:nvContentPartPr>
          <xdr14:nvPr macro=""/>
          <xdr14:xfrm>
            <a:off x="16942214" y="8085558"/>
            <a:ext cx="264960" cy="504000"/>
          </xdr14:xfrm>
        </xdr:contentPart>
      </mc:Choice>
      <mc:Fallback xmlns="">
        <xdr:pic>
          <xdr:nvPicPr>
            <xdr:cNvPr id="461" name="Písanie rukou 460">
              <a:extLst>
                <a:ext uri="{FF2B5EF4-FFF2-40B4-BE49-F238E27FC236}">
                  <a16:creationId xmlns:a16="http://schemas.microsoft.com/office/drawing/2014/main" id="{444498BA-84CD-4110-9985-D714F46A5D58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6933214" y="8076918"/>
              <a:ext cx="282600" cy="52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30141</xdr:colOff>
      <xdr:row>45</xdr:row>
      <xdr:rowOff>98520</xdr:rowOff>
    </xdr:from>
    <xdr:to>
      <xdr:col>25</xdr:col>
      <xdr:colOff>861</xdr:colOff>
      <xdr:row>49</xdr:row>
      <xdr:rowOff>29563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53" name="Písanie rukou 52">
              <a:extLst>
                <a:ext uri="{FF2B5EF4-FFF2-40B4-BE49-F238E27FC236}">
                  <a16:creationId xmlns:a16="http://schemas.microsoft.com/office/drawing/2014/main" id="{A280019B-6FCF-4F24-9ED3-0FB8773B1D9E}"/>
                </a:ext>
              </a:extLst>
            </xdr14:cNvPr>
            <xdr14:cNvContentPartPr/>
          </xdr14:nvContentPartPr>
          <xdr14:nvPr macro=""/>
          <xdr14:xfrm>
            <a:off x="19142894" y="7942638"/>
            <a:ext cx="580320" cy="612360"/>
          </xdr14:xfrm>
        </xdr:contentPart>
      </mc:Choice>
      <mc:Fallback xmlns="">
        <xdr:pic>
          <xdr:nvPicPr>
            <xdr:cNvPr id="469" name="Písanie rukou 468">
              <a:extLst>
                <a:ext uri="{FF2B5EF4-FFF2-40B4-BE49-F238E27FC236}">
                  <a16:creationId xmlns:a16="http://schemas.microsoft.com/office/drawing/2014/main" id="{69A56886-4E0B-4E74-9D7B-5BD56223EB80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19134254" y="7933638"/>
              <a:ext cx="597960" cy="63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255861</xdr:colOff>
      <xdr:row>47</xdr:row>
      <xdr:rowOff>22462</xdr:rowOff>
    </xdr:from>
    <xdr:to>
      <xdr:col>23</xdr:col>
      <xdr:colOff>377301</xdr:colOff>
      <xdr:row>49</xdr:row>
      <xdr:rowOff>88603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54" name="Písanie rukou 53">
              <a:extLst>
                <a:ext uri="{FF2B5EF4-FFF2-40B4-BE49-F238E27FC236}">
                  <a16:creationId xmlns:a16="http://schemas.microsoft.com/office/drawing/2014/main" id="{2F9D2471-17ED-4CAD-9F91-0F00E6948CA3}"/>
                </a:ext>
              </a:extLst>
            </xdr14:cNvPr>
            <xdr14:cNvContentPartPr/>
          </xdr14:nvContentPartPr>
          <xdr14:nvPr macro=""/>
          <xdr14:xfrm>
            <a:off x="17539814" y="8207238"/>
            <a:ext cx="1340640" cy="406800"/>
          </xdr14:xfrm>
        </xdr:contentPart>
      </mc:Choice>
      <mc:Fallback xmlns="">
        <xdr:pic>
          <xdr:nvPicPr>
            <xdr:cNvPr id="470" name="Písanie rukou 469">
              <a:extLst>
                <a:ext uri="{FF2B5EF4-FFF2-40B4-BE49-F238E27FC236}">
                  <a16:creationId xmlns:a16="http://schemas.microsoft.com/office/drawing/2014/main" id="{7B06447F-BF58-445F-A26A-F3CA5511ED5F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17531174" y="8198590"/>
              <a:ext cx="1358280" cy="4244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53555</xdr:colOff>
      <xdr:row>44</xdr:row>
      <xdr:rowOff>116259</xdr:rowOff>
    </xdr:from>
    <xdr:to>
      <xdr:col>23</xdr:col>
      <xdr:colOff>475518</xdr:colOff>
      <xdr:row>62</xdr:row>
      <xdr:rowOff>80449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55" name="Písanie rukou 54">
              <a:extLst>
                <a:ext uri="{FF2B5EF4-FFF2-40B4-BE49-F238E27FC236}">
                  <a16:creationId xmlns:a16="http://schemas.microsoft.com/office/drawing/2014/main" id="{BFA68DF8-54D8-4B41-BF93-F1C67A4E0168}"/>
                </a:ext>
              </a:extLst>
            </xdr14:cNvPr>
            <xdr14:cNvContentPartPr/>
          </xdr14:nvContentPartPr>
          <xdr14:nvPr macro=""/>
          <xdr14:xfrm>
            <a:off x="12460708" y="7790047"/>
            <a:ext cx="6517963" cy="3030120"/>
          </xdr14:xfrm>
        </xdr:contentPart>
      </mc:Choice>
      <mc:Fallback xmlns="">
        <xdr:pic>
          <xdr:nvPicPr>
            <xdr:cNvPr id="482" name="Písanie rukou 481">
              <a:extLst>
                <a:ext uri="{FF2B5EF4-FFF2-40B4-BE49-F238E27FC236}">
                  <a16:creationId xmlns:a16="http://schemas.microsoft.com/office/drawing/2014/main" id="{A8A2CA9D-15B6-4D75-9BC4-C281C5A869FC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2451708" y="7781407"/>
              <a:ext cx="6535602" cy="304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397998</xdr:colOff>
      <xdr:row>57</xdr:row>
      <xdr:rowOff>17647</xdr:rowOff>
    </xdr:from>
    <xdr:to>
      <xdr:col>21</xdr:col>
      <xdr:colOff>519678</xdr:colOff>
      <xdr:row>58</xdr:row>
      <xdr:rowOff>97878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56" name="Písanie rukou 55">
              <a:extLst>
                <a:ext uri="{FF2B5EF4-FFF2-40B4-BE49-F238E27FC236}">
                  <a16:creationId xmlns:a16="http://schemas.microsoft.com/office/drawing/2014/main" id="{ABA636BE-4174-4AE8-8242-6D9F86045D77}"/>
                </a:ext>
              </a:extLst>
            </xdr14:cNvPr>
            <xdr14:cNvContentPartPr/>
          </xdr14:nvContentPartPr>
          <xdr14:nvPr macro=""/>
          <xdr14:xfrm>
            <a:off x="17681951" y="9905718"/>
            <a:ext cx="121680" cy="250560"/>
          </xdr14:xfrm>
        </xdr:contentPart>
      </mc:Choice>
      <mc:Fallback xmlns="">
        <xdr:pic>
          <xdr:nvPicPr>
            <xdr:cNvPr id="483" name="Písanie rukou 482">
              <a:extLst>
                <a:ext uri="{FF2B5EF4-FFF2-40B4-BE49-F238E27FC236}">
                  <a16:creationId xmlns:a16="http://schemas.microsoft.com/office/drawing/2014/main" id="{A21317D4-14D0-473A-8B29-3B3AEE408ED2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7673311" y="9896718"/>
              <a:ext cx="139320" cy="26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536598</xdr:colOff>
      <xdr:row>57</xdr:row>
      <xdr:rowOff>44647</xdr:rowOff>
    </xdr:from>
    <xdr:to>
      <xdr:col>21</xdr:col>
      <xdr:colOff>573678</xdr:colOff>
      <xdr:row>58</xdr:row>
      <xdr:rowOff>107958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57" name="Písanie rukou 56">
              <a:extLst>
                <a:ext uri="{FF2B5EF4-FFF2-40B4-BE49-F238E27FC236}">
                  <a16:creationId xmlns:a16="http://schemas.microsoft.com/office/drawing/2014/main" id="{6F492A8F-DB4E-4794-8443-9406AD6EF770}"/>
                </a:ext>
              </a:extLst>
            </xdr14:cNvPr>
            <xdr14:cNvContentPartPr/>
          </xdr14:nvContentPartPr>
          <xdr14:nvPr macro=""/>
          <xdr14:xfrm>
            <a:off x="17820551" y="9932718"/>
            <a:ext cx="37080" cy="233640"/>
          </xdr14:xfrm>
        </xdr:contentPart>
      </mc:Choice>
      <mc:Fallback xmlns="">
        <xdr:pic>
          <xdr:nvPicPr>
            <xdr:cNvPr id="484" name="Písanie rukou 483">
              <a:extLst>
                <a:ext uri="{FF2B5EF4-FFF2-40B4-BE49-F238E27FC236}">
                  <a16:creationId xmlns:a16="http://schemas.microsoft.com/office/drawing/2014/main" id="{3D267886-047E-4D25-807C-590DD12C8A28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7811911" y="9923718"/>
              <a:ext cx="54720" cy="2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421038</xdr:colOff>
      <xdr:row>58</xdr:row>
      <xdr:rowOff>35598</xdr:rowOff>
    </xdr:from>
    <xdr:to>
      <xdr:col>21</xdr:col>
      <xdr:colOff>600318</xdr:colOff>
      <xdr:row>58</xdr:row>
      <xdr:rowOff>82398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58" name="Písanie rukou 57">
              <a:extLst>
                <a:ext uri="{FF2B5EF4-FFF2-40B4-BE49-F238E27FC236}">
                  <a16:creationId xmlns:a16="http://schemas.microsoft.com/office/drawing/2014/main" id="{0A487530-E448-49F4-B792-52EEC2651AEB}"/>
                </a:ext>
              </a:extLst>
            </xdr14:cNvPr>
            <xdr14:cNvContentPartPr/>
          </xdr14:nvContentPartPr>
          <xdr14:nvPr macro=""/>
          <xdr14:xfrm>
            <a:off x="17704991" y="10093998"/>
            <a:ext cx="179280" cy="46800"/>
          </xdr14:xfrm>
        </xdr:contentPart>
      </mc:Choice>
      <mc:Fallback xmlns="">
        <xdr:pic>
          <xdr:nvPicPr>
            <xdr:cNvPr id="485" name="Písanie rukou 484">
              <a:extLst>
                <a:ext uri="{FF2B5EF4-FFF2-40B4-BE49-F238E27FC236}">
                  <a16:creationId xmlns:a16="http://schemas.microsoft.com/office/drawing/2014/main" id="{F5AF33BD-26C2-48C8-B4DF-13F0089FD091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17695991" y="10085358"/>
              <a:ext cx="19692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96198</xdr:colOff>
      <xdr:row>58</xdr:row>
      <xdr:rowOff>70158</xdr:rowOff>
    </xdr:from>
    <xdr:to>
      <xdr:col>22</xdr:col>
      <xdr:colOff>262518</xdr:colOff>
      <xdr:row>59</xdr:row>
      <xdr:rowOff>11429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59" name="Písanie rukou 58">
              <a:extLst>
                <a:ext uri="{FF2B5EF4-FFF2-40B4-BE49-F238E27FC236}">
                  <a16:creationId xmlns:a16="http://schemas.microsoft.com/office/drawing/2014/main" id="{04325BB7-9F87-4A92-B6B2-2560CF4D92D7}"/>
                </a:ext>
              </a:extLst>
            </xdr14:cNvPr>
            <xdr14:cNvContentPartPr/>
          </xdr14:nvContentPartPr>
          <xdr14:nvPr macro=""/>
          <xdr14:xfrm>
            <a:off x="17989751" y="10128558"/>
            <a:ext cx="166320" cy="111600"/>
          </xdr14:xfrm>
        </xdr:contentPart>
      </mc:Choice>
      <mc:Fallback xmlns="">
        <xdr:pic>
          <xdr:nvPicPr>
            <xdr:cNvPr id="486" name="Písanie rukou 485">
              <a:extLst>
                <a:ext uri="{FF2B5EF4-FFF2-40B4-BE49-F238E27FC236}">
                  <a16:creationId xmlns:a16="http://schemas.microsoft.com/office/drawing/2014/main" id="{927CBDBA-D668-4557-BA7B-5913B4F78C92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17980751" y="10119918"/>
              <a:ext cx="183960" cy="12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35407</xdr:colOff>
      <xdr:row>29</xdr:row>
      <xdr:rowOff>151913</xdr:rowOff>
    </xdr:from>
    <xdr:to>
      <xdr:col>17</xdr:col>
      <xdr:colOff>87247</xdr:colOff>
      <xdr:row>29</xdr:row>
      <xdr:rowOff>161273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60" name="Písanie rukou 59">
              <a:extLst>
                <a:ext uri="{FF2B5EF4-FFF2-40B4-BE49-F238E27FC236}">
                  <a16:creationId xmlns:a16="http://schemas.microsoft.com/office/drawing/2014/main" id="{D85572FC-D051-48E6-A1AC-8BF5A386590A}"/>
                </a:ext>
              </a:extLst>
            </xdr14:cNvPr>
            <xdr14:cNvContentPartPr/>
          </xdr14:nvContentPartPr>
          <xdr14:nvPr macro=""/>
          <xdr14:xfrm>
            <a:off x="14880960" y="5270760"/>
            <a:ext cx="51840" cy="9360"/>
          </xdr14:xfrm>
        </xdr:contentPart>
      </mc:Choice>
      <mc:Fallback xmlns="">
        <xdr:pic>
          <xdr:nvPicPr>
            <xdr:cNvPr id="501" name="Písanie rukou 500">
              <a:extLst>
                <a:ext uri="{FF2B5EF4-FFF2-40B4-BE49-F238E27FC236}">
                  <a16:creationId xmlns:a16="http://schemas.microsoft.com/office/drawing/2014/main" id="{4E2A107F-3F6F-45D1-8406-EEF0B5BF8B45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14872320" y="5262120"/>
              <a:ext cx="69480" cy="2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600558</xdr:colOff>
      <xdr:row>57</xdr:row>
      <xdr:rowOff>124927</xdr:rowOff>
    </xdr:from>
    <xdr:to>
      <xdr:col>25</xdr:col>
      <xdr:colOff>437301</xdr:colOff>
      <xdr:row>59</xdr:row>
      <xdr:rowOff>72269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61" name="Písanie rukou 60">
              <a:extLst>
                <a:ext uri="{FF2B5EF4-FFF2-40B4-BE49-F238E27FC236}">
                  <a16:creationId xmlns:a16="http://schemas.microsoft.com/office/drawing/2014/main" id="{036A596F-CE99-4744-ADFB-0FB27A46582C}"/>
                </a:ext>
              </a:extLst>
            </xdr14:cNvPr>
            <xdr14:cNvContentPartPr/>
          </xdr14:nvContentPartPr>
          <xdr14:nvPr macro=""/>
          <xdr14:xfrm>
            <a:off x="18494111" y="10012998"/>
            <a:ext cx="1665543" cy="288000"/>
          </xdr14:xfrm>
        </xdr:contentPart>
      </mc:Choice>
      <mc:Fallback xmlns="">
        <xdr:pic>
          <xdr:nvPicPr>
            <xdr:cNvPr id="512" name="Písanie rukou 511">
              <a:extLst>
                <a:ext uri="{FF2B5EF4-FFF2-40B4-BE49-F238E27FC236}">
                  <a16:creationId xmlns:a16="http://schemas.microsoft.com/office/drawing/2014/main" id="{017A8BA9-00DF-4803-975E-FCC7BF069A5A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8485112" y="10004358"/>
              <a:ext cx="1683181" cy="30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519360</xdr:colOff>
      <xdr:row>36</xdr:row>
      <xdr:rowOff>44245</xdr:rowOff>
    </xdr:from>
    <xdr:to>
      <xdr:col>34</xdr:col>
      <xdr:colOff>125760</xdr:colOff>
      <xdr:row>58</xdr:row>
      <xdr:rowOff>153678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62" name="Písanie rukou 61">
              <a:extLst>
                <a:ext uri="{FF2B5EF4-FFF2-40B4-BE49-F238E27FC236}">
                  <a16:creationId xmlns:a16="http://schemas.microsoft.com/office/drawing/2014/main" id="{DFC08ED4-4DE4-4114-90FB-432B0B1CF748}"/>
                </a:ext>
              </a:extLst>
            </xdr14:cNvPr>
            <xdr14:cNvContentPartPr/>
          </xdr14:nvContentPartPr>
          <xdr14:nvPr macro=""/>
          <xdr14:xfrm>
            <a:off x="25118513" y="6355398"/>
            <a:ext cx="216000" cy="3856680"/>
          </xdr14:xfrm>
        </xdr:contentPart>
      </mc:Choice>
      <mc:Fallback xmlns="">
        <xdr:pic>
          <xdr:nvPicPr>
            <xdr:cNvPr id="513" name="Písanie rukou 512">
              <a:extLst>
                <a:ext uri="{FF2B5EF4-FFF2-40B4-BE49-F238E27FC236}">
                  <a16:creationId xmlns:a16="http://schemas.microsoft.com/office/drawing/2014/main" id="{BFBC8DCB-2104-4A59-B3FE-DADB1769D1E3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25109873" y="6346758"/>
              <a:ext cx="233640" cy="387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600360</xdr:colOff>
      <xdr:row>36</xdr:row>
      <xdr:rowOff>43885</xdr:rowOff>
    </xdr:from>
    <xdr:to>
      <xdr:col>38</xdr:col>
      <xdr:colOff>598800</xdr:colOff>
      <xdr:row>57</xdr:row>
      <xdr:rowOff>45063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63" name="Písanie rukou 62">
              <a:extLst>
                <a:ext uri="{FF2B5EF4-FFF2-40B4-BE49-F238E27FC236}">
                  <a16:creationId xmlns:a16="http://schemas.microsoft.com/office/drawing/2014/main" id="{F8BE6461-6B1D-446E-993B-90DA5ADDC8EF}"/>
                </a:ext>
              </a:extLst>
            </xdr14:cNvPr>
            <xdr14:cNvContentPartPr/>
          </xdr14:nvContentPartPr>
          <xdr14:nvPr macro=""/>
          <xdr14:xfrm>
            <a:off x="22151513" y="6355038"/>
            <a:ext cx="6094440" cy="3578096"/>
          </xdr14:xfrm>
        </xdr:contentPart>
      </mc:Choice>
      <mc:Fallback xmlns="">
        <xdr:pic>
          <xdr:nvPicPr>
            <xdr:cNvPr id="541" name="Písanie rukou 540">
              <a:extLst>
                <a:ext uri="{FF2B5EF4-FFF2-40B4-BE49-F238E27FC236}">
                  <a16:creationId xmlns:a16="http://schemas.microsoft.com/office/drawing/2014/main" id="{D31BE4AB-1110-432F-B2CB-4B1670A1AB5C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22142513" y="6346039"/>
              <a:ext cx="6112080" cy="35957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170040</xdr:colOff>
      <xdr:row>38</xdr:row>
      <xdr:rowOff>160842</xdr:rowOff>
    </xdr:from>
    <xdr:to>
      <xdr:col>36</xdr:col>
      <xdr:colOff>414480</xdr:colOff>
      <xdr:row>41</xdr:row>
      <xdr:rowOff>20294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64" name="Písanie rukou 63">
              <a:extLst>
                <a:ext uri="{FF2B5EF4-FFF2-40B4-BE49-F238E27FC236}">
                  <a16:creationId xmlns:a16="http://schemas.microsoft.com/office/drawing/2014/main" id="{102E3335-B887-4976-8646-E6C9AC1EE9DB}"/>
                </a:ext>
              </a:extLst>
            </xdr14:cNvPr>
            <xdr14:cNvContentPartPr/>
          </xdr14:nvContentPartPr>
          <xdr14:nvPr macro=""/>
          <xdr14:xfrm>
            <a:off x="26597993" y="6812654"/>
            <a:ext cx="244440" cy="370440"/>
          </xdr14:xfrm>
        </xdr:contentPart>
      </mc:Choice>
      <mc:Fallback xmlns="">
        <xdr:pic>
          <xdr:nvPicPr>
            <xdr:cNvPr id="548" name="Písanie rukou 547">
              <a:extLst>
                <a:ext uri="{FF2B5EF4-FFF2-40B4-BE49-F238E27FC236}">
                  <a16:creationId xmlns:a16="http://schemas.microsoft.com/office/drawing/2014/main" id="{7D21E921-262F-4615-9193-B816A68BF185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26588993" y="6803654"/>
              <a:ext cx="262080" cy="38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609240</xdr:colOff>
      <xdr:row>39</xdr:row>
      <xdr:rowOff>88793</xdr:rowOff>
    </xdr:from>
    <xdr:to>
      <xdr:col>37</xdr:col>
      <xdr:colOff>605160</xdr:colOff>
      <xdr:row>40</xdr:row>
      <xdr:rowOff>144903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65" name="Písanie rukou 64">
              <a:extLst>
                <a:ext uri="{FF2B5EF4-FFF2-40B4-BE49-F238E27FC236}">
                  <a16:creationId xmlns:a16="http://schemas.microsoft.com/office/drawing/2014/main" id="{12150675-4ED1-4631-80FD-4971F476846B}"/>
                </a:ext>
              </a:extLst>
            </xdr14:cNvPr>
            <xdr14:cNvContentPartPr/>
          </xdr14:nvContentPartPr>
          <xdr14:nvPr macro=""/>
          <xdr14:xfrm>
            <a:off x="27037193" y="6910934"/>
            <a:ext cx="605520" cy="226440"/>
          </xdr14:xfrm>
        </xdr:contentPart>
      </mc:Choice>
      <mc:Fallback xmlns="">
        <xdr:pic>
          <xdr:nvPicPr>
            <xdr:cNvPr id="554" name="Písanie rukou 553">
              <a:extLst>
                <a:ext uri="{FF2B5EF4-FFF2-40B4-BE49-F238E27FC236}">
                  <a16:creationId xmlns:a16="http://schemas.microsoft.com/office/drawing/2014/main" id="{61433305-1D9F-4365-B256-74663BCA23F7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27028198" y="6902280"/>
              <a:ext cx="623150" cy="2441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223800</xdr:colOff>
      <xdr:row>39</xdr:row>
      <xdr:rowOff>17513</xdr:rowOff>
    </xdr:from>
    <xdr:to>
      <xdr:col>39</xdr:col>
      <xdr:colOff>414480</xdr:colOff>
      <xdr:row>41</xdr:row>
      <xdr:rowOff>14894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66" name="Písanie rukou 65">
              <a:extLst>
                <a:ext uri="{FF2B5EF4-FFF2-40B4-BE49-F238E27FC236}">
                  <a16:creationId xmlns:a16="http://schemas.microsoft.com/office/drawing/2014/main" id="{FDA2C663-8BB4-49E3-9CD0-8D5B96A0ED12}"/>
                </a:ext>
              </a:extLst>
            </xdr14:cNvPr>
            <xdr14:cNvContentPartPr/>
          </xdr14:nvContentPartPr>
          <xdr14:nvPr macro=""/>
          <xdr14:xfrm>
            <a:off x="27870953" y="6839654"/>
            <a:ext cx="800280" cy="338040"/>
          </xdr14:xfrm>
        </xdr:contentPart>
      </mc:Choice>
      <mc:Fallback xmlns="">
        <xdr:pic>
          <xdr:nvPicPr>
            <xdr:cNvPr id="562" name="Písanie rukou 561">
              <a:extLst>
                <a:ext uri="{FF2B5EF4-FFF2-40B4-BE49-F238E27FC236}">
                  <a16:creationId xmlns:a16="http://schemas.microsoft.com/office/drawing/2014/main" id="{C3ADBADF-5AAC-4F22-881B-77740B19C4C4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27861953" y="6831023"/>
              <a:ext cx="817920" cy="3556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160920</xdr:colOff>
      <xdr:row>50</xdr:row>
      <xdr:rowOff>142969</xdr:rowOff>
    </xdr:from>
    <xdr:to>
      <xdr:col>37</xdr:col>
      <xdr:colOff>207360</xdr:colOff>
      <xdr:row>52</xdr:row>
      <xdr:rowOff>35590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67" name="Písanie rukou 66">
              <a:extLst>
                <a:ext uri="{FF2B5EF4-FFF2-40B4-BE49-F238E27FC236}">
                  <a16:creationId xmlns:a16="http://schemas.microsoft.com/office/drawing/2014/main" id="{4BC5D98B-6B34-4E1D-AA72-9A773F02A24B}"/>
                </a:ext>
              </a:extLst>
            </xdr14:cNvPr>
            <xdr14:cNvContentPartPr/>
          </xdr14:nvContentPartPr>
          <xdr14:nvPr macro=""/>
          <xdr14:xfrm>
            <a:off x="27198473" y="8838734"/>
            <a:ext cx="46440" cy="233280"/>
          </xdr14:xfrm>
        </xdr:contentPart>
      </mc:Choice>
      <mc:Fallback xmlns="">
        <xdr:pic>
          <xdr:nvPicPr>
            <xdr:cNvPr id="580" name="Písanie rukou 579">
              <a:extLst>
                <a:ext uri="{FF2B5EF4-FFF2-40B4-BE49-F238E27FC236}">
                  <a16:creationId xmlns:a16="http://schemas.microsoft.com/office/drawing/2014/main" id="{FE678CB1-E662-4C2C-B67C-28E5FD5FC508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27189473" y="8830094"/>
              <a:ext cx="64080" cy="25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555480</xdr:colOff>
      <xdr:row>51</xdr:row>
      <xdr:rowOff>125280</xdr:rowOff>
    </xdr:from>
    <xdr:to>
      <xdr:col>37</xdr:col>
      <xdr:colOff>555840</xdr:colOff>
      <xdr:row>51</xdr:row>
      <xdr:rowOff>141480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68" name="Písanie rukou 67">
              <a:extLst>
                <a:ext uri="{FF2B5EF4-FFF2-40B4-BE49-F238E27FC236}">
                  <a16:creationId xmlns:a16="http://schemas.microsoft.com/office/drawing/2014/main" id="{26E1F26D-9F9E-4246-A6F2-8647C107C5F3}"/>
                </a:ext>
              </a:extLst>
            </xdr14:cNvPr>
            <xdr14:cNvContentPartPr/>
          </xdr14:nvContentPartPr>
          <xdr14:nvPr macro=""/>
          <xdr14:xfrm>
            <a:off x="27593033" y="8991374"/>
            <a:ext cx="360" cy="16200"/>
          </xdr14:xfrm>
        </xdr:contentPart>
      </mc:Choice>
      <mc:Fallback xmlns="">
        <xdr:pic>
          <xdr:nvPicPr>
            <xdr:cNvPr id="581" name="Písanie rukou 580">
              <a:extLst>
                <a:ext uri="{FF2B5EF4-FFF2-40B4-BE49-F238E27FC236}">
                  <a16:creationId xmlns:a16="http://schemas.microsoft.com/office/drawing/2014/main" id="{C222D225-F247-438B-9CBF-17FD893A14EA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27584393" y="8982374"/>
              <a:ext cx="18000" cy="3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483600</xdr:colOff>
      <xdr:row>41</xdr:row>
      <xdr:rowOff>26414</xdr:rowOff>
    </xdr:from>
    <xdr:to>
      <xdr:col>36</xdr:col>
      <xdr:colOff>349680</xdr:colOff>
      <xdr:row>55</xdr:row>
      <xdr:rowOff>139482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69" name="Písanie rukou 68">
              <a:extLst>
                <a:ext uri="{FF2B5EF4-FFF2-40B4-BE49-F238E27FC236}">
                  <a16:creationId xmlns:a16="http://schemas.microsoft.com/office/drawing/2014/main" id="{A179D03A-029B-45B4-9F1E-4B4DDC5E8FAC}"/>
                </a:ext>
              </a:extLst>
            </xdr14:cNvPr>
            <xdr14:cNvContentPartPr/>
          </xdr14:nvContentPartPr>
          <xdr14:nvPr macro=""/>
          <xdr14:xfrm>
            <a:off x="23253953" y="7189214"/>
            <a:ext cx="3523680" cy="2497680"/>
          </xdr14:xfrm>
        </xdr:contentPart>
      </mc:Choice>
      <mc:Fallback xmlns="">
        <xdr:pic>
          <xdr:nvPicPr>
            <xdr:cNvPr id="583" name="Písanie rukou 582">
              <a:extLst>
                <a:ext uri="{FF2B5EF4-FFF2-40B4-BE49-F238E27FC236}">
                  <a16:creationId xmlns:a16="http://schemas.microsoft.com/office/drawing/2014/main" id="{226A8234-2DA7-4696-9546-6E966DBB7770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23245313" y="7180214"/>
              <a:ext cx="3541320" cy="251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599640</xdr:colOff>
      <xdr:row>28</xdr:row>
      <xdr:rowOff>11216</xdr:rowOff>
    </xdr:from>
    <xdr:to>
      <xdr:col>34</xdr:col>
      <xdr:colOff>170640</xdr:colOff>
      <xdr:row>31</xdr:row>
      <xdr:rowOff>64708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70" name="Písanie rukou 69">
              <a:extLst>
                <a:ext uri="{FF2B5EF4-FFF2-40B4-BE49-F238E27FC236}">
                  <a16:creationId xmlns:a16="http://schemas.microsoft.com/office/drawing/2014/main" id="{43C553ED-3A8D-4AB5-A1F2-8F7DD169A5EE}"/>
                </a:ext>
              </a:extLst>
            </xdr14:cNvPr>
            <xdr14:cNvContentPartPr/>
          </xdr14:nvContentPartPr>
          <xdr14:nvPr macro=""/>
          <xdr14:xfrm>
            <a:off x="22760393" y="4959734"/>
            <a:ext cx="2619000" cy="564480"/>
          </xdr14:xfrm>
        </xdr:contentPart>
      </mc:Choice>
      <mc:Fallback xmlns="">
        <xdr:pic>
          <xdr:nvPicPr>
            <xdr:cNvPr id="598" name="Písanie rukou 597">
              <a:extLst>
                <a:ext uri="{FF2B5EF4-FFF2-40B4-BE49-F238E27FC236}">
                  <a16:creationId xmlns:a16="http://schemas.microsoft.com/office/drawing/2014/main" id="{AB74B4F7-C068-4B5A-A223-53EA9E765B83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22751753" y="4951094"/>
              <a:ext cx="2636640" cy="58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8400</xdr:colOff>
      <xdr:row>32</xdr:row>
      <xdr:rowOff>98139</xdr:rowOff>
    </xdr:from>
    <xdr:to>
      <xdr:col>31</xdr:col>
      <xdr:colOff>0</xdr:colOff>
      <xdr:row>34</xdr:row>
      <xdr:rowOff>53760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71" name="Písanie rukou 70">
              <a:extLst>
                <a:ext uri="{FF2B5EF4-FFF2-40B4-BE49-F238E27FC236}">
                  <a16:creationId xmlns:a16="http://schemas.microsoft.com/office/drawing/2014/main" id="{624ABC8B-1D6A-4E34-A6CC-1FFB12CA934D}"/>
                </a:ext>
              </a:extLst>
            </xdr14:cNvPr>
            <xdr14:cNvContentPartPr/>
          </xdr14:nvContentPartPr>
          <xdr14:nvPr macro=""/>
          <xdr14:xfrm>
            <a:off x="22778753" y="5727974"/>
            <a:ext cx="601200" cy="296280"/>
          </xdr14:xfrm>
        </xdr:contentPart>
      </mc:Choice>
      <mc:Fallback xmlns="">
        <xdr:pic>
          <xdr:nvPicPr>
            <xdr:cNvPr id="608" name="Písanie rukou 607">
              <a:extLst>
                <a:ext uri="{FF2B5EF4-FFF2-40B4-BE49-F238E27FC236}">
                  <a16:creationId xmlns:a16="http://schemas.microsoft.com/office/drawing/2014/main" id="{4D50625B-398E-4B24-B02C-6CF6C4DABC09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22770108" y="5719323"/>
              <a:ext cx="618851" cy="3139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295560</xdr:colOff>
      <xdr:row>32</xdr:row>
      <xdr:rowOff>43779</xdr:rowOff>
    </xdr:from>
    <xdr:to>
      <xdr:col>34</xdr:col>
      <xdr:colOff>253800</xdr:colOff>
      <xdr:row>34</xdr:row>
      <xdr:rowOff>1729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72" name="Písanie rukou 71">
              <a:extLst>
                <a:ext uri="{FF2B5EF4-FFF2-40B4-BE49-F238E27FC236}">
                  <a16:creationId xmlns:a16="http://schemas.microsoft.com/office/drawing/2014/main" id="{5DB0618D-CB5B-4900-A0FF-3FFD505CCD8A}"/>
                </a:ext>
              </a:extLst>
            </xdr14:cNvPr>
            <xdr14:cNvContentPartPr/>
          </xdr14:nvContentPartPr>
          <xdr14:nvPr macro=""/>
          <xdr14:xfrm>
            <a:off x="23675513" y="5673614"/>
            <a:ext cx="1787040" cy="295920"/>
          </xdr14:xfrm>
        </xdr:contentPart>
      </mc:Choice>
      <mc:Fallback xmlns="">
        <xdr:pic>
          <xdr:nvPicPr>
            <xdr:cNvPr id="614" name="Písanie rukou 613">
              <a:extLst>
                <a:ext uri="{FF2B5EF4-FFF2-40B4-BE49-F238E27FC236}">
                  <a16:creationId xmlns:a16="http://schemas.microsoft.com/office/drawing/2014/main" id="{C7A37168-7817-46A0-A0C7-C903802F963E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23666513" y="5664614"/>
              <a:ext cx="1804680" cy="31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146520</xdr:colOff>
      <xdr:row>44</xdr:row>
      <xdr:rowOff>25546</xdr:rowOff>
    </xdr:from>
    <xdr:to>
      <xdr:col>31</xdr:col>
      <xdr:colOff>367200</xdr:colOff>
      <xdr:row>45</xdr:row>
      <xdr:rowOff>80216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73" name="Písanie rukou 72">
              <a:extLst>
                <a:ext uri="{FF2B5EF4-FFF2-40B4-BE49-F238E27FC236}">
                  <a16:creationId xmlns:a16="http://schemas.microsoft.com/office/drawing/2014/main" id="{7E8A0DF1-1ED2-492A-8FD2-EB0000F99069}"/>
                </a:ext>
              </a:extLst>
            </xdr14:cNvPr>
            <xdr14:cNvContentPartPr/>
          </xdr14:nvContentPartPr>
          <xdr14:nvPr macro=""/>
          <xdr14:xfrm>
            <a:off x="23526473" y="7699334"/>
            <a:ext cx="220680" cy="225000"/>
          </xdr14:xfrm>
        </xdr:contentPart>
      </mc:Choice>
      <mc:Fallback xmlns="">
        <xdr:pic>
          <xdr:nvPicPr>
            <xdr:cNvPr id="617" name="Písanie rukou 616">
              <a:extLst>
                <a:ext uri="{FF2B5EF4-FFF2-40B4-BE49-F238E27FC236}">
                  <a16:creationId xmlns:a16="http://schemas.microsoft.com/office/drawing/2014/main" id="{02F8AD48-A1FA-4B7F-AB2B-D231F1656CD2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23517833" y="7690694"/>
              <a:ext cx="238320" cy="24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456480</xdr:colOff>
      <xdr:row>42</xdr:row>
      <xdr:rowOff>53365</xdr:rowOff>
    </xdr:from>
    <xdr:to>
      <xdr:col>40</xdr:col>
      <xdr:colOff>43920</xdr:colOff>
      <xdr:row>46</xdr:row>
      <xdr:rowOff>52447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74" name="Písanie rukou 73">
              <a:extLst>
                <a:ext uri="{FF2B5EF4-FFF2-40B4-BE49-F238E27FC236}">
                  <a16:creationId xmlns:a16="http://schemas.microsoft.com/office/drawing/2014/main" id="{8841CF92-671A-4830-ACA9-414D93BF6A94}"/>
                </a:ext>
              </a:extLst>
            </xdr14:cNvPr>
            <xdr14:cNvContentPartPr/>
          </xdr14:nvContentPartPr>
          <xdr14:nvPr macro=""/>
          <xdr14:xfrm>
            <a:off x="27494033" y="7386494"/>
            <a:ext cx="1416240" cy="680400"/>
          </xdr14:xfrm>
        </xdr:contentPart>
      </mc:Choice>
      <mc:Fallback xmlns="">
        <xdr:pic>
          <xdr:nvPicPr>
            <xdr:cNvPr id="628" name="Písanie rukou 627">
              <a:extLst>
                <a:ext uri="{FF2B5EF4-FFF2-40B4-BE49-F238E27FC236}">
                  <a16:creationId xmlns:a16="http://schemas.microsoft.com/office/drawing/2014/main" id="{D776C5B5-EAFC-4CA4-A693-8AECBDEE3332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27485033" y="7377849"/>
              <a:ext cx="1433880" cy="6980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197040</xdr:colOff>
      <xdr:row>48</xdr:row>
      <xdr:rowOff>143068</xdr:rowOff>
    </xdr:from>
    <xdr:to>
      <xdr:col>39</xdr:col>
      <xdr:colOff>294960</xdr:colOff>
      <xdr:row>48</xdr:row>
      <xdr:rowOff>152788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75" name="Písanie rukou 74">
              <a:extLst>
                <a:ext uri="{FF2B5EF4-FFF2-40B4-BE49-F238E27FC236}">
                  <a16:creationId xmlns:a16="http://schemas.microsoft.com/office/drawing/2014/main" id="{EBB92FB4-FBBB-4170-8BB1-A57DA45A24E7}"/>
                </a:ext>
              </a:extLst>
            </xdr14:cNvPr>
            <xdr14:cNvContentPartPr/>
          </xdr14:nvContentPartPr>
          <xdr14:nvPr macro=""/>
          <xdr14:xfrm>
            <a:off x="28453793" y="8498174"/>
            <a:ext cx="97920" cy="9720"/>
          </xdr14:xfrm>
        </xdr:contentPart>
      </mc:Choice>
      <mc:Fallback xmlns="">
        <xdr:pic>
          <xdr:nvPicPr>
            <xdr:cNvPr id="629" name="Písanie rukou 628">
              <a:extLst>
                <a:ext uri="{FF2B5EF4-FFF2-40B4-BE49-F238E27FC236}">
                  <a16:creationId xmlns:a16="http://schemas.microsoft.com/office/drawing/2014/main" id="{9BE281E1-35C3-49A1-A898-3FE9FB6F8F5D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8444793" y="8489534"/>
              <a:ext cx="115560" cy="2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512040</xdr:colOff>
      <xdr:row>47</xdr:row>
      <xdr:rowOff>153558</xdr:rowOff>
    </xdr:from>
    <xdr:to>
      <xdr:col>41</xdr:col>
      <xdr:colOff>519720</xdr:colOff>
      <xdr:row>50</xdr:row>
      <xdr:rowOff>7609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76" name="Písanie rukou 75">
              <a:extLst>
                <a:ext uri="{FF2B5EF4-FFF2-40B4-BE49-F238E27FC236}">
                  <a16:creationId xmlns:a16="http://schemas.microsoft.com/office/drawing/2014/main" id="{74F23534-E71A-43D8-800D-5C5A7DB01877}"/>
                </a:ext>
              </a:extLst>
            </xdr14:cNvPr>
            <xdr14:cNvContentPartPr/>
          </xdr14:nvContentPartPr>
          <xdr14:nvPr macro=""/>
          <xdr14:xfrm>
            <a:off x="28768793" y="8338334"/>
            <a:ext cx="1226880" cy="365040"/>
          </xdr14:xfrm>
        </xdr:contentPart>
      </mc:Choice>
      <mc:Fallback xmlns="">
        <xdr:pic>
          <xdr:nvPicPr>
            <xdr:cNvPr id="637" name="Písanie rukou 636">
              <a:extLst>
                <a:ext uri="{FF2B5EF4-FFF2-40B4-BE49-F238E27FC236}">
                  <a16:creationId xmlns:a16="http://schemas.microsoft.com/office/drawing/2014/main" id="{D33D127D-7E9B-4211-B716-227C346A5D65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28759793" y="8329703"/>
              <a:ext cx="1244520" cy="3826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42</xdr:col>
      <xdr:colOff>214320</xdr:colOff>
      <xdr:row>47</xdr:row>
      <xdr:rowOff>17478</xdr:rowOff>
    </xdr:from>
    <xdr:to>
      <xdr:col>42</xdr:col>
      <xdr:colOff>465600</xdr:colOff>
      <xdr:row>50</xdr:row>
      <xdr:rowOff>57649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77" name="Písanie rukou 76">
              <a:extLst>
                <a:ext uri="{FF2B5EF4-FFF2-40B4-BE49-F238E27FC236}">
                  <a16:creationId xmlns:a16="http://schemas.microsoft.com/office/drawing/2014/main" id="{DD48C999-F931-4703-9E85-87EF3B333791}"/>
                </a:ext>
              </a:extLst>
            </xdr14:cNvPr>
            <xdr14:cNvContentPartPr/>
          </xdr14:nvContentPartPr>
          <xdr14:nvPr macro=""/>
          <xdr14:xfrm>
            <a:off x="30299873" y="8202254"/>
            <a:ext cx="251280" cy="551160"/>
          </xdr14:xfrm>
        </xdr:contentPart>
      </mc:Choice>
      <mc:Fallback xmlns="">
        <xdr:pic>
          <xdr:nvPicPr>
            <xdr:cNvPr id="641" name="Písanie rukou 640">
              <a:extLst>
                <a:ext uri="{FF2B5EF4-FFF2-40B4-BE49-F238E27FC236}">
                  <a16:creationId xmlns:a16="http://schemas.microsoft.com/office/drawing/2014/main" id="{9612F223-CA02-4C87-96B2-2E8E52C78BA8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30290886" y="8193254"/>
              <a:ext cx="268895" cy="56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105240</xdr:colOff>
      <xdr:row>47</xdr:row>
      <xdr:rowOff>146358</xdr:rowOff>
    </xdr:from>
    <xdr:to>
      <xdr:col>43</xdr:col>
      <xdr:colOff>422760</xdr:colOff>
      <xdr:row>49</xdr:row>
      <xdr:rowOff>28899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78" name="Písanie rukou 77">
              <a:extLst>
                <a:ext uri="{FF2B5EF4-FFF2-40B4-BE49-F238E27FC236}">
                  <a16:creationId xmlns:a16="http://schemas.microsoft.com/office/drawing/2014/main" id="{DE3DF57A-9E1D-4524-A351-38B815C9521A}"/>
                </a:ext>
              </a:extLst>
            </xdr14:cNvPr>
            <xdr14:cNvContentPartPr/>
          </xdr14:nvContentPartPr>
          <xdr14:nvPr macro=""/>
          <xdr14:xfrm>
            <a:off x="30800393" y="8331134"/>
            <a:ext cx="317520" cy="223200"/>
          </xdr14:xfrm>
        </xdr:contentPart>
      </mc:Choice>
      <mc:Fallback xmlns="">
        <xdr:pic>
          <xdr:nvPicPr>
            <xdr:cNvPr id="643" name="Písanie rukou 642">
              <a:extLst>
                <a:ext uri="{FF2B5EF4-FFF2-40B4-BE49-F238E27FC236}">
                  <a16:creationId xmlns:a16="http://schemas.microsoft.com/office/drawing/2014/main" id="{85E7C660-2D5F-4521-8F7F-32B563004008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30791753" y="8322134"/>
              <a:ext cx="335160" cy="24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369607</xdr:colOff>
      <xdr:row>21</xdr:row>
      <xdr:rowOff>71096</xdr:rowOff>
    </xdr:from>
    <xdr:to>
      <xdr:col>13</xdr:col>
      <xdr:colOff>412447</xdr:colOff>
      <xdr:row>21</xdr:row>
      <xdr:rowOff>136256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79" name="Písanie rukou 78">
              <a:extLst>
                <a:ext uri="{FF2B5EF4-FFF2-40B4-BE49-F238E27FC236}">
                  <a16:creationId xmlns:a16="http://schemas.microsoft.com/office/drawing/2014/main" id="{FBBF5B75-2A5D-417B-9746-204880F51E33}"/>
                </a:ext>
              </a:extLst>
            </xdr14:cNvPr>
            <xdr14:cNvContentPartPr/>
          </xdr14:nvContentPartPr>
          <xdr14:nvPr macro=""/>
          <xdr14:xfrm>
            <a:off x="12776760" y="3773520"/>
            <a:ext cx="42840" cy="65160"/>
          </xdr14:xfrm>
        </xdr:contentPart>
      </mc:Choice>
      <mc:Fallback xmlns="">
        <xdr:pic>
          <xdr:nvPicPr>
            <xdr:cNvPr id="644" name="Písanie rukou 643">
              <a:extLst>
                <a:ext uri="{FF2B5EF4-FFF2-40B4-BE49-F238E27FC236}">
                  <a16:creationId xmlns:a16="http://schemas.microsoft.com/office/drawing/2014/main" id="{73E1C6AC-DE64-4589-BFED-E3A92EA71A68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12767760" y="3764880"/>
              <a:ext cx="60480" cy="8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8280</xdr:colOff>
      <xdr:row>48</xdr:row>
      <xdr:rowOff>80428</xdr:rowOff>
    </xdr:from>
    <xdr:to>
      <xdr:col>44</xdr:col>
      <xdr:colOff>72000</xdr:colOff>
      <xdr:row>49</xdr:row>
      <xdr:rowOff>87939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80" name="Písanie rukou 79">
              <a:extLst>
                <a:ext uri="{FF2B5EF4-FFF2-40B4-BE49-F238E27FC236}">
                  <a16:creationId xmlns:a16="http://schemas.microsoft.com/office/drawing/2014/main" id="{361E71DB-DA25-4B66-91A1-C9C9117815DC}"/>
                </a:ext>
              </a:extLst>
            </xdr14:cNvPr>
            <xdr14:cNvContentPartPr/>
          </xdr14:nvContentPartPr>
          <xdr14:nvPr macro=""/>
          <xdr14:xfrm>
            <a:off x="31313033" y="8435534"/>
            <a:ext cx="63720" cy="177840"/>
          </xdr14:xfrm>
        </xdr:contentPart>
      </mc:Choice>
      <mc:Fallback xmlns="">
        <xdr:pic>
          <xdr:nvPicPr>
            <xdr:cNvPr id="645" name="Písanie rukou 644">
              <a:extLst>
                <a:ext uri="{FF2B5EF4-FFF2-40B4-BE49-F238E27FC236}">
                  <a16:creationId xmlns:a16="http://schemas.microsoft.com/office/drawing/2014/main" id="{9F9E539B-069D-420D-B6ED-3AA5AF1ABCE4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31304033" y="8426894"/>
              <a:ext cx="81360" cy="19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259560</xdr:colOff>
      <xdr:row>47</xdr:row>
      <xdr:rowOff>150678</xdr:rowOff>
    </xdr:from>
    <xdr:to>
      <xdr:col>44</xdr:col>
      <xdr:colOff>526680</xdr:colOff>
      <xdr:row>49</xdr:row>
      <xdr:rowOff>89019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81" name="Písanie rukou 80">
              <a:extLst>
                <a:ext uri="{FF2B5EF4-FFF2-40B4-BE49-F238E27FC236}">
                  <a16:creationId xmlns:a16="http://schemas.microsoft.com/office/drawing/2014/main" id="{FBBB19E4-FA9A-4E3D-8752-93E2F2600352}"/>
                </a:ext>
              </a:extLst>
            </xdr14:cNvPr>
            <xdr14:cNvContentPartPr/>
          </xdr14:nvContentPartPr>
          <xdr14:nvPr macro=""/>
          <xdr14:xfrm>
            <a:off x="31564313" y="8335454"/>
            <a:ext cx="267120" cy="279000"/>
          </xdr14:xfrm>
        </xdr:contentPart>
      </mc:Choice>
      <mc:Fallback xmlns="">
        <xdr:pic>
          <xdr:nvPicPr>
            <xdr:cNvPr id="646" name="Písanie rukou 645">
              <a:extLst>
                <a:ext uri="{FF2B5EF4-FFF2-40B4-BE49-F238E27FC236}">
                  <a16:creationId xmlns:a16="http://schemas.microsoft.com/office/drawing/2014/main" id="{4EC6B7C8-4C78-4824-AE42-533D42B25A7A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31555313" y="8326454"/>
              <a:ext cx="284760" cy="29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482760</xdr:colOff>
      <xdr:row>49</xdr:row>
      <xdr:rowOff>62379</xdr:rowOff>
    </xdr:from>
    <xdr:to>
      <xdr:col>44</xdr:col>
      <xdr:colOff>502200</xdr:colOff>
      <xdr:row>49</xdr:row>
      <xdr:rowOff>112059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82" name="Písanie rukou 81">
              <a:extLst>
                <a:ext uri="{FF2B5EF4-FFF2-40B4-BE49-F238E27FC236}">
                  <a16:creationId xmlns:a16="http://schemas.microsoft.com/office/drawing/2014/main" id="{086351D1-550D-4373-BB36-18D6AE8E9103}"/>
                </a:ext>
              </a:extLst>
            </xdr14:cNvPr>
            <xdr14:cNvContentPartPr/>
          </xdr14:nvContentPartPr>
          <xdr14:nvPr macro=""/>
          <xdr14:xfrm>
            <a:off x="31787513" y="8587814"/>
            <a:ext cx="19440" cy="49680"/>
          </xdr14:xfrm>
        </xdr:contentPart>
      </mc:Choice>
      <mc:Fallback xmlns="">
        <xdr:pic>
          <xdr:nvPicPr>
            <xdr:cNvPr id="647" name="Písanie rukou 646">
              <a:extLst>
                <a:ext uri="{FF2B5EF4-FFF2-40B4-BE49-F238E27FC236}">
                  <a16:creationId xmlns:a16="http://schemas.microsoft.com/office/drawing/2014/main" id="{B2CFE5CF-4BE2-414B-90D4-C9C70A58AF78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31778873" y="8578814"/>
              <a:ext cx="37080" cy="6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569880</xdr:colOff>
      <xdr:row>47</xdr:row>
      <xdr:rowOff>116118</xdr:rowOff>
    </xdr:from>
    <xdr:to>
      <xdr:col>45</xdr:col>
      <xdr:colOff>206520</xdr:colOff>
      <xdr:row>49</xdr:row>
      <xdr:rowOff>118179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83" name="Písanie rukou 82">
              <a:extLst>
                <a:ext uri="{FF2B5EF4-FFF2-40B4-BE49-F238E27FC236}">
                  <a16:creationId xmlns:a16="http://schemas.microsoft.com/office/drawing/2014/main" id="{E969B5A0-9354-45D2-A0C3-AAF3ED12AC60}"/>
                </a:ext>
              </a:extLst>
            </xdr14:cNvPr>
            <xdr14:cNvContentPartPr/>
          </xdr14:nvContentPartPr>
          <xdr14:nvPr macro=""/>
          <xdr14:xfrm>
            <a:off x="31874633" y="8300894"/>
            <a:ext cx="246240" cy="342720"/>
          </xdr14:xfrm>
        </xdr:contentPart>
      </mc:Choice>
      <mc:Fallback xmlns="">
        <xdr:pic>
          <xdr:nvPicPr>
            <xdr:cNvPr id="648" name="Písanie rukou 647">
              <a:extLst>
                <a:ext uri="{FF2B5EF4-FFF2-40B4-BE49-F238E27FC236}">
                  <a16:creationId xmlns:a16="http://schemas.microsoft.com/office/drawing/2014/main" id="{2F21AF91-4FCD-4F5F-B650-60648F7F0B37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31865633" y="8292254"/>
              <a:ext cx="263880" cy="36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304440</xdr:colOff>
      <xdr:row>47</xdr:row>
      <xdr:rowOff>161118</xdr:rowOff>
    </xdr:from>
    <xdr:to>
      <xdr:col>45</xdr:col>
      <xdr:colOff>537720</xdr:colOff>
      <xdr:row>50</xdr:row>
      <xdr:rowOff>11929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84" name="Písanie rukou 83">
              <a:extLst>
                <a:ext uri="{FF2B5EF4-FFF2-40B4-BE49-F238E27FC236}">
                  <a16:creationId xmlns:a16="http://schemas.microsoft.com/office/drawing/2014/main" id="{A52BFA2D-018C-4027-AAAB-3DC74B74AE2D}"/>
                </a:ext>
              </a:extLst>
            </xdr14:cNvPr>
            <xdr14:cNvContentPartPr/>
          </xdr14:nvContentPartPr>
          <xdr14:nvPr macro=""/>
          <xdr14:xfrm>
            <a:off x="32218793" y="8345894"/>
            <a:ext cx="233280" cy="361800"/>
          </xdr14:xfrm>
        </xdr:contentPart>
      </mc:Choice>
      <mc:Fallback xmlns="">
        <xdr:pic>
          <xdr:nvPicPr>
            <xdr:cNvPr id="649" name="Písanie rukou 648">
              <a:extLst>
                <a:ext uri="{FF2B5EF4-FFF2-40B4-BE49-F238E27FC236}">
                  <a16:creationId xmlns:a16="http://schemas.microsoft.com/office/drawing/2014/main" id="{0A786BBF-A628-4808-AA98-64936D2F25B7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32209793" y="8336894"/>
              <a:ext cx="25092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46</xdr:col>
      <xdr:colOff>98400</xdr:colOff>
      <xdr:row>47</xdr:row>
      <xdr:rowOff>116118</xdr:rowOff>
    </xdr:from>
    <xdr:to>
      <xdr:col>46</xdr:col>
      <xdr:colOff>465240</xdr:colOff>
      <xdr:row>49</xdr:row>
      <xdr:rowOff>47619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85" name="Písanie rukou 84">
              <a:extLst>
                <a:ext uri="{FF2B5EF4-FFF2-40B4-BE49-F238E27FC236}">
                  <a16:creationId xmlns:a16="http://schemas.microsoft.com/office/drawing/2014/main" id="{B0939A95-3BEE-48D5-ADD2-AD5EBC75FB08}"/>
                </a:ext>
              </a:extLst>
            </xdr14:cNvPr>
            <xdr14:cNvContentPartPr/>
          </xdr14:nvContentPartPr>
          <xdr14:nvPr macro=""/>
          <xdr14:xfrm>
            <a:off x="32622353" y="8300894"/>
            <a:ext cx="366840" cy="272160"/>
          </xdr14:xfrm>
        </xdr:contentPart>
      </mc:Choice>
      <mc:Fallback xmlns="">
        <xdr:pic>
          <xdr:nvPicPr>
            <xdr:cNvPr id="652" name="Písanie rukou 651">
              <a:extLst>
                <a:ext uri="{FF2B5EF4-FFF2-40B4-BE49-F238E27FC236}">
                  <a16:creationId xmlns:a16="http://schemas.microsoft.com/office/drawing/2014/main" id="{59284A7A-5FE6-4C06-B6A9-9DC37E0B8ED0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32613353" y="8292254"/>
              <a:ext cx="384480" cy="28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591120</xdr:colOff>
      <xdr:row>52</xdr:row>
      <xdr:rowOff>13630</xdr:rowOff>
    </xdr:from>
    <xdr:to>
      <xdr:col>44</xdr:col>
      <xdr:colOff>72000</xdr:colOff>
      <xdr:row>53</xdr:row>
      <xdr:rowOff>89901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86" name="Písanie rukou 85">
              <a:extLst>
                <a:ext uri="{FF2B5EF4-FFF2-40B4-BE49-F238E27FC236}">
                  <a16:creationId xmlns:a16="http://schemas.microsoft.com/office/drawing/2014/main" id="{02782B75-B9DA-4CA3-B6CA-F956E6044294}"/>
                </a:ext>
              </a:extLst>
            </xdr14:cNvPr>
            <xdr14:cNvContentPartPr/>
          </xdr14:nvContentPartPr>
          <xdr14:nvPr macro=""/>
          <xdr14:xfrm>
            <a:off x="30067073" y="9050054"/>
            <a:ext cx="1309680" cy="246600"/>
          </xdr14:xfrm>
        </xdr:contentPart>
      </mc:Choice>
      <mc:Fallback xmlns="">
        <xdr:pic>
          <xdr:nvPicPr>
            <xdr:cNvPr id="672" name="Písanie rukou 671">
              <a:extLst>
                <a:ext uri="{FF2B5EF4-FFF2-40B4-BE49-F238E27FC236}">
                  <a16:creationId xmlns:a16="http://schemas.microsoft.com/office/drawing/2014/main" id="{E67D218E-3652-4B2B-A0AB-6219B571A856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30058431" y="9041054"/>
              <a:ext cx="1327325" cy="26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339960</xdr:colOff>
      <xdr:row>51</xdr:row>
      <xdr:rowOff>142920</xdr:rowOff>
    </xdr:from>
    <xdr:to>
      <xdr:col>41</xdr:col>
      <xdr:colOff>252720</xdr:colOff>
      <xdr:row>53</xdr:row>
      <xdr:rowOff>27261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87" name="Písanie rukou 86">
              <a:extLst>
                <a:ext uri="{FF2B5EF4-FFF2-40B4-BE49-F238E27FC236}">
                  <a16:creationId xmlns:a16="http://schemas.microsoft.com/office/drawing/2014/main" id="{FEA4E1A3-B022-4112-BE34-F5BF1F25E038}"/>
                </a:ext>
              </a:extLst>
            </xdr14:cNvPr>
            <xdr14:cNvContentPartPr/>
          </xdr14:nvContentPartPr>
          <xdr14:nvPr macro=""/>
          <xdr14:xfrm>
            <a:off x="29206313" y="9009014"/>
            <a:ext cx="522360" cy="225000"/>
          </xdr14:xfrm>
        </xdr:contentPart>
      </mc:Choice>
      <mc:Fallback xmlns="">
        <xdr:pic>
          <xdr:nvPicPr>
            <xdr:cNvPr id="673" name="Písanie rukou 672">
              <a:extLst>
                <a:ext uri="{FF2B5EF4-FFF2-40B4-BE49-F238E27FC236}">
                  <a16:creationId xmlns:a16="http://schemas.microsoft.com/office/drawing/2014/main" id="{E40CD858-59AA-4AC7-A855-54B1CDBD0219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29197673" y="9000374"/>
              <a:ext cx="540000" cy="24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609360</xdr:colOff>
      <xdr:row>48</xdr:row>
      <xdr:rowOff>8619</xdr:rowOff>
    </xdr:from>
    <xdr:to>
      <xdr:col>22</xdr:col>
      <xdr:colOff>70320</xdr:colOff>
      <xdr:row>48</xdr:row>
      <xdr:rowOff>18339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88" name="Písanie rukou 87">
              <a:extLst>
                <a:ext uri="{FF2B5EF4-FFF2-40B4-BE49-F238E27FC236}">
                  <a16:creationId xmlns:a16="http://schemas.microsoft.com/office/drawing/2014/main" id="{C44BCE1F-00EF-41E8-B9D4-812125068DD5}"/>
                </a:ext>
              </a:extLst>
            </xdr14:cNvPr>
            <xdr14:cNvContentPartPr/>
          </xdr14:nvContentPartPr>
          <xdr14:nvPr macro=""/>
          <xdr14:xfrm>
            <a:off x="17893313" y="8363725"/>
            <a:ext cx="70560" cy="9720"/>
          </xdr14:xfrm>
        </xdr:contentPart>
      </mc:Choice>
      <mc:Fallback xmlns="">
        <xdr:pic>
          <xdr:nvPicPr>
            <xdr:cNvPr id="88" name="Písanie rukou 87">
              <a:extLst>
                <a:ext uri="{FF2B5EF4-FFF2-40B4-BE49-F238E27FC236}">
                  <a16:creationId xmlns:a16="http://schemas.microsoft.com/office/drawing/2014/main" id="{C44BCE1F-00EF-41E8-B9D4-812125068DD5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17884313" y="8355085"/>
              <a:ext cx="88200" cy="2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197280</xdr:colOff>
      <xdr:row>40</xdr:row>
      <xdr:rowOff>53470</xdr:rowOff>
    </xdr:from>
    <xdr:to>
      <xdr:col>34</xdr:col>
      <xdr:colOff>480600</xdr:colOff>
      <xdr:row>41</xdr:row>
      <xdr:rowOff>132261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91" name="Písanie rukou 90">
              <a:extLst>
                <a:ext uri="{FF2B5EF4-FFF2-40B4-BE49-F238E27FC236}">
                  <a16:creationId xmlns:a16="http://schemas.microsoft.com/office/drawing/2014/main" id="{62258285-19E3-4B8A-BCEA-244B2372C81F}"/>
                </a:ext>
              </a:extLst>
            </xdr14:cNvPr>
            <xdr14:cNvContentPartPr/>
          </xdr14:nvContentPartPr>
          <xdr14:nvPr macro=""/>
          <xdr14:xfrm>
            <a:off x="25406033" y="7045941"/>
            <a:ext cx="283320" cy="249120"/>
          </xdr14:xfrm>
        </xdr:contentPart>
      </mc:Choice>
      <mc:Fallback xmlns="">
        <xdr:pic>
          <xdr:nvPicPr>
            <xdr:cNvPr id="91" name="Písanie rukou 90">
              <a:extLst>
                <a:ext uri="{FF2B5EF4-FFF2-40B4-BE49-F238E27FC236}">
                  <a16:creationId xmlns:a16="http://schemas.microsoft.com/office/drawing/2014/main" id="{62258285-19E3-4B8A-BCEA-244B2372C81F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25397033" y="7037301"/>
              <a:ext cx="300960" cy="26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116040</xdr:colOff>
      <xdr:row>41</xdr:row>
      <xdr:rowOff>6981</xdr:rowOff>
    </xdr:from>
    <xdr:to>
      <xdr:col>33</xdr:col>
      <xdr:colOff>519240</xdr:colOff>
      <xdr:row>42</xdr:row>
      <xdr:rowOff>11972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92" name="Písanie rukou 91">
              <a:extLst>
                <a:ext uri="{FF2B5EF4-FFF2-40B4-BE49-F238E27FC236}">
                  <a16:creationId xmlns:a16="http://schemas.microsoft.com/office/drawing/2014/main" id="{1B96678D-C62C-4070-8E3C-8C162F939BE9}"/>
                </a:ext>
              </a:extLst>
            </xdr14:cNvPr>
            <xdr14:cNvContentPartPr/>
          </xdr14:nvContentPartPr>
          <xdr14:nvPr macro=""/>
          <xdr14:xfrm>
            <a:off x="24715193" y="7169781"/>
            <a:ext cx="403200" cy="175320"/>
          </xdr14:xfrm>
        </xdr:contentPart>
      </mc:Choice>
      <mc:Fallback xmlns="">
        <xdr:pic>
          <xdr:nvPicPr>
            <xdr:cNvPr id="92" name="Písanie rukou 91">
              <a:extLst>
                <a:ext uri="{FF2B5EF4-FFF2-40B4-BE49-F238E27FC236}">
                  <a16:creationId xmlns:a16="http://schemas.microsoft.com/office/drawing/2014/main" id="{1B96678D-C62C-4070-8E3C-8C162F939BE9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24706553" y="7160781"/>
              <a:ext cx="420840" cy="192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280248</xdr:colOff>
      <xdr:row>3</xdr:row>
      <xdr:rowOff>157886</xdr:rowOff>
    </xdr:from>
    <xdr:to>
      <xdr:col>28</xdr:col>
      <xdr:colOff>231239</xdr:colOff>
      <xdr:row>18</xdr:row>
      <xdr:rowOff>149807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67C84C81-E0CE-4F58-9C46-3A7B31B0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55975" y="642795"/>
          <a:ext cx="6693420" cy="2554897"/>
        </a:xfrm>
        <a:prstGeom prst="rect">
          <a:avLst/>
        </a:prstGeom>
      </xdr:spPr>
    </xdr:pic>
    <xdr:clientData/>
  </xdr:twoCellAnchor>
  <xdr:twoCellAnchor editAs="oneCell">
    <xdr:from>
      <xdr:col>0</xdr:col>
      <xdr:colOff>103989</xdr:colOff>
      <xdr:row>25</xdr:row>
      <xdr:rowOff>140569</xdr:rowOff>
    </xdr:from>
    <xdr:to>
      <xdr:col>5</xdr:col>
      <xdr:colOff>263249</xdr:colOff>
      <xdr:row>36</xdr:row>
      <xdr:rowOff>72731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F43EDE71-26D6-46A2-832E-B7E8943C5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89" y="4503019"/>
          <a:ext cx="5988560" cy="185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472765</xdr:colOff>
      <xdr:row>43</xdr:row>
      <xdr:rowOff>166310</xdr:rowOff>
    </xdr:from>
    <xdr:to>
      <xdr:col>20</xdr:col>
      <xdr:colOff>234679</xdr:colOff>
      <xdr:row>83</xdr:row>
      <xdr:rowOff>56284</xdr:rowOff>
    </xdr:to>
    <xdr:grpSp>
      <xdr:nvGrpSpPr>
        <xdr:cNvPr id="355" name="Skupina 354">
          <a:extLst>
            <a:ext uri="{FF2B5EF4-FFF2-40B4-BE49-F238E27FC236}">
              <a16:creationId xmlns:a16="http://schemas.microsoft.com/office/drawing/2014/main" id="{56110C79-7E3A-4BAF-884D-BDC7F3E4C401}"/>
            </a:ext>
          </a:extLst>
        </xdr:cNvPr>
        <xdr:cNvGrpSpPr/>
      </xdr:nvGrpSpPr>
      <xdr:grpSpPr>
        <a:xfrm>
          <a:off x="3157908" y="7398960"/>
          <a:ext cx="17097414" cy="6427753"/>
          <a:chOff x="1626618" y="4413422"/>
          <a:chExt cx="16024379" cy="6362702"/>
        </a:xfrm>
      </xdr:grpSpPr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3">
            <xdr14:nvContentPartPr>
              <xdr14:cNvPr id="206" name="Písanie rukou 205">
                <a:extLst>
                  <a:ext uri="{FF2B5EF4-FFF2-40B4-BE49-F238E27FC236}">
                    <a16:creationId xmlns:a16="http://schemas.microsoft.com/office/drawing/2014/main" id="{1D8D7B10-6381-452F-BB57-BA781810D1F4}"/>
                  </a:ext>
                </a:extLst>
              </xdr14:cNvPr>
              <xdr14:cNvContentPartPr/>
            </xdr14:nvContentPartPr>
            <xdr14:nvPr macro=""/>
            <xdr14:xfrm>
              <a:off x="10575584" y="4447642"/>
              <a:ext cx="363710" cy="276053"/>
            </xdr14:xfrm>
          </xdr14:contentPart>
        </mc:Choice>
        <mc:Fallback xmlns="">
          <xdr:pic>
            <xdr:nvPicPr>
              <xdr:cNvPr id="206" name="Písanie rukou 205">
                <a:extLst>
                  <a:ext uri="{FF2B5EF4-FFF2-40B4-BE49-F238E27FC236}">
                    <a16:creationId xmlns:a16="http://schemas.microsoft.com/office/drawing/2014/main" id="{1D8D7B10-6381-452F-BB57-BA781810D1F4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0567620" y="4439015"/>
                <a:ext cx="379971" cy="292961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">
            <xdr14:nvContentPartPr>
              <xdr14:cNvPr id="215" name="Písanie rukou 214">
                <a:extLst>
                  <a:ext uri="{FF2B5EF4-FFF2-40B4-BE49-F238E27FC236}">
                    <a16:creationId xmlns:a16="http://schemas.microsoft.com/office/drawing/2014/main" id="{86638C33-D2D8-47BD-A088-5BB17194E1D4}"/>
                  </a:ext>
                </a:extLst>
              </xdr14:cNvPr>
              <xdr14:cNvContentPartPr/>
            </xdr14:nvContentPartPr>
            <xdr14:nvPr macro=""/>
            <xdr14:xfrm>
              <a:off x="11188863" y="4413422"/>
              <a:ext cx="2111778" cy="348283"/>
            </xdr14:xfrm>
          </xdr14:contentPart>
        </mc:Choice>
        <mc:Fallback xmlns="">
          <xdr:pic>
            <xdr:nvPicPr>
              <xdr:cNvPr id="215" name="Písanie rukou 214">
                <a:extLst>
                  <a:ext uri="{FF2B5EF4-FFF2-40B4-BE49-F238E27FC236}">
                    <a16:creationId xmlns:a16="http://schemas.microsoft.com/office/drawing/2014/main" id="{86638C33-D2D8-47BD-A088-5BB17194E1D4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11180592" y="4405072"/>
                <a:ext cx="2128664" cy="365332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7">
            <xdr14:nvContentPartPr>
              <xdr14:cNvPr id="220" name="Písanie rukou 219">
                <a:extLst>
                  <a:ext uri="{FF2B5EF4-FFF2-40B4-BE49-F238E27FC236}">
                    <a16:creationId xmlns:a16="http://schemas.microsoft.com/office/drawing/2014/main" id="{A2C3F65C-3BEC-4B4B-B72D-539B7005BF82}"/>
                  </a:ext>
                </a:extLst>
              </xdr14:cNvPr>
              <xdr14:cNvContentPartPr/>
            </xdr14:nvContentPartPr>
            <xdr14:nvPr macro=""/>
            <xdr14:xfrm>
              <a:off x="11063283" y="4970811"/>
              <a:ext cx="360" cy="1610"/>
            </xdr14:xfrm>
          </xdr14:contentPart>
        </mc:Choice>
        <mc:Fallback xmlns="">
          <xdr:pic>
            <xdr:nvPicPr>
              <xdr:cNvPr id="220" name="Písanie rukou 219">
                <a:extLst>
                  <a:ext uri="{FF2B5EF4-FFF2-40B4-BE49-F238E27FC236}">
                    <a16:creationId xmlns:a16="http://schemas.microsoft.com/office/drawing/2014/main" id="{A2C3F65C-3BEC-4B4B-B72D-539B7005BF82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8"/>
              <a:stretch>
                <a:fillRect/>
              </a:stretch>
            </xdr:blipFill>
            <xdr:spPr>
              <a:xfrm>
                <a:off x="11054643" y="4965981"/>
                <a:ext cx="18000" cy="11471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9">
            <xdr14:nvContentPartPr>
              <xdr14:cNvPr id="221" name="Písanie rukou 220">
                <a:extLst>
                  <a:ext uri="{FF2B5EF4-FFF2-40B4-BE49-F238E27FC236}">
                    <a16:creationId xmlns:a16="http://schemas.microsoft.com/office/drawing/2014/main" id="{5701E86A-D8DD-4F96-AB27-92EF910BC8CD}"/>
                  </a:ext>
                </a:extLst>
              </xdr14:cNvPr>
              <xdr14:cNvContentPartPr/>
            </xdr14:nvContentPartPr>
            <xdr14:nvPr macro=""/>
            <xdr14:xfrm>
              <a:off x="11020273" y="5121107"/>
              <a:ext cx="360" cy="360"/>
            </xdr14:xfrm>
          </xdr14:contentPart>
        </mc:Choice>
        <mc:Fallback xmlns="">
          <xdr:pic>
            <xdr:nvPicPr>
              <xdr:cNvPr id="221" name="Písanie rukou 220">
                <a:extLst>
                  <a:ext uri="{FF2B5EF4-FFF2-40B4-BE49-F238E27FC236}">
                    <a16:creationId xmlns:a16="http://schemas.microsoft.com/office/drawing/2014/main" id="{5701E86A-D8DD-4F96-AB27-92EF910BC8CD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8"/>
              <a:stretch>
                <a:fillRect/>
              </a:stretch>
            </xdr:blipFill>
            <xdr:spPr>
              <a:xfrm>
                <a:off x="11011633" y="5112107"/>
                <a:ext cx="18000" cy="1800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0">
            <xdr14:nvContentPartPr>
              <xdr14:cNvPr id="222" name="Písanie rukou 221">
                <a:extLst>
                  <a:ext uri="{FF2B5EF4-FFF2-40B4-BE49-F238E27FC236}">
                    <a16:creationId xmlns:a16="http://schemas.microsoft.com/office/drawing/2014/main" id="{1D0D9A7F-5B20-4F00-A0D4-D4A5C8502A08}"/>
                  </a:ext>
                </a:extLst>
              </xdr14:cNvPr>
              <xdr14:cNvContentPartPr/>
            </xdr14:nvContentPartPr>
            <xdr14:nvPr macro=""/>
            <xdr14:xfrm>
              <a:off x="10475064" y="4890891"/>
              <a:ext cx="269470" cy="234326"/>
            </xdr14:xfrm>
          </xdr14:contentPart>
        </mc:Choice>
        <mc:Fallback xmlns="">
          <xdr:pic>
            <xdr:nvPicPr>
              <xdr:cNvPr id="222" name="Písanie rukou 221">
                <a:extLst>
                  <a:ext uri="{FF2B5EF4-FFF2-40B4-BE49-F238E27FC236}">
                    <a16:creationId xmlns:a16="http://schemas.microsoft.com/office/drawing/2014/main" id="{1D0D9A7F-5B20-4F00-A0D4-D4A5C8502A08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10466579" y="4882301"/>
                <a:ext cx="286100" cy="251162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2">
            <xdr14:nvContentPartPr>
              <xdr14:cNvPr id="230" name="Písanie rukou 229">
                <a:extLst>
                  <a:ext uri="{FF2B5EF4-FFF2-40B4-BE49-F238E27FC236}">
                    <a16:creationId xmlns:a16="http://schemas.microsoft.com/office/drawing/2014/main" id="{7E0E65E4-96F9-4A5F-978D-D32628A6FB97}"/>
                  </a:ext>
                </a:extLst>
              </xdr14:cNvPr>
              <xdr14:cNvContentPartPr/>
            </xdr14:nvContentPartPr>
            <xdr14:nvPr macro=""/>
            <xdr14:xfrm>
              <a:off x="12029612" y="4847175"/>
              <a:ext cx="1422759" cy="394329"/>
            </xdr14:xfrm>
          </xdr14:contentPart>
        </mc:Choice>
        <mc:Fallback xmlns="">
          <xdr:pic>
            <xdr:nvPicPr>
              <xdr:cNvPr id="230" name="Písanie rukou 229">
                <a:extLst>
                  <a:ext uri="{FF2B5EF4-FFF2-40B4-BE49-F238E27FC236}">
                    <a16:creationId xmlns:a16="http://schemas.microsoft.com/office/drawing/2014/main" id="{7E0E65E4-96F9-4A5F-978D-D32628A6FB9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3"/>
              <a:stretch>
                <a:fillRect/>
              </a:stretch>
            </xdr:blipFill>
            <xdr:spPr>
              <a:xfrm>
                <a:off x="12021322" y="4838497"/>
                <a:ext cx="1439684" cy="411338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4">
            <xdr14:nvContentPartPr>
              <xdr14:cNvPr id="231" name="Písanie rukou 230">
                <a:extLst>
                  <a:ext uri="{FF2B5EF4-FFF2-40B4-BE49-F238E27FC236}">
                    <a16:creationId xmlns:a16="http://schemas.microsoft.com/office/drawing/2014/main" id="{379B946C-185A-4C45-A9A3-2293578FA9DE}"/>
                  </a:ext>
                </a:extLst>
              </xdr14:cNvPr>
              <xdr14:cNvContentPartPr/>
            </xdr14:nvContentPartPr>
            <xdr14:nvPr macro=""/>
            <xdr14:xfrm>
              <a:off x="11364623" y="5002151"/>
              <a:ext cx="349329" cy="211403"/>
            </xdr14:xfrm>
          </xdr14:contentPart>
        </mc:Choice>
        <mc:Fallback xmlns="">
          <xdr:pic>
            <xdr:nvPicPr>
              <xdr:cNvPr id="231" name="Písanie rukou 230">
                <a:extLst>
                  <a:ext uri="{FF2B5EF4-FFF2-40B4-BE49-F238E27FC236}">
                    <a16:creationId xmlns:a16="http://schemas.microsoft.com/office/drawing/2014/main" id="{379B946C-185A-4C45-A9A3-2293578FA9DE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5"/>
              <a:stretch>
                <a:fillRect/>
              </a:stretch>
            </xdr:blipFill>
            <xdr:spPr>
              <a:xfrm>
                <a:off x="11356379" y="4993749"/>
                <a:ext cx="366160" cy="227872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 xmlns:aink="http://schemas.microsoft.com/office/drawing/2016/ink">
        <mc:Choice Requires="xdr14 aink">
          <xdr14:contentPart xmlns:r="http://schemas.openxmlformats.org/officeDocument/2006/relationships" r:id="rId16">
            <xdr14:nvContentPartPr>
              <xdr14:cNvPr id="235" name="Písanie rukou 234">
                <a:extLst>
                  <a:ext uri="{FF2B5EF4-FFF2-40B4-BE49-F238E27FC236}">
                    <a16:creationId xmlns:a16="http://schemas.microsoft.com/office/drawing/2014/main" id="{9E6D2FD0-A6E0-4ADC-9190-83208538E81E}"/>
                  </a:ext>
                </a:extLst>
              </xdr14:cNvPr>
              <xdr14:cNvContentPartPr/>
            </xdr14:nvContentPartPr>
            <xdr14:nvPr macro=""/>
            <xdr14:xfrm>
              <a:off x="10772824" y="5385420"/>
              <a:ext cx="4073808" cy="1574394"/>
            </xdr14:xfrm>
          </xdr14:contentPart>
        </mc:Choice>
        <mc:Fallback xmlns="">
          <xdr:pic>
            <xdr:nvPicPr>
              <xdr:cNvPr id="235" name="Písanie rukou 234">
                <a:extLst>
                  <a:ext uri="{FF2B5EF4-FFF2-40B4-BE49-F238E27FC236}">
                    <a16:creationId xmlns:a16="http://schemas.microsoft.com/office/drawing/2014/main" id="{9E6D2FD0-A6E0-4ADC-9190-83208538E81E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10764269" y="5376813"/>
                <a:ext cx="4090575" cy="1591264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8">
            <xdr14:nvContentPartPr>
              <xdr14:cNvPr id="251" name="Písanie rukou 250">
                <a:extLst>
                  <a:ext uri="{FF2B5EF4-FFF2-40B4-BE49-F238E27FC236}">
                    <a16:creationId xmlns:a16="http://schemas.microsoft.com/office/drawing/2014/main" id="{27DB1E91-9FA6-4DF1-B26E-79328650F6EF}"/>
                  </a:ext>
                </a:extLst>
              </xdr14:cNvPr>
              <xdr14:cNvContentPartPr/>
            </xdr14:nvContentPartPr>
            <xdr14:nvPr macro=""/>
            <xdr14:xfrm>
              <a:off x="1626618" y="5425854"/>
              <a:ext cx="14010523" cy="5350270"/>
            </xdr14:xfrm>
          </xdr14:contentPart>
        </mc:Choice>
        <mc:Fallback xmlns="">
          <xdr:pic>
            <xdr:nvPicPr>
              <xdr:cNvPr id="251" name="Písanie rukou 250">
                <a:extLst>
                  <a:ext uri="{FF2B5EF4-FFF2-40B4-BE49-F238E27FC236}">
                    <a16:creationId xmlns:a16="http://schemas.microsoft.com/office/drawing/2014/main" id="{27DB1E91-9FA6-4DF1-B26E-79328650F6EF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9"/>
              <a:stretch>
                <a:fillRect/>
              </a:stretch>
            </xdr:blipFill>
            <xdr:spPr>
              <a:xfrm>
                <a:off x="1618402" y="5417515"/>
                <a:ext cx="14027297" cy="5367296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20">
            <xdr14:nvContentPartPr>
              <xdr14:cNvPr id="260" name="Písanie rukou 259">
                <a:extLst>
                  <a:ext uri="{FF2B5EF4-FFF2-40B4-BE49-F238E27FC236}">
                    <a16:creationId xmlns:a16="http://schemas.microsoft.com/office/drawing/2014/main" id="{A785CF60-5276-4229-B50F-0819E2686CCA}"/>
                  </a:ext>
                </a:extLst>
              </xdr14:cNvPr>
              <xdr14:cNvContentPartPr/>
            </xdr14:nvContentPartPr>
            <xdr14:nvPr macro=""/>
            <xdr14:xfrm>
              <a:off x="10817614" y="6577005"/>
              <a:ext cx="836328" cy="516669"/>
            </xdr14:xfrm>
          </xdr14:contentPart>
        </mc:Choice>
        <mc:Fallback xmlns="">
          <xdr:pic>
            <xdr:nvPicPr>
              <xdr:cNvPr id="260" name="Písanie rukou 259">
                <a:extLst>
                  <a:ext uri="{FF2B5EF4-FFF2-40B4-BE49-F238E27FC236}">
                    <a16:creationId xmlns:a16="http://schemas.microsoft.com/office/drawing/2014/main" id="{A785CF60-5276-4229-B50F-0819E2686CCA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1"/>
              <a:stretch>
                <a:fillRect/>
              </a:stretch>
            </xdr:blipFill>
            <xdr:spPr>
              <a:xfrm>
                <a:off x="10809111" y="6568462"/>
                <a:ext cx="852993" cy="533413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22">
            <xdr14:nvContentPartPr>
              <xdr14:cNvPr id="281" name="Písanie rukou 280">
                <a:extLst>
                  <a:ext uri="{FF2B5EF4-FFF2-40B4-BE49-F238E27FC236}">
                    <a16:creationId xmlns:a16="http://schemas.microsoft.com/office/drawing/2014/main" id="{7AD14ED1-A5C7-40E1-B262-5E98E3F7595B}"/>
                  </a:ext>
                </a:extLst>
              </xdr14:cNvPr>
              <xdr14:cNvContentPartPr/>
            </xdr14:nvContentPartPr>
            <xdr14:nvPr macro=""/>
            <xdr14:xfrm>
              <a:off x="10781764" y="5740503"/>
              <a:ext cx="1662888" cy="1450777"/>
            </xdr14:xfrm>
          </xdr14:contentPart>
        </mc:Choice>
        <mc:Fallback xmlns="">
          <xdr:pic>
            <xdr:nvPicPr>
              <xdr:cNvPr id="281" name="Písanie rukou 280">
                <a:extLst>
                  <a:ext uri="{FF2B5EF4-FFF2-40B4-BE49-F238E27FC236}">
                    <a16:creationId xmlns:a16="http://schemas.microsoft.com/office/drawing/2014/main" id="{7AD14ED1-A5C7-40E1-B262-5E98E3F7595B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3"/>
              <a:stretch>
                <a:fillRect/>
              </a:stretch>
            </xdr:blipFill>
            <xdr:spPr>
              <a:xfrm>
                <a:off x="10773198" y="5731805"/>
                <a:ext cx="1679678" cy="1467824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24">
            <xdr14:nvContentPartPr>
              <xdr14:cNvPr id="282" name="Písanie rukou 281">
                <a:extLst>
                  <a:ext uri="{FF2B5EF4-FFF2-40B4-BE49-F238E27FC236}">
                    <a16:creationId xmlns:a16="http://schemas.microsoft.com/office/drawing/2014/main" id="{10E618D7-A981-4CC1-8A69-6E033744BEE0}"/>
                  </a:ext>
                </a:extLst>
              </xdr14:cNvPr>
              <xdr14:cNvContentPartPr/>
            </xdr14:nvContentPartPr>
            <xdr14:nvPr macro=""/>
            <xdr14:xfrm>
              <a:off x="11456533" y="5941879"/>
              <a:ext cx="151899" cy="246703"/>
            </xdr14:xfrm>
          </xdr14:contentPart>
        </mc:Choice>
        <mc:Fallback xmlns="">
          <xdr:pic>
            <xdr:nvPicPr>
              <xdr:cNvPr id="282" name="Písanie rukou 281">
                <a:extLst>
                  <a:ext uri="{FF2B5EF4-FFF2-40B4-BE49-F238E27FC236}">
                    <a16:creationId xmlns:a16="http://schemas.microsoft.com/office/drawing/2014/main" id="{10E618D7-A981-4CC1-8A69-6E033744BEE0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5"/>
              <a:stretch>
                <a:fillRect/>
              </a:stretch>
            </xdr:blipFill>
            <xdr:spPr>
              <a:xfrm>
                <a:off x="11448114" y="5933395"/>
                <a:ext cx="169088" cy="263331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26">
            <xdr14:nvContentPartPr>
              <xdr14:cNvPr id="283" name="Písanie rukou 282">
                <a:extLst>
                  <a:ext uri="{FF2B5EF4-FFF2-40B4-BE49-F238E27FC236}">
                    <a16:creationId xmlns:a16="http://schemas.microsoft.com/office/drawing/2014/main" id="{5B493788-221E-4A83-BB85-0EA21882BCEF}"/>
                  </a:ext>
                </a:extLst>
              </xdr14:cNvPr>
              <xdr14:cNvContentPartPr/>
            </xdr14:nvContentPartPr>
            <xdr14:nvPr macro=""/>
            <xdr14:xfrm>
              <a:off x="12411802" y="6937167"/>
              <a:ext cx="80810" cy="360"/>
            </xdr14:xfrm>
          </xdr14:contentPart>
        </mc:Choice>
        <mc:Fallback xmlns="">
          <xdr:pic>
            <xdr:nvPicPr>
              <xdr:cNvPr id="283" name="Písanie rukou 282">
                <a:extLst>
                  <a:ext uri="{FF2B5EF4-FFF2-40B4-BE49-F238E27FC236}">
                    <a16:creationId xmlns:a16="http://schemas.microsoft.com/office/drawing/2014/main" id="{5B493788-221E-4A83-BB85-0EA21882BCEF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7"/>
              <a:stretch>
                <a:fillRect/>
              </a:stretch>
            </xdr:blipFill>
            <xdr:spPr>
              <a:xfrm>
                <a:off x="12403853" y="6928167"/>
                <a:ext cx="97038" cy="1800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28">
            <xdr14:nvContentPartPr>
              <xdr14:cNvPr id="293" name="Písanie rukou 292">
                <a:extLst>
                  <a:ext uri="{FF2B5EF4-FFF2-40B4-BE49-F238E27FC236}">
                    <a16:creationId xmlns:a16="http://schemas.microsoft.com/office/drawing/2014/main" id="{0FBBFBD6-B08F-4E38-9741-C20E3DBE62B5}"/>
                  </a:ext>
                </a:extLst>
              </xdr14:cNvPr>
              <xdr14:cNvContentPartPr/>
            </xdr14:nvContentPartPr>
            <xdr14:nvPr macro=""/>
            <xdr14:xfrm>
              <a:off x="14641023" y="5740593"/>
              <a:ext cx="892168" cy="267452"/>
            </xdr14:xfrm>
          </xdr14:contentPart>
        </mc:Choice>
        <mc:Fallback xmlns="">
          <xdr:pic>
            <xdr:nvPicPr>
              <xdr:cNvPr id="293" name="Písanie rukou 292">
                <a:extLst>
                  <a:ext uri="{FF2B5EF4-FFF2-40B4-BE49-F238E27FC236}">
                    <a16:creationId xmlns:a16="http://schemas.microsoft.com/office/drawing/2014/main" id="{0FBBFBD6-B08F-4E38-9741-C20E3DBE62B5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9"/>
              <a:stretch>
                <a:fillRect/>
              </a:stretch>
            </xdr:blipFill>
            <xdr:spPr>
              <a:xfrm>
                <a:off x="14632467" y="5732102"/>
                <a:ext cx="908937" cy="284787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30">
            <xdr14:nvContentPartPr>
              <xdr14:cNvPr id="294" name="Písanie rukou 293">
                <a:extLst>
                  <a:ext uri="{FF2B5EF4-FFF2-40B4-BE49-F238E27FC236}">
                    <a16:creationId xmlns:a16="http://schemas.microsoft.com/office/drawing/2014/main" id="{6BAFC747-3C3E-4E3A-AE0B-BC3BB036F389}"/>
                  </a:ext>
                </a:extLst>
              </xdr14:cNvPr>
              <xdr14:cNvContentPartPr/>
            </xdr14:nvContentPartPr>
            <xdr14:nvPr macro=""/>
            <xdr14:xfrm>
              <a:off x="14030721" y="5763353"/>
              <a:ext cx="346952" cy="204596"/>
            </xdr14:xfrm>
          </xdr14:contentPart>
        </mc:Choice>
        <mc:Fallback xmlns="">
          <xdr:pic>
            <xdr:nvPicPr>
              <xdr:cNvPr id="294" name="Písanie rukou 293">
                <a:extLst>
                  <a:ext uri="{FF2B5EF4-FFF2-40B4-BE49-F238E27FC236}">
                    <a16:creationId xmlns:a16="http://schemas.microsoft.com/office/drawing/2014/main" id="{6BAFC747-3C3E-4E3A-AE0B-BC3BB036F389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31"/>
              <a:stretch>
                <a:fillRect/>
              </a:stretch>
            </xdr:blipFill>
            <xdr:spPr>
              <a:xfrm>
                <a:off x="14022525" y="5754968"/>
                <a:ext cx="363685" cy="221031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32">
            <xdr14:nvContentPartPr>
              <xdr14:cNvPr id="295" name="Písanie rukou 294">
                <a:extLst>
                  <a:ext uri="{FF2B5EF4-FFF2-40B4-BE49-F238E27FC236}">
                    <a16:creationId xmlns:a16="http://schemas.microsoft.com/office/drawing/2014/main" id="{34F8E951-773F-4CFD-BA30-195A0A7D424B}"/>
                  </a:ext>
                </a:extLst>
              </xdr14:cNvPr>
              <xdr14:cNvContentPartPr/>
            </xdr14:nvContentPartPr>
            <xdr14:nvPr macro=""/>
            <xdr14:xfrm>
              <a:off x="14118963" y="6214462"/>
              <a:ext cx="114500" cy="4300"/>
            </xdr14:xfrm>
          </xdr14:contentPart>
        </mc:Choice>
        <mc:Fallback xmlns="">
          <xdr:pic>
            <xdr:nvPicPr>
              <xdr:cNvPr id="295" name="Písanie rukou 294">
                <a:extLst>
                  <a:ext uri="{FF2B5EF4-FFF2-40B4-BE49-F238E27FC236}">
                    <a16:creationId xmlns:a16="http://schemas.microsoft.com/office/drawing/2014/main" id="{34F8E951-773F-4CFD-BA30-195A0A7D424B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33"/>
              <a:stretch>
                <a:fillRect/>
              </a:stretch>
            </xdr:blipFill>
            <xdr:spPr>
              <a:xfrm>
                <a:off x="14110559" y="6210162"/>
                <a:ext cx="131657" cy="12728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34">
            <xdr14:nvContentPartPr>
              <xdr14:cNvPr id="302" name="Písanie rukou 301">
                <a:extLst>
                  <a:ext uri="{FF2B5EF4-FFF2-40B4-BE49-F238E27FC236}">
                    <a16:creationId xmlns:a16="http://schemas.microsoft.com/office/drawing/2014/main" id="{0B864300-504C-49B6-A54E-8B3D91EE27B8}"/>
                  </a:ext>
                </a:extLst>
              </xdr14:cNvPr>
              <xdr14:cNvContentPartPr/>
            </xdr14:nvContentPartPr>
            <xdr14:nvPr macro=""/>
            <xdr14:xfrm>
              <a:off x="14449693" y="6210352"/>
              <a:ext cx="996228" cy="232526"/>
            </xdr14:xfrm>
          </xdr14:contentPart>
        </mc:Choice>
        <mc:Fallback xmlns="">
          <xdr:pic>
            <xdr:nvPicPr>
              <xdr:cNvPr id="302" name="Písanie rukou 301">
                <a:extLst>
                  <a:ext uri="{FF2B5EF4-FFF2-40B4-BE49-F238E27FC236}">
                    <a16:creationId xmlns:a16="http://schemas.microsoft.com/office/drawing/2014/main" id="{0B864300-504C-49B6-A54E-8B3D91EE27B8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35"/>
              <a:stretch>
                <a:fillRect/>
              </a:stretch>
            </xdr:blipFill>
            <xdr:spPr>
              <a:xfrm>
                <a:off x="14441093" y="6202097"/>
                <a:ext cx="1013084" cy="249381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36">
            <xdr14:nvContentPartPr>
              <xdr14:cNvPr id="303" name="Písanie rukou 302">
                <a:extLst>
                  <a:ext uri="{FF2B5EF4-FFF2-40B4-BE49-F238E27FC236}">
                    <a16:creationId xmlns:a16="http://schemas.microsoft.com/office/drawing/2014/main" id="{B036BEFF-20EE-415D-9C11-4C268947556D}"/>
                  </a:ext>
                </a:extLst>
              </xdr14:cNvPr>
              <xdr14:cNvContentPartPr/>
            </xdr14:nvContentPartPr>
            <xdr14:nvPr macro=""/>
            <xdr14:xfrm>
              <a:off x="15724861" y="6155722"/>
              <a:ext cx="225380" cy="303106"/>
            </xdr14:xfrm>
          </xdr14:contentPart>
        </mc:Choice>
        <mc:Fallback xmlns="">
          <xdr:pic>
            <xdr:nvPicPr>
              <xdr:cNvPr id="303" name="Písanie rukou 302">
                <a:extLst>
                  <a:ext uri="{FF2B5EF4-FFF2-40B4-BE49-F238E27FC236}">
                    <a16:creationId xmlns:a16="http://schemas.microsoft.com/office/drawing/2014/main" id="{B036BEFF-20EE-415D-9C11-4C268947556D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37"/>
              <a:stretch>
                <a:fillRect/>
              </a:stretch>
            </xdr:blipFill>
            <xdr:spPr>
              <a:xfrm>
                <a:off x="15716152" y="6147302"/>
                <a:ext cx="242449" cy="320296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38">
            <xdr14:nvContentPartPr>
              <xdr14:cNvPr id="312" name="Písanie rukou 311">
                <a:extLst>
                  <a:ext uri="{FF2B5EF4-FFF2-40B4-BE49-F238E27FC236}">
                    <a16:creationId xmlns:a16="http://schemas.microsoft.com/office/drawing/2014/main" id="{FBEB70C5-2E35-4B94-B1D8-8D976F2F16F8}"/>
                  </a:ext>
                </a:extLst>
              </xdr14:cNvPr>
              <xdr14:cNvContentPartPr/>
            </xdr14:nvContentPartPr>
            <xdr14:nvPr macro=""/>
            <xdr14:xfrm>
              <a:off x="17200237" y="6015795"/>
              <a:ext cx="450760" cy="355423"/>
            </xdr14:xfrm>
          </xdr14:contentPart>
        </mc:Choice>
        <mc:Fallback xmlns="">
          <xdr:pic>
            <xdr:nvPicPr>
              <xdr:cNvPr id="312" name="Písanie rukou 311">
                <a:extLst>
                  <a:ext uri="{FF2B5EF4-FFF2-40B4-BE49-F238E27FC236}">
                    <a16:creationId xmlns:a16="http://schemas.microsoft.com/office/drawing/2014/main" id="{FBEB70C5-2E35-4B94-B1D8-8D976F2F16F8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39"/>
              <a:stretch>
                <a:fillRect/>
              </a:stretch>
            </xdr:blipFill>
            <xdr:spPr>
              <a:xfrm>
                <a:off x="17191909" y="6007218"/>
                <a:ext cx="467763" cy="372234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40">
            <xdr14:nvContentPartPr>
              <xdr14:cNvPr id="313" name="Písanie rukou 312">
                <a:extLst>
                  <a:ext uri="{FF2B5EF4-FFF2-40B4-BE49-F238E27FC236}">
                    <a16:creationId xmlns:a16="http://schemas.microsoft.com/office/drawing/2014/main" id="{782E8438-E358-4543-BC22-7F7FB5D006DF}"/>
                  </a:ext>
                </a:extLst>
              </xdr14:cNvPr>
              <xdr14:cNvContentPartPr/>
            </xdr14:nvContentPartPr>
            <xdr14:nvPr macro=""/>
            <xdr14:xfrm>
              <a:off x="16036221" y="6145492"/>
              <a:ext cx="1007760" cy="302596"/>
            </xdr14:xfrm>
          </xdr14:contentPart>
        </mc:Choice>
        <mc:Fallback xmlns="">
          <xdr:pic>
            <xdr:nvPicPr>
              <xdr:cNvPr id="313" name="Písanie rukou 312">
                <a:extLst>
                  <a:ext uri="{FF2B5EF4-FFF2-40B4-BE49-F238E27FC236}">
                    <a16:creationId xmlns:a16="http://schemas.microsoft.com/office/drawing/2014/main" id="{782E8438-E358-4543-BC22-7F7FB5D006DF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1"/>
              <a:stretch>
                <a:fillRect/>
              </a:stretch>
            </xdr:blipFill>
            <xdr:spPr>
              <a:xfrm>
                <a:off x="16027518" y="6136654"/>
                <a:ext cx="1024817" cy="319918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42">
            <xdr14:nvContentPartPr>
              <xdr14:cNvPr id="314" name="Písanie rukou 313">
                <a:extLst>
                  <a:ext uri="{FF2B5EF4-FFF2-40B4-BE49-F238E27FC236}">
                    <a16:creationId xmlns:a16="http://schemas.microsoft.com/office/drawing/2014/main" id="{0E199DDF-B0DE-4D4E-90C8-B52D0A81E0E6}"/>
                  </a:ext>
                </a:extLst>
              </xdr14:cNvPr>
              <xdr14:cNvContentPartPr/>
            </xdr14:nvContentPartPr>
            <xdr14:nvPr macro=""/>
            <xdr14:xfrm>
              <a:off x="15260692" y="6260142"/>
              <a:ext cx="107279" cy="360"/>
            </xdr14:xfrm>
          </xdr14:contentPart>
        </mc:Choice>
        <mc:Fallback xmlns="">
          <xdr:pic>
            <xdr:nvPicPr>
              <xdr:cNvPr id="314" name="Písanie rukou 313">
                <a:extLst>
                  <a:ext uri="{FF2B5EF4-FFF2-40B4-BE49-F238E27FC236}">
                    <a16:creationId xmlns:a16="http://schemas.microsoft.com/office/drawing/2014/main" id="{0E199DDF-B0DE-4D4E-90C8-B52D0A81E0E6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3"/>
              <a:stretch>
                <a:fillRect/>
              </a:stretch>
            </xdr:blipFill>
            <xdr:spPr>
              <a:xfrm>
                <a:off x="15251412" y="6251142"/>
                <a:ext cx="125468" cy="1800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44">
            <xdr14:nvContentPartPr>
              <xdr14:cNvPr id="319" name="Písanie rukou 318">
                <a:extLst>
                  <a:ext uri="{FF2B5EF4-FFF2-40B4-BE49-F238E27FC236}">
                    <a16:creationId xmlns:a16="http://schemas.microsoft.com/office/drawing/2014/main" id="{570CAAF2-4A1A-4DBF-A275-FE69C478C7C5}"/>
                  </a:ext>
                </a:extLst>
              </xdr14:cNvPr>
              <xdr14:cNvContentPartPr/>
            </xdr14:nvContentPartPr>
            <xdr14:nvPr macro=""/>
            <xdr14:xfrm>
              <a:off x="16021371" y="6657521"/>
              <a:ext cx="191520" cy="210846"/>
            </xdr14:xfrm>
          </xdr14:contentPart>
        </mc:Choice>
        <mc:Fallback xmlns="">
          <xdr:pic>
            <xdr:nvPicPr>
              <xdr:cNvPr id="319" name="Písanie rukou 318">
                <a:extLst>
                  <a:ext uri="{FF2B5EF4-FFF2-40B4-BE49-F238E27FC236}">
                    <a16:creationId xmlns:a16="http://schemas.microsoft.com/office/drawing/2014/main" id="{570CAAF2-4A1A-4DBF-A275-FE69C478C7C5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5"/>
              <a:stretch>
                <a:fillRect/>
              </a:stretch>
            </xdr:blipFill>
            <xdr:spPr>
              <a:xfrm>
                <a:off x="16012806" y="6649565"/>
                <a:ext cx="208308" cy="22709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46">
            <xdr14:nvContentPartPr>
              <xdr14:cNvPr id="320" name="Písanie rukou 319">
                <a:extLst>
                  <a:ext uri="{FF2B5EF4-FFF2-40B4-BE49-F238E27FC236}">
                    <a16:creationId xmlns:a16="http://schemas.microsoft.com/office/drawing/2014/main" id="{E4FABCD5-3A1D-4789-8881-467AB925F6B6}"/>
                  </a:ext>
                </a:extLst>
              </xdr14:cNvPr>
              <xdr14:cNvContentPartPr/>
            </xdr14:nvContentPartPr>
            <xdr14:nvPr macro=""/>
            <xdr14:xfrm>
              <a:off x="15103222" y="6662541"/>
              <a:ext cx="642769" cy="322643"/>
            </xdr14:xfrm>
          </xdr14:contentPart>
        </mc:Choice>
        <mc:Fallback xmlns="">
          <xdr:pic>
            <xdr:nvPicPr>
              <xdr:cNvPr id="320" name="Písanie rukou 319">
                <a:extLst>
                  <a:ext uri="{FF2B5EF4-FFF2-40B4-BE49-F238E27FC236}">
                    <a16:creationId xmlns:a16="http://schemas.microsoft.com/office/drawing/2014/main" id="{E4FABCD5-3A1D-4789-8881-467AB925F6B6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7"/>
              <a:stretch>
                <a:fillRect/>
              </a:stretch>
            </xdr:blipFill>
            <xdr:spPr>
              <a:xfrm>
                <a:off x="15094578" y="6654068"/>
                <a:ext cx="659711" cy="33925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48">
            <xdr14:nvContentPartPr>
              <xdr14:cNvPr id="325" name="Písanie rukou 324">
                <a:extLst>
                  <a:ext uri="{FF2B5EF4-FFF2-40B4-BE49-F238E27FC236}">
                    <a16:creationId xmlns:a16="http://schemas.microsoft.com/office/drawing/2014/main" id="{A971CD4D-A2FA-44E6-BFE7-ED7888045714}"/>
                  </a:ext>
                </a:extLst>
              </xdr14:cNvPr>
              <xdr14:cNvContentPartPr/>
            </xdr14:nvContentPartPr>
            <xdr14:nvPr macro=""/>
            <xdr14:xfrm>
              <a:off x="15376761" y="7218260"/>
              <a:ext cx="1018460" cy="225403"/>
            </xdr14:xfrm>
          </xdr14:contentPart>
        </mc:Choice>
        <mc:Fallback xmlns="">
          <xdr:pic>
            <xdr:nvPicPr>
              <xdr:cNvPr id="325" name="Písanie rukou 324">
                <a:extLst>
                  <a:ext uri="{FF2B5EF4-FFF2-40B4-BE49-F238E27FC236}">
                    <a16:creationId xmlns:a16="http://schemas.microsoft.com/office/drawing/2014/main" id="{A971CD4D-A2FA-44E6-BFE7-ED7888045714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9"/>
              <a:stretch>
                <a:fillRect/>
              </a:stretch>
            </xdr:blipFill>
            <xdr:spPr>
              <a:xfrm>
                <a:off x="15368545" y="7209591"/>
                <a:ext cx="1035235" cy="242395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0">
            <xdr14:nvContentPartPr>
              <xdr14:cNvPr id="348" name="Písanie rukou 347">
                <a:extLst>
                  <a:ext uri="{FF2B5EF4-FFF2-40B4-BE49-F238E27FC236}">
                    <a16:creationId xmlns:a16="http://schemas.microsoft.com/office/drawing/2014/main" id="{8C1AE137-EAFA-4FD0-9844-9C770778D6DA}"/>
                  </a:ext>
                </a:extLst>
              </xdr14:cNvPr>
              <xdr14:cNvContentPartPr/>
            </xdr14:nvContentPartPr>
            <xdr14:nvPr macro=""/>
            <xdr14:xfrm>
              <a:off x="14499443" y="7638369"/>
              <a:ext cx="2471758" cy="239476"/>
            </xdr14:xfrm>
          </xdr14:contentPart>
        </mc:Choice>
        <mc:Fallback xmlns="">
          <xdr:pic>
            <xdr:nvPicPr>
              <xdr:cNvPr id="348" name="Písanie rukou 347">
                <a:extLst>
                  <a:ext uri="{FF2B5EF4-FFF2-40B4-BE49-F238E27FC236}">
                    <a16:creationId xmlns:a16="http://schemas.microsoft.com/office/drawing/2014/main" id="{8C1AE137-EAFA-4FD0-9844-9C770778D6DA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1"/>
              <a:stretch>
                <a:fillRect/>
              </a:stretch>
            </xdr:blipFill>
            <xdr:spPr>
              <a:xfrm>
                <a:off x="14491187" y="7630065"/>
                <a:ext cx="2488615" cy="255751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2">
            <xdr14:nvContentPartPr>
              <xdr14:cNvPr id="353" name="Písanie rukou 352">
                <a:extLst>
                  <a:ext uri="{FF2B5EF4-FFF2-40B4-BE49-F238E27FC236}">
                    <a16:creationId xmlns:a16="http://schemas.microsoft.com/office/drawing/2014/main" id="{1A71B1AD-EE06-4559-A7D2-FBC3CB33CC13}"/>
                  </a:ext>
                </a:extLst>
              </xdr14:cNvPr>
              <xdr14:cNvContentPartPr/>
            </xdr14:nvContentPartPr>
            <xdr14:nvPr macro=""/>
            <xdr14:xfrm>
              <a:off x="17050971" y="7518693"/>
              <a:ext cx="492556" cy="318702"/>
            </xdr14:xfrm>
          </xdr14:contentPart>
        </mc:Choice>
        <mc:Fallback xmlns="">
          <xdr:pic>
            <xdr:nvPicPr>
              <xdr:cNvPr id="353" name="Písanie rukou 352">
                <a:extLst>
                  <a:ext uri="{FF2B5EF4-FFF2-40B4-BE49-F238E27FC236}">
                    <a16:creationId xmlns:a16="http://schemas.microsoft.com/office/drawing/2014/main" id="{1A71B1AD-EE06-4559-A7D2-FBC3CB33CC13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3"/>
              <a:stretch>
                <a:fillRect/>
              </a:stretch>
            </xdr:blipFill>
            <xdr:spPr>
              <a:xfrm>
                <a:off x="17042668" y="7510181"/>
                <a:ext cx="508831" cy="335386"/>
              </a:xfrm>
              <a:prstGeom prst="rect">
                <a:avLst/>
              </a:prstGeom>
            </xdr:spPr>
          </xdr:pic>
        </mc:Fallback>
      </mc:AlternateContent>
    </xdr:grpSp>
    <xdr:clientData/>
  </xdr:twoCellAnchor>
  <xdr:twoCellAnchor editAs="oneCell">
    <xdr:from>
      <xdr:col>0</xdr:col>
      <xdr:colOff>0</xdr:colOff>
      <xdr:row>36</xdr:row>
      <xdr:rowOff>149547</xdr:rowOff>
    </xdr:from>
    <xdr:to>
      <xdr:col>5</xdr:col>
      <xdr:colOff>225982</xdr:colOff>
      <xdr:row>51</xdr:row>
      <xdr:rowOff>13854</xdr:rowOff>
    </xdr:to>
    <xdr:pic>
      <xdr:nvPicPr>
        <xdr:cNvPr id="69" name="Obrázok 68">
          <a:extLst>
            <a:ext uri="{FF2B5EF4-FFF2-40B4-BE49-F238E27FC236}">
              <a16:creationId xmlns:a16="http://schemas.microsoft.com/office/drawing/2014/main" id="{6CFCAD61-75B5-4CCA-B216-7375CB84A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064"/>
        <a:stretch/>
      </xdr:blipFill>
      <xdr:spPr>
        <a:xfrm>
          <a:off x="0" y="6436047"/>
          <a:ext cx="6055282" cy="2436057"/>
        </a:xfrm>
        <a:prstGeom prst="rect">
          <a:avLst/>
        </a:prstGeom>
      </xdr:spPr>
    </xdr:pic>
    <xdr:clientData/>
  </xdr:twoCellAnchor>
  <xdr:twoCellAnchor editAs="oneCell">
    <xdr:from>
      <xdr:col>22</xdr:col>
      <xdr:colOff>580852</xdr:colOff>
      <xdr:row>43</xdr:row>
      <xdr:rowOff>53039</xdr:rowOff>
    </xdr:from>
    <xdr:to>
      <xdr:col>42</xdr:col>
      <xdr:colOff>247597</xdr:colOff>
      <xdr:row>76</xdr:row>
      <xdr:rowOff>99109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4" name="Písanie rukou 3">
              <a:extLst>
                <a:ext uri="{FF2B5EF4-FFF2-40B4-BE49-F238E27FC236}">
                  <a16:creationId xmlns:a16="http://schemas.microsoft.com/office/drawing/2014/main" id="{D0E9E026-469E-4CAE-A5F3-C28A0E3B0C8A}"/>
                </a:ext>
              </a:extLst>
            </xdr14:cNvPr>
            <xdr14:cNvContentPartPr/>
          </xdr14:nvContentPartPr>
          <xdr14:nvPr macro=""/>
          <xdr14:xfrm>
            <a:off x="21554902" y="7539689"/>
            <a:ext cx="11858745" cy="5703920"/>
          </xdr14:xfrm>
        </xdr:contentPart>
      </mc:Choice>
      <mc:Fallback xmlns="">
        <xdr:pic>
          <xdr:nvPicPr>
            <xdr:cNvPr id="4" name="Písanie rukou 3">
              <a:extLst>
                <a:ext uri="{FF2B5EF4-FFF2-40B4-BE49-F238E27FC236}">
                  <a16:creationId xmlns:a16="http://schemas.microsoft.com/office/drawing/2014/main" id="{D0E9E026-469E-4CAE-A5F3-C28A0E3B0C8A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1545902" y="7530486"/>
              <a:ext cx="11876385" cy="5721958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18</xdr:row>
      <xdr:rowOff>0</xdr:rowOff>
    </xdr:from>
    <xdr:to>
      <xdr:col>15</xdr:col>
      <xdr:colOff>0</xdr:colOff>
      <xdr:row>41</xdr:row>
      <xdr:rowOff>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52FE5FB9-3617-44F1-9B67-F635CC389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41</xdr:row>
      <xdr:rowOff>146050</xdr:rowOff>
    </xdr:from>
    <xdr:to>
      <xdr:col>15</xdr:col>
      <xdr:colOff>0</xdr:colOff>
      <xdr:row>63</xdr:row>
      <xdr:rowOff>0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26242F14-531F-4599-9E6C-ACC84CC49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158750</xdr:rowOff>
    </xdr:from>
    <xdr:to>
      <xdr:col>17</xdr:col>
      <xdr:colOff>0</xdr:colOff>
      <xdr:row>18</xdr:row>
      <xdr:rowOff>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AAEB29B-28E1-47AD-82FA-65EBAD48D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0</xdr:colOff>
      <xdr:row>24</xdr:row>
      <xdr:rowOff>0</xdr:rowOff>
    </xdr:from>
    <xdr:to>
      <xdr:col>15</xdr:col>
      <xdr:colOff>82523</xdr:colOff>
      <xdr:row>28</xdr:row>
      <xdr:rowOff>86920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6C0BA48B-B493-4D35-B701-755A134B8D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2654"/>
        <a:stretch/>
      </xdr:blipFill>
      <xdr:spPr>
        <a:xfrm>
          <a:off x="7856220" y="4030980"/>
          <a:ext cx="3130523" cy="757480"/>
        </a:xfrm>
        <a:prstGeom prst="rect">
          <a:avLst/>
        </a:prstGeom>
        <a:ln w="127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19</xdr:col>
      <xdr:colOff>187415</xdr:colOff>
      <xdr:row>38</xdr:row>
      <xdr:rowOff>131894</xdr:rowOff>
    </xdr:to>
    <xdr:pic>
      <xdr:nvPicPr>
        <xdr:cNvPr id="4" name="Obrázok 3">
          <a:extLst>
            <a:ext uri="{FF2B5EF4-FFF2-40B4-BE49-F238E27FC236}">
              <a16:creationId xmlns:a16="http://schemas.microsoft.com/office/drawing/2014/main" id="{E866B58E-B416-4CFE-8023-065EAE5E6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6220" y="5036820"/>
          <a:ext cx="5673815" cy="1488254"/>
        </a:xfrm>
        <a:prstGeom prst="rect">
          <a:avLst/>
        </a:prstGeom>
      </xdr:spPr>
    </xdr:pic>
    <xdr:clientData/>
  </xdr:twoCellAnchor>
  <xdr:twoCellAnchor editAs="oneCell">
    <xdr:from>
      <xdr:col>8</xdr:col>
      <xdr:colOff>717550</xdr:colOff>
      <xdr:row>40</xdr:row>
      <xdr:rowOff>12700</xdr:rowOff>
    </xdr:from>
    <xdr:to>
      <xdr:col>13</xdr:col>
      <xdr:colOff>182894</xdr:colOff>
      <xdr:row>43</xdr:row>
      <xdr:rowOff>13821</xdr:rowOff>
    </xdr:to>
    <xdr:pic>
      <xdr:nvPicPr>
        <xdr:cNvPr id="5" name="Obrázok 4">
          <a:extLst>
            <a:ext uri="{FF2B5EF4-FFF2-40B4-BE49-F238E27FC236}">
              <a16:creationId xmlns:a16="http://schemas.microsoft.com/office/drawing/2014/main" id="{09A9FDFB-3D86-4E32-B299-C8870C3FB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00" y="6470650"/>
          <a:ext cx="4189744" cy="490071"/>
        </a:xfrm>
        <a:prstGeom prst="rect">
          <a:avLst/>
        </a:prstGeom>
        <a:ln w="127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590804</xdr:colOff>
      <xdr:row>0</xdr:row>
      <xdr:rowOff>162039</xdr:rowOff>
    </xdr:from>
    <xdr:to>
      <xdr:col>10</xdr:col>
      <xdr:colOff>1</xdr:colOff>
      <xdr:row>18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D3993A4C-E51C-4675-A973-19732F4BF3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1954" y="162039"/>
              <a:ext cx="8254747" cy="2701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1</xdr:row>
      <xdr:rowOff>12700</xdr:rowOff>
    </xdr:from>
    <xdr:to>
      <xdr:col>24</xdr:col>
      <xdr:colOff>311807</xdr:colOff>
      <xdr:row>18</xdr:row>
      <xdr:rowOff>75762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 2">
              <a:extLst>
                <a:ext uri="{FF2B5EF4-FFF2-40B4-BE49-F238E27FC236}">
                  <a16:creationId xmlns:a16="http://schemas.microsoft.com/office/drawing/2014/main" id="{9554E492-76AF-4697-9857-23969EFE71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55850" y="177800"/>
              <a:ext cx="4579007" cy="2761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19</xdr:row>
      <xdr:rowOff>8758</xdr:rowOff>
    </xdr:from>
    <xdr:to>
      <xdr:col>14</xdr:col>
      <xdr:colOff>0</xdr:colOff>
      <xdr:row>34</xdr:row>
      <xdr:rowOff>0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B6C3BD38-67C0-4841-B542-DB50933A2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36</xdr:row>
      <xdr:rowOff>165651</xdr:rowOff>
    </xdr:from>
    <xdr:to>
      <xdr:col>14</xdr:col>
      <xdr:colOff>0</xdr:colOff>
      <xdr:row>52</xdr:row>
      <xdr:rowOff>0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02FA1C28-26E4-4C13-8BA0-DF0CF6572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607390</xdr:colOff>
      <xdr:row>19</xdr:row>
      <xdr:rowOff>0</xdr:rowOff>
    </xdr:from>
    <xdr:to>
      <xdr:col>30</xdr:col>
      <xdr:colOff>0</xdr:colOff>
      <xdr:row>34</xdr:row>
      <xdr:rowOff>0</xdr:rowOff>
    </xdr:to>
    <xdr:graphicFrame macro="">
      <xdr:nvGraphicFramePr>
        <xdr:cNvPr id="6" name="Graf 5">
          <a:extLst>
            <a:ext uri="{FF2B5EF4-FFF2-40B4-BE49-F238E27FC236}">
              <a16:creationId xmlns:a16="http://schemas.microsoft.com/office/drawing/2014/main" id="{C999B068-14ED-4326-8559-39ECD812F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</xdr:colOff>
      <xdr:row>34</xdr:row>
      <xdr:rowOff>165651</xdr:rowOff>
    </xdr:from>
    <xdr:to>
      <xdr:col>30</xdr:col>
      <xdr:colOff>0</xdr:colOff>
      <xdr:row>54</xdr:row>
      <xdr:rowOff>160129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897E9D9F-9390-49E3-B498-930BB9EED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</xdr:col>
      <xdr:colOff>571720</xdr:colOff>
      <xdr:row>95</xdr:row>
      <xdr:rowOff>36167</xdr:rowOff>
    </xdr:from>
    <xdr:to>
      <xdr:col>6</xdr:col>
      <xdr:colOff>212135</xdr:colOff>
      <xdr:row>97</xdr:row>
      <xdr:rowOff>88595</xdr:rowOff>
    </xdr:to>
    <xdr:pic>
      <xdr:nvPicPr>
        <xdr:cNvPr id="8" name="Obrázok 7">
          <a:extLst>
            <a:ext uri="{FF2B5EF4-FFF2-40B4-BE49-F238E27FC236}">
              <a16:creationId xmlns:a16="http://schemas.microsoft.com/office/drawing/2014/main" id="{CAF9ABC2-B336-4E7A-AF7C-1490C19D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6820" y="15257117"/>
          <a:ext cx="535765" cy="43342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565260</xdr:colOff>
      <xdr:row>98</xdr:row>
      <xdr:rowOff>103807</xdr:rowOff>
    </xdr:from>
    <xdr:to>
      <xdr:col>6</xdr:col>
      <xdr:colOff>517869</xdr:colOff>
      <xdr:row>101</xdr:row>
      <xdr:rowOff>84012</xdr:rowOff>
    </xdr:to>
    <xdr:pic>
      <xdr:nvPicPr>
        <xdr:cNvPr id="9" name="Obrázok 8">
          <a:extLst>
            <a:ext uri="{FF2B5EF4-FFF2-40B4-BE49-F238E27FC236}">
              <a16:creationId xmlns:a16="http://schemas.microsoft.com/office/drawing/2014/main" id="{B44E1CA3-EE44-4F8F-A4D7-C7C7F177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0360" y="15870857"/>
          <a:ext cx="847959" cy="46915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749300</xdr:colOff>
      <xdr:row>133</xdr:row>
      <xdr:rowOff>69850</xdr:rowOff>
    </xdr:from>
    <xdr:to>
      <xdr:col>8</xdr:col>
      <xdr:colOff>1604122</xdr:colOff>
      <xdr:row>147</xdr:row>
      <xdr:rowOff>55159</xdr:rowOff>
    </xdr:to>
    <xdr:pic>
      <xdr:nvPicPr>
        <xdr:cNvPr id="10" name="Obrázok 9">
          <a:extLst>
            <a:ext uri="{FF2B5EF4-FFF2-40B4-BE49-F238E27FC236}">
              <a16:creationId xmlns:a16="http://schemas.microsoft.com/office/drawing/2014/main" id="{CD73FD9F-DBB5-4608-9862-B4E8DDE55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94400" y="21443950"/>
          <a:ext cx="2969372" cy="2207809"/>
        </a:xfrm>
        <a:prstGeom prst="rect">
          <a:avLst/>
        </a:prstGeom>
        <a:ln w="127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2</xdr:col>
      <xdr:colOff>457200</xdr:colOff>
      <xdr:row>133</xdr:row>
      <xdr:rowOff>57150</xdr:rowOff>
    </xdr:from>
    <xdr:to>
      <xdr:col>5</xdr:col>
      <xdr:colOff>365374</xdr:colOff>
      <xdr:row>140</xdr:row>
      <xdr:rowOff>96531</xdr:rowOff>
    </xdr:to>
    <xdr:pic>
      <xdr:nvPicPr>
        <xdr:cNvPr id="11" name="Obrázok 10">
          <a:extLst>
            <a:ext uri="{FF2B5EF4-FFF2-40B4-BE49-F238E27FC236}">
              <a16:creationId xmlns:a16="http://schemas.microsoft.com/office/drawing/2014/main" id="{59272763-955B-4BC8-8161-B8FE8B2F3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38350" y="21431250"/>
          <a:ext cx="3572124" cy="115063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590804</xdr:colOff>
      <xdr:row>0</xdr:row>
      <xdr:rowOff>162039</xdr:rowOff>
    </xdr:from>
    <xdr:to>
      <xdr:col>10</xdr:col>
      <xdr:colOff>1</xdr:colOff>
      <xdr:row>18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E405578-755C-4FAF-BB6F-3C83B3672C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1954" y="162039"/>
              <a:ext cx="8254747" cy="2701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1</xdr:row>
      <xdr:rowOff>12700</xdr:rowOff>
    </xdr:from>
    <xdr:to>
      <xdr:col>24</xdr:col>
      <xdr:colOff>311807</xdr:colOff>
      <xdr:row>18</xdr:row>
      <xdr:rowOff>75762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 2">
              <a:extLst>
                <a:ext uri="{FF2B5EF4-FFF2-40B4-BE49-F238E27FC236}">
                  <a16:creationId xmlns:a16="http://schemas.microsoft.com/office/drawing/2014/main" id="{22FFB0D2-8493-49AB-861D-B311A36BE7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55850" y="177800"/>
              <a:ext cx="4579007" cy="2761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19</xdr:row>
      <xdr:rowOff>8758</xdr:rowOff>
    </xdr:from>
    <xdr:to>
      <xdr:col>14</xdr:col>
      <xdr:colOff>0</xdr:colOff>
      <xdr:row>34</xdr:row>
      <xdr:rowOff>0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64FA2FF0-9C4F-43C7-872C-34621E0F9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36</xdr:row>
      <xdr:rowOff>165651</xdr:rowOff>
    </xdr:from>
    <xdr:to>
      <xdr:col>14</xdr:col>
      <xdr:colOff>0</xdr:colOff>
      <xdr:row>52</xdr:row>
      <xdr:rowOff>0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C89F48FA-75EC-46D5-BBAC-ACB02F48F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607390</xdr:colOff>
      <xdr:row>19</xdr:row>
      <xdr:rowOff>0</xdr:rowOff>
    </xdr:from>
    <xdr:to>
      <xdr:col>30</xdr:col>
      <xdr:colOff>0</xdr:colOff>
      <xdr:row>34</xdr:row>
      <xdr:rowOff>0</xdr:rowOff>
    </xdr:to>
    <xdr:graphicFrame macro="">
      <xdr:nvGraphicFramePr>
        <xdr:cNvPr id="6" name="Graf 5">
          <a:extLst>
            <a:ext uri="{FF2B5EF4-FFF2-40B4-BE49-F238E27FC236}">
              <a16:creationId xmlns:a16="http://schemas.microsoft.com/office/drawing/2014/main" id="{340F4ABD-F0CF-4360-8B98-21191ABB8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</xdr:colOff>
      <xdr:row>34</xdr:row>
      <xdr:rowOff>165651</xdr:rowOff>
    </xdr:from>
    <xdr:to>
      <xdr:col>30</xdr:col>
      <xdr:colOff>0</xdr:colOff>
      <xdr:row>54</xdr:row>
      <xdr:rowOff>160129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6FA8400E-6880-4B11-864A-BA3AFC4CA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</xdr:col>
      <xdr:colOff>571720</xdr:colOff>
      <xdr:row>95</xdr:row>
      <xdr:rowOff>36167</xdr:rowOff>
    </xdr:from>
    <xdr:to>
      <xdr:col>6</xdr:col>
      <xdr:colOff>212135</xdr:colOff>
      <xdr:row>97</xdr:row>
      <xdr:rowOff>88595</xdr:rowOff>
    </xdr:to>
    <xdr:pic>
      <xdr:nvPicPr>
        <xdr:cNvPr id="8" name="Obrázok 7">
          <a:extLst>
            <a:ext uri="{FF2B5EF4-FFF2-40B4-BE49-F238E27FC236}">
              <a16:creationId xmlns:a16="http://schemas.microsoft.com/office/drawing/2014/main" id="{9AA3B26E-6773-43EF-A8F4-8EAD1561E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9581" y="15289419"/>
          <a:ext cx="541563" cy="43011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565260</xdr:colOff>
      <xdr:row>98</xdr:row>
      <xdr:rowOff>103807</xdr:rowOff>
    </xdr:from>
    <xdr:to>
      <xdr:col>6</xdr:col>
      <xdr:colOff>517869</xdr:colOff>
      <xdr:row>101</xdr:row>
      <xdr:rowOff>84012</xdr:rowOff>
    </xdr:to>
    <xdr:pic>
      <xdr:nvPicPr>
        <xdr:cNvPr id="9" name="Obrázok 8">
          <a:extLst>
            <a:ext uri="{FF2B5EF4-FFF2-40B4-BE49-F238E27FC236}">
              <a16:creationId xmlns:a16="http://schemas.microsoft.com/office/drawing/2014/main" id="{C000A94B-6184-4109-98F4-772A6953E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3121" y="15900398"/>
          <a:ext cx="853757" cy="47053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590804</xdr:colOff>
      <xdr:row>0</xdr:row>
      <xdr:rowOff>162039</xdr:rowOff>
    </xdr:from>
    <xdr:to>
      <xdr:col>10</xdr:col>
      <xdr:colOff>1</xdr:colOff>
      <xdr:row>18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2749B32F-840D-4ADF-840A-2F300C3C03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0004" y="162039"/>
              <a:ext cx="4419347" cy="2701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1</xdr:row>
      <xdr:rowOff>12700</xdr:rowOff>
    </xdr:from>
    <xdr:to>
      <xdr:col>24</xdr:col>
      <xdr:colOff>311807</xdr:colOff>
      <xdr:row>18</xdr:row>
      <xdr:rowOff>75762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f 3">
              <a:extLst>
                <a:ext uri="{FF2B5EF4-FFF2-40B4-BE49-F238E27FC236}">
                  <a16:creationId xmlns:a16="http://schemas.microsoft.com/office/drawing/2014/main" id="{5B52952A-9FFE-4CFE-9501-2F360DF6B7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96550" y="177800"/>
              <a:ext cx="4579007" cy="2761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19</xdr:row>
      <xdr:rowOff>8758</xdr:rowOff>
    </xdr:from>
    <xdr:to>
      <xdr:col>14</xdr:col>
      <xdr:colOff>0</xdr:colOff>
      <xdr:row>34</xdr:row>
      <xdr:rowOff>0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2B9C2E17-A466-4E84-9153-329AFCA5D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36</xdr:row>
      <xdr:rowOff>165651</xdr:rowOff>
    </xdr:from>
    <xdr:to>
      <xdr:col>14</xdr:col>
      <xdr:colOff>0</xdr:colOff>
      <xdr:row>52</xdr:row>
      <xdr:rowOff>0</xdr:rowOff>
    </xdr:to>
    <xdr:graphicFrame macro="">
      <xdr:nvGraphicFramePr>
        <xdr:cNvPr id="6" name="Graf 5">
          <a:extLst>
            <a:ext uri="{FF2B5EF4-FFF2-40B4-BE49-F238E27FC236}">
              <a16:creationId xmlns:a16="http://schemas.microsoft.com/office/drawing/2014/main" id="{EEA8CA73-9C94-4277-9506-F220A34A8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607390</xdr:colOff>
      <xdr:row>19</xdr:row>
      <xdr:rowOff>0</xdr:rowOff>
    </xdr:from>
    <xdr:to>
      <xdr:col>30</xdr:col>
      <xdr:colOff>0</xdr:colOff>
      <xdr:row>34</xdr:row>
      <xdr:rowOff>0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1D77E264-7017-4F80-BACB-9AEE8DB4B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</xdr:colOff>
      <xdr:row>34</xdr:row>
      <xdr:rowOff>165651</xdr:rowOff>
    </xdr:from>
    <xdr:to>
      <xdr:col>30</xdr:col>
      <xdr:colOff>0</xdr:colOff>
      <xdr:row>54</xdr:row>
      <xdr:rowOff>160129</xdr:rowOff>
    </xdr:to>
    <xdr:graphicFrame macro="">
      <xdr:nvGraphicFramePr>
        <xdr:cNvPr id="8" name="Graf 7">
          <a:extLst>
            <a:ext uri="{FF2B5EF4-FFF2-40B4-BE49-F238E27FC236}">
              <a16:creationId xmlns:a16="http://schemas.microsoft.com/office/drawing/2014/main" id="{FED5B786-046B-4B2D-A50A-EF22641EE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16</xdr:col>
      <xdr:colOff>320261</xdr:colOff>
      <xdr:row>18</xdr:row>
      <xdr:rowOff>15461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3C89030E-FC7F-43C6-9BD9-90C849743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610576</xdr:colOff>
      <xdr:row>18</xdr:row>
      <xdr:rowOff>161191</xdr:rowOff>
    </xdr:from>
    <xdr:to>
      <xdr:col>20</xdr:col>
      <xdr:colOff>0</xdr:colOff>
      <xdr:row>38</xdr:row>
      <xdr:rowOff>161192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31DD4EF4-1E03-44BA-9D4C-564A3446F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19</xdr:col>
      <xdr:colOff>285047</xdr:colOff>
      <xdr:row>17</xdr:row>
      <xdr:rowOff>138375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F12051F4-7967-4FEF-81DE-6B9138138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2</xdr:row>
      <xdr:rowOff>0</xdr:rowOff>
    </xdr:from>
    <xdr:to>
      <xdr:col>27</xdr:col>
      <xdr:colOff>293174</xdr:colOff>
      <xdr:row>17</xdr:row>
      <xdr:rowOff>153653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959D8DF4-1738-499F-BB6A-5C5BF946C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322105</xdr:colOff>
      <xdr:row>36</xdr:row>
      <xdr:rowOff>2233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767BF8E4-650D-4424-9C65-02489FB80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19</xdr:row>
      <xdr:rowOff>0</xdr:rowOff>
    </xdr:from>
    <xdr:to>
      <xdr:col>27</xdr:col>
      <xdr:colOff>313910</xdr:colOff>
      <xdr:row>35</xdr:row>
      <xdr:rowOff>94035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CB4C92AE-B01E-47C7-B175-C2CEB8988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0</xdr:rowOff>
    </xdr:from>
    <xdr:to>
      <xdr:col>4</xdr:col>
      <xdr:colOff>368691</xdr:colOff>
      <xdr:row>38</xdr:row>
      <xdr:rowOff>80890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9DCADBDF-B25B-4AE9-85E6-4566AAC0A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5</xdr:col>
      <xdr:colOff>291807</xdr:colOff>
      <xdr:row>98</xdr:row>
      <xdr:rowOff>82159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C1FA53BA-0996-4EBD-956C-37CE0FD25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12</xdr:row>
      <xdr:rowOff>0</xdr:rowOff>
    </xdr:from>
    <xdr:to>
      <xdr:col>17</xdr:col>
      <xdr:colOff>0</xdr:colOff>
      <xdr:row>25</xdr:row>
      <xdr:rowOff>96477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0BFE71E8-E54A-486C-82D1-7DF79E737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2179320"/>
          <a:ext cx="4876800" cy="3533097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0</xdr:row>
      <xdr:rowOff>91440</xdr:rowOff>
    </xdr:from>
    <xdr:to>
      <xdr:col>13</xdr:col>
      <xdr:colOff>436561</xdr:colOff>
      <xdr:row>11</xdr:row>
      <xdr:rowOff>11212</xdr:rowOff>
    </xdr:to>
    <xdr:pic>
      <xdr:nvPicPr>
        <xdr:cNvPr id="4" name="Obrázok 3">
          <a:extLst>
            <a:ext uri="{FF2B5EF4-FFF2-40B4-BE49-F238E27FC236}">
              <a16:creationId xmlns:a16="http://schemas.microsoft.com/office/drawing/2014/main" id="{F3CC6FB8-D889-4564-9E13-AF0CEDBF5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" y="91440"/>
          <a:ext cx="10853101" cy="176381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</xdr:colOff>
      <xdr:row>98</xdr:row>
      <xdr:rowOff>15246</xdr:rowOff>
    </xdr:from>
    <xdr:to>
      <xdr:col>16</xdr:col>
      <xdr:colOff>403860</xdr:colOff>
      <xdr:row>114</xdr:row>
      <xdr:rowOff>76206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 2">
              <a:extLst>
                <a:ext uri="{FF2B5EF4-FFF2-40B4-BE49-F238E27FC236}">
                  <a16:creationId xmlns:a16="http://schemas.microsoft.com/office/drawing/2014/main" id="{0F376F35-52C8-476B-AFE0-CA90882631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10770" y="16861796"/>
              <a:ext cx="4568190" cy="26454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19</xdr:col>
      <xdr:colOff>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FA60D72E-F866-4D64-AC83-376747D83D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42200" y="0"/>
              <a:ext cx="5600700" cy="3841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10</xdr:row>
      <xdr:rowOff>0</xdr:rowOff>
    </xdr:from>
    <xdr:to>
      <xdr:col>4</xdr:col>
      <xdr:colOff>167702</xdr:colOff>
      <xdr:row>17</xdr:row>
      <xdr:rowOff>0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880C1354-7D6B-4153-86CF-6D19B8D7C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131820"/>
          <a:ext cx="3558602" cy="1173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23</xdr:row>
      <xdr:rowOff>168165</xdr:rowOff>
    </xdr:from>
    <xdr:to>
      <xdr:col>13</xdr:col>
      <xdr:colOff>571500</xdr:colOff>
      <xdr:row>35</xdr:row>
      <xdr:rowOff>0</xdr:rowOff>
    </xdr:to>
    <xdr:grpSp>
      <xdr:nvGrpSpPr>
        <xdr:cNvPr id="3" name="Group 6">
          <a:extLst>
            <a:ext uri="{FF2B5EF4-FFF2-40B4-BE49-F238E27FC236}">
              <a16:creationId xmlns:a16="http://schemas.microsoft.com/office/drawing/2014/main" id="{C115F512-7BA9-4989-858D-97EE8873995B}"/>
            </a:ext>
          </a:extLst>
        </xdr:cNvPr>
        <xdr:cNvGrpSpPr>
          <a:grpSpLocks/>
        </xdr:cNvGrpSpPr>
      </xdr:nvGrpSpPr>
      <xdr:grpSpPr bwMode="auto">
        <a:xfrm>
          <a:off x="3822700" y="3819415"/>
          <a:ext cx="7575550" cy="1743185"/>
          <a:chOff x="62" y="2452"/>
          <a:chExt cx="3378" cy="1346"/>
        </a:xfrm>
      </xdr:grpSpPr>
      <xdr:sp macro="" textlink="">
        <xdr:nvSpPr>
          <xdr:cNvPr id="4" name="Freeform 7">
            <a:extLst>
              <a:ext uri="{FF2B5EF4-FFF2-40B4-BE49-F238E27FC236}">
                <a16:creationId xmlns:a16="http://schemas.microsoft.com/office/drawing/2014/main" id="{564C90D6-1281-4FF6-9F58-90B72A25968B}"/>
              </a:ext>
            </a:extLst>
          </xdr:cNvPr>
          <xdr:cNvSpPr>
            <a:spLocks/>
          </xdr:cNvSpPr>
        </xdr:nvSpPr>
        <xdr:spPr bwMode="auto">
          <a:xfrm>
            <a:off x="968" y="2994"/>
            <a:ext cx="285" cy="675"/>
          </a:xfrm>
          <a:custGeom>
            <a:avLst/>
            <a:gdLst>
              <a:gd name="T0" fmla="*/ 284 w 285"/>
              <a:gd name="T1" fmla="*/ 674 h 675"/>
              <a:gd name="T2" fmla="*/ 254 w 285"/>
              <a:gd name="T3" fmla="*/ 667 h 675"/>
              <a:gd name="T4" fmla="*/ 239 w 285"/>
              <a:gd name="T5" fmla="*/ 659 h 675"/>
              <a:gd name="T6" fmla="*/ 225 w 285"/>
              <a:gd name="T7" fmla="*/ 648 h 675"/>
              <a:gd name="T8" fmla="*/ 210 w 285"/>
              <a:gd name="T9" fmla="*/ 633 h 675"/>
              <a:gd name="T10" fmla="*/ 195 w 285"/>
              <a:gd name="T11" fmla="*/ 612 h 675"/>
              <a:gd name="T12" fmla="*/ 180 w 285"/>
              <a:gd name="T13" fmla="*/ 583 h 675"/>
              <a:gd name="T14" fmla="*/ 150 w 285"/>
              <a:gd name="T15" fmla="*/ 506 h 675"/>
              <a:gd name="T16" fmla="*/ 119 w 285"/>
              <a:gd name="T17" fmla="*/ 396 h 675"/>
              <a:gd name="T18" fmla="*/ 91 w 285"/>
              <a:gd name="T19" fmla="*/ 263 h 675"/>
              <a:gd name="T20" fmla="*/ 76 w 285"/>
              <a:gd name="T21" fmla="*/ 197 h 675"/>
              <a:gd name="T22" fmla="*/ 61 w 285"/>
              <a:gd name="T23" fmla="*/ 133 h 675"/>
              <a:gd name="T24" fmla="*/ 45 w 285"/>
              <a:gd name="T25" fmla="*/ 78 h 675"/>
              <a:gd name="T26" fmla="*/ 30 w 285"/>
              <a:gd name="T27" fmla="*/ 36 h 675"/>
              <a:gd name="T28" fmla="*/ 15 w 285"/>
              <a:gd name="T29" fmla="*/ 10 h 675"/>
              <a:gd name="T30" fmla="*/ 0 w 285"/>
              <a:gd name="T31" fmla="*/ 0 h 675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285"/>
              <a:gd name="T49" fmla="*/ 0 h 675"/>
              <a:gd name="T50" fmla="*/ 285 w 285"/>
              <a:gd name="T51" fmla="*/ 675 h 675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285" h="675">
                <a:moveTo>
                  <a:pt x="284" y="674"/>
                </a:moveTo>
                <a:lnTo>
                  <a:pt x="254" y="667"/>
                </a:lnTo>
                <a:lnTo>
                  <a:pt x="239" y="659"/>
                </a:lnTo>
                <a:lnTo>
                  <a:pt x="225" y="648"/>
                </a:lnTo>
                <a:lnTo>
                  <a:pt x="210" y="633"/>
                </a:lnTo>
                <a:lnTo>
                  <a:pt x="195" y="612"/>
                </a:lnTo>
                <a:lnTo>
                  <a:pt x="180" y="583"/>
                </a:lnTo>
                <a:lnTo>
                  <a:pt x="150" y="506"/>
                </a:lnTo>
                <a:lnTo>
                  <a:pt x="119" y="396"/>
                </a:lnTo>
                <a:lnTo>
                  <a:pt x="91" y="263"/>
                </a:lnTo>
                <a:lnTo>
                  <a:pt x="76" y="197"/>
                </a:lnTo>
                <a:lnTo>
                  <a:pt x="61" y="133"/>
                </a:lnTo>
                <a:lnTo>
                  <a:pt x="45" y="78"/>
                </a:lnTo>
                <a:lnTo>
                  <a:pt x="30" y="36"/>
                </a:lnTo>
                <a:lnTo>
                  <a:pt x="15" y="10"/>
                </a:lnTo>
                <a:lnTo>
                  <a:pt x="0" y="0"/>
                </a:lnTo>
              </a:path>
            </a:pathLst>
          </a:custGeom>
          <a:noFill/>
          <a:ln w="25400" cap="rnd">
            <a:solidFill>
              <a:srgbClr val="00FF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  <xdr:txBody>
          <a:bodyPr wrap="square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5" name="Freeform 8">
            <a:extLst>
              <a:ext uri="{FF2B5EF4-FFF2-40B4-BE49-F238E27FC236}">
                <a16:creationId xmlns:a16="http://schemas.microsoft.com/office/drawing/2014/main" id="{E8A81CD9-7405-4F1E-A2D4-0FC03390A281}"/>
              </a:ext>
            </a:extLst>
          </xdr:cNvPr>
          <xdr:cNvSpPr>
            <a:spLocks/>
          </xdr:cNvSpPr>
        </xdr:nvSpPr>
        <xdr:spPr bwMode="auto">
          <a:xfrm>
            <a:off x="116" y="2994"/>
            <a:ext cx="853" cy="675"/>
          </a:xfrm>
          <a:custGeom>
            <a:avLst/>
            <a:gdLst>
              <a:gd name="T0" fmla="*/ 0 w 853"/>
              <a:gd name="T1" fmla="*/ 674 h 675"/>
              <a:gd name="T2" fmla="*/ 90 w 853"/>
              <a:gd name="T3" fmla="*/ 667 h 675"/>
              <a:gd name="T4" fmla="*/ 134 w 853"/>
              <a:gd name="T5" fmla="*/ 659 h 675"/>
              <a:gd name="T6" fmla="*/ 179 w 853"/>
              <a:gd name="T7" fmla="*/ 648 h 675"/>
              <a:gd name="T8" fmla="*/ 225 w 853"/>
              <a:gd name="T9" fmla="*/ 633 h 675"/>
              <a:gd name="T10" fmla="*/ 269 w 853"/>
              <a:gd name="T11" fmla="*/ 612 h 675"/>
              <a:gd name="T12" fmla="*/ 314 w 853"/>
              <a:gd name="T13" fmla="*/ 583 h 675"/>
              <a:gd name="T14" fmla="*/ 403 w 853"/>
              <a:gd name="T15" fmla="*/ 506 h 675"/>
              <a:gd name="T16" fmla="*/ 494 w 853"/>
              <a:gd name="T17" fmla="*/ 396 h 675"/>
              <a:gd name="T18" fmla="*/ 583 w 853"/>
              <a:gd name="T19" fmla="*/ 263 h 675"/>
              <a:gd name="T20" fmla="*/ 628 w 853"/>
              <a:gd name="T21" fmla="*/ 197 h 675"/>
              <a:gd name="T22" fmla="*/ 674 w 853"/>
              <a:gd name="T23" fmla="*/ 133 h 675"/>
              <a:gd name="T24" fmla="*/ 717 w 853"/>
              <a:gd name="T25" fmla="*/ 78 h 675"/>
              <a:gd name="T26" fmla="*/ 763 w 853"/>
              <a:gd name="T27" fmla="*/ 36 h 675"/>
              <a:gd name="T28" fmla="*/ 808 w 853"/>
              <a:gd name="T29" fmla="*/ 10 h 675"/>
              <a:gd name="T30" fmla="*/ 852 w 853"/>
              <a:gd name="T31" fmla="*/ 0 h 675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853"/>
              <a:gd name="T49" fmla="*/ 0 h 675"/>
              <a:gd name="T50" fmla="*/ 853 w 853"/>
              <a:gd name="T51" fmla="*/ 675 h 675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853" h="675">
                <a:moveTo>
                  <a:pt x="0" y="674"/>
                </a:moveTo>
                <a:lnTo>
                  <a:pt x="90" y="667"/>
                </a:lnTo>
                <a:lnTo>
                  <a:pt x="134" y="659"/>
                </a:lnTo>
                <a:lnTo>
                  <a:pt x="179" y="648"/>
                </a:lnTo>
                <a:lnTo>
                  <a:pt x="225" y="633"/>
                </a:lnTo>
                <a:lnTo>
                  <a:pt x="269" y="612"/>
                </a:lnTo>
                <a:lnTo>
                  <a:pt x="314" y="583"/>
                </a:lnTo>
                <a:lnTo>
                  <a:pt x="403" y="506"/>
                </a:lnTo>
                <a:lnTo>
                  <a:pt x="494" y="396"/>
                </a:lnTo>
                <a:lnTo>
                  <a:pt x="583" y="263"/>
                </a:lnTo>
                <a:lnTo>
                  <a:pt x="628" y="197"/>
                </a:lnTo>
                <a:lnTo>
                  <a:pt x="674" y="133"/>
                </a:lnTo>
                <a:lnTo>
                  <a:pt x="717" y="78"/>
                </a:lnTo>
                <a:lnTo>
                  <a:pt x="763" y="36"/>
                </a:lnTo>
                <a:lnTo>
                  <a:pt x="808" y="10"/>
                </a:lnTo>
                <a:lnTo>
                  <a:pt x="852" y="0"/>
                </a:lnTo>
              </a:path>
            </a:pathLst>
          </a:custGeom>
          <a:noFill/>
          <a:ln w="25400" cap="rnd">
            <a:solidFill>
              <a:srgbClr val="00FF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  <xdr:txBody>
          <a:bodyPr wrap="square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6" name="Freeform 9">
            <a:extLst>
              <a:ext uri="{FF2B5EF4-FFF2-40B4-BE49-F238E27FC236}">
                <a16:creationId xmlns:a16="http://schemas.microsoft.com/office/drawing/2014/main" id="{14674CBA-C253-4B5A-B86D-A3C9D4F117DA}"/>
              </a:ext>
            </a:extLst>
          </xdr:cNvPr>
          <xdr:cNvSpPr>
            <a:spLocks/>
          </xdr:cNvSpPr>
        </xdr:nvSpPr>
        <xdr:spPr bwMode="auto">
          <a:xfrm>
            <a:off x="2460" y="2994"/>
            <a:ext cx="570" cy="675"/>
          </a:xfrm>
          <a:custGeom>
            <a:avLst/>
            <a:gdLst>
              <a:gd name="T0" fmla="*/ 569 w 570"/>
              <a:gd name="T1" fmla="*/ 674 h 675"/>
              <a:gd name="T2" fmla="*/ 508 w 570"/>
              <a:gd name="T3" fmla="*/ 667 h 675"/>
              <a:gd name="T4" fmla="*/ 478 w 570"/>
              <a:gd name="T5" fmla="*/ 659 h 675"/>
              <a:gd name="T6" fmla="*/ 449 w 570"/>
              <a:gd name="T7" fmla="*/ 648 h 675"/>
              <a:gd name="T8" fmla="*/ 419 w 570"/>
              <a:gd name="T9" fmla="*/ 633 h 675"/>
              <a:gd name="T10" fmla="*/ 389 w 570"/>
              <a:gd name="T11" fmla="*/ 612 h 675"/>
              <a:gd name="T12" fmla="*/ 358 w 570"/>
              <a:gd name="T13" fmla="*/ 583 h 675"/>
              <a:gd name="T14" fmla="*/ 300 w 570"/>
              <a:gd name="T15" fmla="*/ 506 h 675"/>
              <a:gd name="T16" fmla="*/ 239 w 570"/>
              <a:gd name="T17" fmla="*/ 396 h 675"/>
              <a:gd name="T18" fmla="*/ 178 w 570"/>
              <a:gd name="T19" fmla="*/ 263 h 675"/>
              <a:gd name="T20" fmla="*/ 150 w 570"/>
              <a:gd name="T21" fmla="*/ 197 h 675"/>
              <a:gd name="T22" fmla="*/ 120 w 570"/>
              <a:gd name="T23" fmla="*/ 133 h 675"/>
              <a:gd name="T24" fmla="*/ 89 w 570"/>
              <a:gd name="T25" fmla="*/ 78 h 675"/>
              <a:gd name="T26" fmla="*/ 59 w 570"/>
              <a:gd name="T27" fmla="*/ 36 h 675"/>
              <a:gd name="T28" fmla="*/ 29 w 570"/>
              <a:gd name="T29" fmla="*/ 10 h 675"/>
              <a:gd name="T30" fmla="*/ 0 w 570"/>
              <a:gd name="T31" fmla="*/ 0 h 675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570"/>
              <a:gd name="T49" fmla="*/ 0 h 675"/>
              <a:gd name="T50" fmla="*/ 570 w 570"/>
              <a:gd name="T51" fmla="*/ 675 h 675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570" h="675">
                <a:moveTo>
                  <a:pt x="569" y="674"/>
                </a:moveTo>
                <a:lnTo>
                  <a:pt x="508" y="667"/>
                </a:lnTo>
                <a:lnTo>
                  <a:pt x="478" y="659"/>
                </a:lnTo>
                <a:lnTo>
                  <a:pt x="449" y="648"/>
                </a:lnTo>
                <a:lnTo>
                  <a:pt x="419" y="633"/>
                </a:lnTo>
                <a:lnTo>
                  <a:pt x="389" y="612"/>
                </a:lnTo>
                <a:lnTo>
                  <a:pt x="358" y="583"/>
                </a:lnTo>
                <a:lnTo>
                  <a:pt x="300" y="506"/>
                </a:lnTo>
                <a:lnTo>
                  <a:pt x="239" y="396"/>
                </a:lnTo>
                <a:lnTo>
                  <a:pt x="178" y="263"/>
                </a:lnTo>
                <a:lnTo>
                  <a:pt x="150" y="197"/>
                </a:lnTo>
                <a:lnTo>
                  <a:pt x="120" y="133"/>
                </a:lnTo>
                <a:lnTo>
                  <a:pt x="89" y="78"/>
                </a:lnTo>
                <a:lnTo>
                  <a:pt x="59" y="36"/>
                </a:lnTo>
                <a:lnTo>
                  <a:pt x="29" y="10"/>
                </a:lnTo>
                <a:lnTo>
                  <a:pt x="0" y="0"/>
                </a:lnTo>
              </a:path>
            </a:pathLst>
          </a:custGeom>
          <a:noFill/>
          <a:ln w="25400" cap="rnd">
            <a:solidFill>
              <a:srgbClr val="00FF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  <xdr:txBody>
          <a:bodyPr wrap="square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7" name="Freeform 10">
            <a:extLst>
              <a:ext uri="{FF2B5EF4-FFF2-40B4-BE49-F238E27FC236}">
                <a16:creationId xmlns:a16="http://schemas.microsoft.com/office/drawing/2014/main" id="{6753CF23-2DA3-4A14-BA8C-FB278434A4AB}"/>
              </a:ext>
            </a:extLst>
          </xdr:cNvPr>
          <xdr:cNvSpPr>
            <a:spLocks/>
          </xdr:cNvSpPr>
        </xdr:nvSpPr>
        <xdr:spPr bwMode="auto">
          <a:xfrm>
            <a:off x="1892" y="2994"/>
            <a:ext cx="569" cy="675"/>
          </a:xfrm>
          <a:custGeom>
            <a:avLst/>
            <a:gdLst>
              <a:gd name="T0" fmla="*/ 0 w 569"/>
              <a:gd name="T1" fmla="*/ 674 h 675"/>
              <a:gd name="T2" fmla="*/ 59 w 569"/>
              <a:gd name="T3" fmla="*/ 667 h 675"/>
              <a:gd name="T4" fmla="*/ 89 w 569"/>
              <a:gd name="T5" fmla="*/ 659 h 675"/>
              <a:gd name="T6" fmla="*/ 120 w 569"/>
              <a:gd name="T7" fmla="*/ 648 h 675"/>
              <a:gd name="T8" fmla="*/ 150 w 569"/>
              <a:gd name="T9" fmla="*/ 633 h 675"/>
              <a:gd name="T10" fmla="*/ 178 w 569"/>
              <a:gd name="T11" fmla="*/ 612 h 675"/>
              <a:gd name="T12" fmla="*/ 209 w 569"/>
              <a:gd name="T13" fmla="*/ 583 h 675"/>
              <a:gd name="T14" fmla="*/ 269 w 569"/>
              <a:gd name="T15" fmla="*/ 506 h 675"/>
              <a:gd name="T16" fmla="*/ 328 w 569"/>
              <a:gd name="T17" fmla="*/ 396 h 675"/>
              <a:gd name="T18" fmla="*/ 389 w 569"/>
              <a:gd name="T19" fmla="*/ 263 h 675"/>
              <a:gd name="T20" fmla="*/ 419 w 569"/>
              <a:gd name="T21" fmla="*/ 197 h 675"/>
              <a:gd name="T22" fmla="*/ 449 w 569"/>
              <a:gd name="T23" fmla="*/ 133 h 675"/>
              <a:gd name="T24" fmla="*/ 478 w 569"/>
              <a:gd name="T25" fmla="*/ 78 h 675"/>
              <a:gd name="T26" fmla="*/ 508 w 569"/>
              <a:gd name="T27" fmla="*/ 36 h 675"/>
              <a:gd name="T28" fmla="*/ 538 w 569"/>
              <a:gd name="T29" fmla="*/ 10 h 675"/>
              <a:gd name="T30" fmla="*/ 568 w 569"/>
              <a:gd name="T31" fmla="*/ 0 h 675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569"/>
              <a:gd name="T49" fmla="*/ 0 h 675"/>
              <a:gd name="T50" fmla="*/ 569 w 569"/>
              <a:gd name="T51" fmla="*/ 675 h 675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569" h="675">
                <a:moveTo>
                  <a:pt x="0" y="674"/>
                </a:moveTo>
                <a:lnTo>
                  <a:pt x="59" y="667"/>
                </a:lnTo>
                <a:lnTo>
                  <a:pt x="89" y="659"/>
                </a:lnTo>
                <a:lnTo>
                  <a:pt x="120" y="648"/>
                </a:lnTo>
                <a:lnTo>
                  <a:pt x="150" y="633"/>
                </a:lnTo>
                <a:lnTo>
                  <a:pt x="178" y="612"/>
                </a:lnTo>
                <a:lnTo>
                  <a:pt x="209" y="583"/>
                </a:lnTo>
                <a:lnTo>
                  <a:pt x="269" y="506"/>
                </a:lnTo>
                <a:lnTo>
                  <a:pt x="328" y="396"/>
                </a:lnTo>
                <a:lnTo>
                  <a:pt x="389" y="263"/>
                </a:lnTo>
                <a:lnTo>
                  <a:pt x="419" y="197"/>
                </a:lnTo>
                <a:lnTo>
                  <a:pt x="449" y="133"/>
                </a:lnTo>
                <a:lnTo>
                  <a:pt x="478" y="78"/>
                </a:lnTo>
                <a:lnTo>
                  <a:pt x="508" y="36"/>
                </a:lnTo>
                <a:lnTo>
                  <a:pt x="538" y="10"/>
                </a:lnTo>
                <a:lnTo>
                  <a:pt x="568" y="0"/>
                </a:lnTo>
              </a:path>
            </a:pathLst>
          </a:custGeom>
          <a:noFill/>
          <a:ln w="25400" cap="rnd">
            <a:solidFill>
              <a:srgbClr val="00FF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  <xdr:txBody>
          <a:bodyPr wrap="square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8" name="Rectangle 11">
            <a:extLst>
              <a:ext uri="{FF2B5EF4-FFF2-40B4-BE49-F238E27FC236}">
                <a16:creationId xmlns:a16="http://schemas.microsoft.com/office/drawing/2014/main" id="{BCCCCB3C-1296-4132-96C8-86698B09EC3E}"/>
              </a:ext>
            </a:extLst>
          </xdr:cNvPr>
          <xdr:cNvSpPr>
            <a:spLocks noChangeArrowheads="1"/>
          </xdr:cNvSpPr>
        </xdr:nvSpPr>
        <xdr:spPr bwMode="auto">
          <a:xfrm>
            <a:off x="62" y="2452"/>
            <a:ext cx="1127" cy="409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sk-SK" sz="1600" b="1">
                <a:solidFill>
                  <a:schemeClr val="tx1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Z</a:t>
            </a:r>
            <a:r>
              <a:rPr lang="en-US" sz="1600" b="1">
                <a:solidFill>
                  <a:schemeClr val="tx1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ošikmenie doľava</a:t>
            </a:r>
            <a:br>
              <a:rPr lang="sk-SK" sz="1600" b="1">
                <a:solidFill>
                  <a:schemeClr val="tx1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</a:br>
            <a:r>
              <a:rPr lang="en-US" sz="1600" b="1">
                <a:solidFill>
                  <a:schemeClr val="tx1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Left-Skewed</a:t>
            </a:r>
          </a:p>
        </xdr:txBody>
      </xdr:sp>
      <xdr:sp macro="" textlink="">
        <xdr:nvSpPr>
          <xdr:cNvPr id="9" name="Rectangle 12">
            <a:extLst>
              <a:ext uri="{FF2B5EF4-FFF2-40B4-BE49-F238E27FC236}">
                <a16:creationId xmlns:a16="http://schemas.microsoft.com/office/drawing/2014/main" id="{50661598-E65D-4E95-8678-6B734F5F48A5}"/>
              </a:ext>
            </a:extLst>
          </xdr:cNvPr>
          <xdr:cNvSpPr>
            <a:spLocks noChangeArrowheads="1"/>
          </xdr:cNvSpPr>
        </xdr:nvSpPr>
        <xdr:spPr bwMode="auto">
          <a:xfrm>
            <a:off x="1916" y="2452"/>
            <a:ext cx="993" cy="333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no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600" b="1" kern="1200">
                <a:solidFill>
                  <a:schemeClr val="tx1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  <a:ea typeface="+mn-ea"/>
                <a:cs typeface="+mn-cs"/>
              </a:rPr>
              <a:t>Symmetric</a:t>
            </a:r>
            <a:r>
              <a:rPr lang="sk-SK" sz="1600" b="1" kern="1200">
                <a:solidFill>
                  <a:schemeClr val="tx1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  <a:ea typeface="+mn-ea"/>
                <a:cs typeface="+mn-cs"/>
              </a:rPr>
              <a:t>ké</a:t>
            </a:r>
          </a:p>
          <a:p>
            <a:pPr>
              <a:defRPr/>
            </a:pPr>
            <a:r>
              <a:rPr lang="en-US" sz="1600" b="1" kern="1200">
                <a:solidFill>
                  <a:schemeClr val="tx1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  <a:ea typeface="+mn-ea"/>
                <a:cs typeface="+mn-cs"/>
              </a:rPr>
              <a:t>Symmetric</a:t>
            </a:r>
          </a:p>
        </xdr:txBody>
      </xdr:sp>
      <xdr:sp macro="" textlink="">
        <xdr:nvSpPr>
          <xdr:cNvPr id="10" name="Rectangle 13">
            <a:extLst>
              <a:ext uri="{FF2B5EF4-FFF2-40B4-BE49-F238E27FC236}">
                <a16:creationId xmlns:a16="http://schemas.microsoft.com/office/drawing/2014/main" id="{C0C7A67C-9F24-4CF4-A8F2-CBF9EDF2A431}"/>
              </a:ext>
            </a:extLst>
          </xdr:cNvPr>
          <xdr:cNvSpPr>
            <a:spLocks noChangeArrowheads="1"/>
          </xdr:cNvSpPr>
        </xdr:nvSpPr>
        <xdr:spPr bwMode="auto">
          <a:xfrm>
            <a:off x="1594" y="2767"/>
            <a:ext cx="434" cy="290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800" b="1">
                <a:solidFill>
                  <a:srgbClr val="00FF00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Mean</a:t>
            </a:r>
          </a:p>
        </xdr:txBody>
      </xdr:sp>
      <xdr:sp macro="" textlink="">
        <xdr:nvSpPr>
          <xdr:cNvPr id="11" name="Rectangle 14">
            <a:extLst>
              <a:ext uri="{FF2B5EF4-FFF2-40B4-BE49-F238E27FC236}">
                <a16:creationId xmlns:a16="http://schemas.microsoft.com/office/drawing/2014/main" id="{47CECCEC-BB9D-4B5C-A6F2-4E7B73418243}"/>
              </a:ext>
            </a:extLst>
          </xdr:cNvPr>
          <xdr:cNvSpPr>
            <a:spLocks noChangeArrowheads="1"/>
          </xdr:cNvSpPr>
        </xdr:nvSpPr>
        <xdr:spPr bwMode="auto">
          <a:xfrm>
            <a:off x="1960" y="2767"/>
            <a:ext cx="138" cy="290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800" b="1">
                <a:solidFill>
                  <a:srgbClr val="00FF00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 </a:t>
            </a:r>
          </a:p>
        </xdr:txBody>
      </xdr:sp>
      <xdr:sp macro="" textlink="">
        <xdr:nvSpPr>
          <xdr:cNvPr id="12" name="Rectangle 15">
            <a:extLst>
              <a:ext uri="{FF2B5EF4-FFF2-40B4-BE49-F238E27FC236}">
                <a16:creationId xmlns:a16="http://schemas.microsoft.com/office/drawing/2014/main" id="{B45E4AAA-D782-431E-A712-FE37B1F9B3EE}"/>
              </a:ext>
            </a:extLst>
          </xdr:cNvPr>
          <xdr:cNvSpPr>
            <a:spLocks noChangeArrowheads="1"/>
          </xdr:cNvSpPr>
        </xdr:nvSpPr>
        <xdr:spPr bwMode="auto">
          <a:xfrm>
            <a:off x="2000" y="2767"/>
            <a:ext cx="215" cy="290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800" b="1">
                <a:solidFill>
                  <a:srgbClr val="CDCDCD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= </a:t>
            </a:r>
          </a:p>
        </xdr:txBody>
      </xdr:sp>
      <xdr:sp macro="" textlink="">
        <xdr:nvSpPr>
          <xdr:cNvPr id="13" name="Rectangle 16">
            <a:extLst>
              <a:ext uri="{FF2B5EF4-FFF2-40B4-BE49-F238E27FC236}">
                <a16:creationId xmlns:a16="http://schemas.microsoft.com/office/drawing/2014/main" id="{1F2BF79C-FDD5-4F15-B184-C061393A1DE6}"/>
              </a:ext>
            </a:extLst>
          </xdr:cNvPr>
          <xdr:cNvSpPr>
            <a:spLocks noChangeArrowheads="1"/>
          </xdr:cNvSpPr>
        </xdr:nvSpPr>
        <xdr:spPr bwMode="auto">
          <a:xfrm>
            <a:off x="2123" y="2767"/>
            <a:ext cx="552" cy="290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800" b="1">
                <a:solidFill>
                  <a:schemeClr val="hlink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Median</a:t>
            </a:r>
          </a:p>
        </xdr:txBody>
      </xdr:sp>
      <xdr:sp macro="" textlink="">
        <xdr:nvSpPr>
          <xdr:cNvPr id="14" name="Rectangle 17">
            <a:extLst>
              <a:ext uri="{FF2B5EF4-FFF2-40B4-BE49-F238E27FC236}">
                <a16:creationId xmlns:a16="http://schemas.microsoft.com/office/drawing/2014/main" id="{0CF97224-B9F6-4B35-A7D9-297CC9EAA2C9}"/>
              </a:ext>
            </a:extLst>
          </xdr:cNvPr>
          <xdr:cNvSpPr>
            <a:spLocks noChangeArrowheads="1"/>
          </xdr:cNvSpPr>
        </xdr:nvSpPr>
        <xdr:spPr bwMode="auto">
          <a:xfrm>
            <a:off x="2615" y="2767"/>
            <a:ext cx="138" cy="290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800" b="1">
                <a:solidFill>
                  <a:srgbClr val="FF0000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 </a:t>
            </a:r>
          </a:p>
        </xdr:txBody>
      </xdr:sp>
      <xdr:sp macro="" textlink="">
        <xdr:nvSpPr>
          <xdr:cNvPr id="15" name="Rectangle 18">
            <a:extLst>
              <a:ext uri="{FF2B5EF4-FFF2-40B4-BE49-F238E27FC236}">
                <a16:creationId xmlns:a16="http://schemas.microsoft.com/office/drawing/2014/main" id="{B24EDD06-CEFF-4FB2-AC8C-5BB39C93902D}"/>
              </a:ext>
            </a:extLst>
          </xdr:cNvPr>
          <xdr:cNvSpPr>
            <a:spLocks noChangeArrowheads="1"/>
          </xdr:cNvSpPr>
        </xdr:nvSpPr>
        <xdr:spPr bwMode="auto">
          <a:xfrm>
            <a:off x="2655" y="2767"/>
            <a:ext cx="215" cy="290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800" b="1">
                <a:solidFill>
                  <a:srgbClr val="CDCDCD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= </a:t>
            </a:r>
          </a:p>
        </xdr:txBody>
      </xdr:sp>
      <xdr:sp macro="" textlink="">
        <xdr:nvSpPr>
          <xdr:cNvPr id="16" name="Rectangle 19">
            <a:extLst>
              <a:ext uri="{FF2B5EF4-FFF2-40B4-BE49-F238E27FC236}">
                <a16:creationId xmlns:a16="http://schemas.microsoft.com/office/drawing/2014/main" id="{B8B6C8FE-206C-4F37-8A75-8378548BEF21}"/>
              </a:ext>
            </a:extLst>
          </xdr:cNvPr>
          <xdr:cNvSpPr>
            <a:spLocks noChangeArrowheads="1"/>
          </xdr:cNvSpPr>
        </xdr:nvSpPr>
        <xdr:spPr bwMode="auto">
          <a:xfrm>
            <a:off x="2778" y="2767"/>
            <a:ext cx="444" cy="290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800" b="1">
                <a:solidFill>
                  <a:schemeClr val="accent2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Mode</a:t>
            </a:r>
          </a:p>
        </xdr:txBody>
      </xdr:sp>
      <xdr:sp macro="" textlink="">
        <xdr:nvSpPr>
          <xdr:cNvPr id="17" name="Rectangle 20">
            <a:extLst>
              <a:ext uri="{FF2B5EF4-FFF2-40B4-BE49-F238E27FC236}">
                <a16:creationId xmlns:a16="http://schemas.microsoft.com/office/drawing/2014/main" id="{CBD15FC7-A66E-47A8-9A30-BF9164E4CC02}"/>
              </a:ext>
            </a:extLst>
          </xdr:cNvPr>
          <xdr:cNvSpPr>
            <a:spLocks noChangeArrowheads="1"/>
          </xdr:cNvSpPr>
        </xdr:nvSpPr>
        <xdr:spPr bwMode="auto">
          <a:xfrm>
            <a:off x="3154" y="2901"/>
            <a:ext cx="116" cy="5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270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 algn="ctr" eaLnBrk="1" hangingPunct="1">
              <a:spcBef>
                <a:spcPct val="0"/>
              </a:spcBef>
              <a:buFontTx/>
              <a:buNone/>
            </a:pPr>
            <a:endParaRPr lang="sk-SK" altLang="sk-SK" sz="4400">
              <a:solidFill>
                <a:schemeClr val="tx2"/>
              </a:solidFill>
            </a:endParaRPr>
          </a:p>
        </xdr:txBody>
      </xdr:sp>
      <xdr:sp macro="" textlink="">
        <xdr:nvSpPr>
          <xdr:cNvPr id="18" name="Rectangle 21">
            <a:extLst>
              <a:ext uri="{FF2B5EF4-FFF2-40B4-BE49-F238E27FC236}">
                <a16:creationId xmlns:a16="http://schemas.microsoft.com/office/drawing/2014/main" id="{086C95F2-FD5B-4976-95EC-50A5D83E22A3}"/>
              </a:ext>
            </a:extLst>
          </xdr:cNvPr>
          <xdr:cNvSpPr>
            <a:spLocks noChangeArrowheads="1"/>
          </xdr:cNvSpPr>
        </xdr:nvSpPr>
        <xdr:spPr bwMode="auto">
          <a:xfrm>
            <a:off x="365" y="2764"/>
            <a:ext cx="176" cy="292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800" b="1">
                <a:solidFill>
                  <a:srgbClr val="00FF00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  </a:t>
            </a:r>
          </a:p>
        </xdr:txBody>
      </xdr:sp>
      <xdr:sp macro="" textlink="">
        <xdr:nvSpPr>
          <xdr:cNvPr id="19" name="Rectangle 22">
            <a:extLst>
              <a:ext uri="{FF2B5EF4-FFF2-40B4-BE49-F238E27FC236}">
                <a16:creationId xmlns:a16="http://schemas.microsoft.com/office/drawing/2014/main" id="{54C09EC2-F031-4E13-8130-050FD3DCB896}"/>
              </a:ext>
            </a:extLst>
          </xdr:cNvPr>
          <xdr:cNvSpPr>
            <a:spLocks noChangeArrowheads="1"/>
          </xdr:cNvSpPr>
        </xdr:nvSpPr>
        <xdr:spPr bwMode="auto">
          <a:xfrm>
            <a:off x="445" y="2764"/>
            <a:ext cx="552" cy="292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800" b="1">
                <a:solidFill>
                  <a:schemeClr val="hlink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Median</a:t>
            </a:r>
          </a:p>
        </xdr:txBody>
      </xdr:sp>
      <xdr:sp macro="" textlink="">
        <xdr:nvSpPr>
          <xdr:cNvPr id="20" name="Rectangle 23">
            <a:extLst>
              <a:ext uri="{FF2B5EF4-FFF2-40B4-BE49-F238E27FC236}">
                <a16:creationId xmlns:a16="http://schemas.microsoft.com/office/drawing/2014/main" id="{D084641F-5517-4F04-A374-E836B966B9FA}"/>
              </a:ext>
            </a:extLst>
          </xdr:cNvPr>
          <xdr:cNvSpPr>
            <a:spLocks noChangeArrowheads="1"/>
          </xdr:cNvSpPr>
        </xdr:nvSpPr>
        <xdr:spPr bwMode="auto">
          <a:xfrm>
            <a:off x="937" y="2764"/>
            <a:ext cx="176" cy="292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800" b="1">
                <a:solidFill>
                  <a:srgbClr val="FF0000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  </a:t>
            </a:r>
          </a:p>
        </xdr:txBody>
      </xdr:sp>
      <xdr:sp macro="" textlink="">
        <xdr:nvSpPr>
          <xdr:cNvPr id="21" name="Rectangle 24">
            <a:extLst>
              <a:ext uri="{FF2B5EF4-FFF2-40B4-BE49-F238E27FC236}">
                <a16:creationId xmlns:a16="http://schemas.microsoft.com/office/drawing/2014/main" id="{5A75FF38-7CDF-4B98-9B26-8BF8D976A3DD}"/>
              </a:ext>
            </a:extLst>
          </xdr:cNvPr>
          <xdr:cNvSpPr>
            <a:spLocks noChangeArrowheads="1"/>
          </xdr:cNvSpPr>
        </xdr:nvSpPr>
        <xdr:spPr bwMode="auto">
          <a:xfrm>
            <a:off x="1017" y="2764"/>
            <a:ext cx="444" cy="292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800" b="1">
                <a:solidFill>
                  <a:schemeClr val="accent2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Mode</a:t>
            </a:r>
          </a:p>
        </xdr:txBody>
      </xdr:sp>
      <xdr:sp macro="" textlink="">
        <xdr:nvSpPr>
          <xdr:cNvPr id="22" name="Rectangle 25">
            <a:extLst>
              <a:ext uri="{FF2B5EF4-FFF2-40B4-BE49-F238E27FC236}">
                <a16:creationId xmlns:a16="http://schemas.microsoft.com/office/drawing/2014/main" id="{D58007E2-44EF-4C2C-BE4A-AA30A224788E}"/>
              </a:ext>
            </a:extLst>
          </xdr:cNvPr>
          <xdr:cNvSpPr>
            <a:spLocks noChangeArrowheads="1"/>
          </xdr:cNvSpPr>
        </xdr:nvSpPr>
        <xdr:spPr bwMode="auto">
          <a:xfrm>
            <a:off x="1393" y="2897"/>
            <a:ext cx="116" cy="5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270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 algn="ctr" eaLnBrk="1" hangingPunct="1">
              <a:spcBef>
                <a:spcPct val="0"/>
              </a:spcBef>
              <a:buFontTx/>
              <a:buNone/>
            </a:pPr>
            <a:endParaRPr lang="sk-SK" altLang="sk-SK" sz="4400">
              <a:solidFill>
                <a:schemeClr val="tx2"/>
              </a:solidFill>
            </a:endParaRPr>
          </a:p>
        </xdr:txBody>
      </xdr:sp>
      <xdr:sp macro="" textlink="">
        <xdr:nvSpPr>
          <xdr:cNvPr id="23" name="Rectangle 26">
            <a:extLst>
              <a:ext uri="{FF2B5EF4-FFF2-40B4-BE49-F238E27FC236}">
                <a16:creationId xmlns:a16="http://schemas.microsoft.com/office/drawing/2014/main" id="{079A64A7-D0E9-482E-A54F-02CAF1FB86CB}"/>
              </a:ext>
            </a:extLst>
          </xdr:cNvPr>
          <xdr:cNvSpPr>
            <a:spLocks noChangeArrowheads="1"/>
          </xdr:cNvSpPr>
        </xdr:nvSpPr>
        <xdr:spPr bwMode="auto">
          <a:xfrm>
            <a:off x="3337" y="2767"/>
            <a:ext cx="103" cy="290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endParaRPr lang="sk-SK" sz="1800" b="1">
              <a:solidFill>
                <a:schemeClr val="accent2"/>
              </a:solidFill>
              <a:effectLst>
                <a:outerShdw blurRad="38100" dist="38100" dir="2700000" algn="tl">
                  <a:srgbClr val="C0C0C0"/>
                </a:outerShdw>
              </a:effectLst>
              <a:latin typeface="Arial" charset="0"/>
            </a:endParaRPr>
          </a:p>
        </xdr:txBody>
      </xdr:sp>
      <xdr:sp macro="" textlink="">
        <xdr:nvSpPr>
          <xdr:cNvPr id="24" name="Line 27">
            <a:extLst>
              <a:ext uri="{FF2B5EF4-FFF2-40B4-BE49-F238E27FC236}">
                <a16:creationId xmlns:a16="http://schemas.microsoft.com/office/drawing/2014/main" id="{85BCA197-0238-48F8-90F0-FDBC7DCAB3D5}"/>
              </a:ext>
            </a:extLst>
          </xdr:cNvPr>
          <xdr:cNvSpPr>
            <a:spLocks noChangeShapeType="1"/>
          </xdr:cNvSpPr>
        </xdr:nvSpPr>
        <xdr:spPr bwMode="auto">
          <a:xfrm>
            <a:off x="960" y="3038"/>
            <a:ext cx="0" cy="618"/>
          </a:xfrm>
          <a:prstGeom prst="line">
            <a:avLst/>
          </a:prstGeom>
          <a:noFill/>
          <a:ln w="25400">
            <a:solidFill>
              <a:schemeClr val="accent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25" name="Line 28">
            <a:extLst>
              <a:ext uri="{FF2B5EF4-FFF2-40B4-BE49-F238E27FC236}">
                <a16:creationId xmlns:a16="http://schemas.microsoft.com/office/drawing/2014/main" id="{C573E0D4-19B6-42E5-B352-021869474202}"/>
              </a:ext>
            </a:extLst>
          </xdr:cNvPr>
          <xdr:cNvSpPr>
            <a:spLocks noChangeShapeType="1"/>
          </xdr:cNvSpPr>
        </xdr:nvSpPr>
        <xdr:spPr bwMode="auto">
          <a:xfrm>
            <a:off x="756" y="3197"/>
            <a:ext cx="0" cy="463"/>
          </a:xfrm>
          <a:prstGeom prst="line">
            <a:avLst/>
          </a:prstGeom>
          <a:noFill/>
          <a:ln w="25400">
            <a:solidFill>
              <a:schemeClr val="hlink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26" name="Line 29">
            <a:extLst>
              <a:ext uri="{FF2B5EF4-FFF2-40B4-BE49-F238E27FC236}">
                <a16:creationId xmlns:a16="http://schemas.microsoft.com/office/drawing/2014/main" id="{D578E527-86FE-40E7-A6E1-6FB4E3CF1C86}"/>
              </a:ext>
            </a:extLst>
          </xdr:cNvPr>
          <xdr:cNvSpPr>
            <a:spLocks noChangeShapeType="1"/>
          </xdr:cNvSpPr>
        </xdr:nvSpPr>
        <xdr:spPr bwMode="auto">
          <a:xfrm>
            <a:off x="614" y="3392"/>
            <a:ext cx="0" cy="268"/>
          </a:xfrm>
          <a:prstGeom prst="line">
            <a:avLst/>
          </a:prstGeom>
          <a:noFill/>
          <a:ln w="25400">
            <a:solidFill>
              <a:srgbClr val="00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27" name="Line 30">
            <a:extLst>
              <a:ext uri="{FF2B5EF4-FFF2-40B4-BE49-F238E27FC236}">
                <a16:creationId xmlns:a16="http://schemas.microsoft.com/office/drawing/2014/main" id="{167437C0-49B1-4ECD-B8C5-174D6932D8B5}"/>
              </a:ext>
            </a:extLst>
          </xdr:cNvPr>
          <xdr:cNvSpPr>
            <a:spLocks noChangeShapeType="1"/>
          </xdr:cNvSpPr>
        </xdr:nvSpPr>
        <xdr:spPr bwMode="auto">
          <a:xfrm>
            <a:off x="2460" y="3027"/>
            <a:ext cx="0" cy="624"/>
          </a:xfrm>
          <a:prstGeom prst="line">
            <a:avLst/>
          </a:prstGeom>
          <a:noFill/>
          <a:ln w="25400">
            <a:solidFill>
              <a:schemeClr val="hlink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28" name="Line 31">
            <a:extLst>
              <a:ext uri="{FF2B5EF4-FFF2-40B4-BE49-F238E27FC236}">
                <a16:creationId xmlns:a16="http://schemas.microsoft.com/office/drawing/2014/main" id="{B3263250-6415-49B1-96DE-C81BCAFAE004}"/>
              </a:ext>
            </a:extLst>
          </xdr:cNvPr>
          <xdr:cNvSpPr>
            <a:spLocks noChangeShapeType="1"/>
          </xdr:cNvSpPr>
        </xdr:nvSpPr>
        <xdr:spPr bwMode="auto">
          <a:xfrm>
            <a:off x="618" y="2962"/>
            <a:ext cx="103" cy="155"/>
          </a:xfrm>
          <a:prstGeom prst="line">
            <a:avLst/>
          </a:prstGeom>
          <a:noFill/>
          <a:ln w="12700">
            <a:solidFill>
              <a:srgbClr val="CDCDCD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29" name="Freeform 32">
            <a:extLst>
              <a:ext uri="{FF2B5EF4-FFF2-40B4-BE49-F238E27FC236}">
                <a16:creationId xmlns:a16="http://schemas.microsoft.com/office/drawing/2014/main" id="{CCA55E20-98E8-4AEB-B5EB-062D4DD9C639}"/>
              </a:ext>
            </a:extLst>
          </xdr:cNvPr>
          <xdr:cNvSpPr>
            <a:spLocks/>
          </xdr:cNvSpPr>
        </xdr:nvSpPr>
        <xdr:spPr bwMode="auto">
          <a:xfrm>
            <a:off x="697" y="3098"/>
            <a:ext cx="54" cy="60"/>
          </a:xfrm>
          <a:custGeom>
            <a:avLst/>
            <a:gdLst>
              <a:gd name="T0" fmla="*/ 44 w 54"/>
              <a:gd name="T1" fmla="*/ 0 h 60"/>
              <a:gd name="T2" fmla="*/ 53 w 54"/>
              <a:gd name="T3" fmla="*/ 59 h 60"/>
              <a:gd name="T4" fmla="*/ 0 w 54"/>
              <a:gd name="T5" fmla="*/ 31 h 60"/>
              <a:gd name="T6" fmla="*/ 5 w 54"/>
              <a:gd name="T7" fmla="*/ 29 h 60"/>
              <a:gd name="T8" fmla="*/ 9 w 54"/>
              <a:gd name="T9" fmla="*/ 29 h 60"/>
              <a:gd name="T10" fmla="*/ 12 w 54"/>
              <a:gd name="T11" fmla="*/ 28 h 60"/>
              <a:gd name="T12" fmla="*/ 17 w 54"/>
              <a:gd name="T13" fmla="*/ 26 h 60"/>
              <a:gd name="T14" fmla="*/ 21 w 54"/>
              <a:gd name="T15" fmla="*/ 25 h 60"/>
              <a:gd name="T16" fmla="*/ 24 w 54"/>
              <a:gd name="T17" fmla="*/ 21 h 60"/>
              <a:gd name="T18" fmla="*/ 27 w 54"/>
              <a:gd name="T19" fmla="*/ 19 h 60"/>
              <a:gd name="T20" fmla="*/ 31 w 54"/>
              <a:gd name="T21" fmla="*/ 15 h 60"/>
              <a:gd name="T22" fmla="*/ 34 w 54"/>
              <a:gd name="T23" fmla="*/ 14 h 60"/>
              <a:gd name="T24" fmla="*/ 36 w 54"/>
              <a:gd name="T25" fmla="*/ 11 h 60"/>
              <a:gd name="T26" fmla="*/ 40 w 54"/>
              <a:gd name="T27" fmla="*/ 7 h 60"/>
              <a:gd name="T28" fmla="*/ 40 w 54"/>
              <a:gd name="T29" fmla="*/ 4 h 60"/>
              <a:gd name="T30" fmla="*/ 44 w 54"/>
              <a:gd name="T31" fmla="*/ 0 h 60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54"/>
              <a:gd name="T49" fmla="*/ 0 h 60"/>
              <a:gd name="T50" fmla="*/ 54 w 54"/>
              <a:gd name="T51" fmla="*/ 60 h 60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54" h="60">
                <a:moveTo>
                  <a:pt x="44" y="0"/>
                </a:moveTo>
                <a:lnTo>
                  <a:pt x="53" y="59"/>
                </a:lnTo>
                <a:lnTo>
                  <a:pt x="0" y="31"/>
                </a:lnTo>
                <a:lnTo>
                  <a:pt x="5" y="29"/>
                </a:lnTo>
                <a:lnTo>
                  <a:pt x="9" y="29"/>
                </a:lnTo>
                <a:lnTo>
                  <a:pt x="12" y="28"/>
                </a:lnTo>
                <a:lnTo>
                  <a:pt x="17" y="26"/>
                </a:lnTo>
                <a:lnTo>
                  <a:pt x="21" y="25"/>
                </a:lnTo>
                <a:lnTo>
                  <a:pt x="24" y="21"/>
                </a:lnTo>
                <a:lnTo>
                  <a:pt x="27" y="19"/>
                </a:lnTo>
                <a:lnTo>
                  <a:pt x="31" y="15"/>
                </a:lnTo>
                <a:lnTo>
                  <a:pt x="34" y="14"/>
                </a:lnTo>
                <a:lnTo>
                  <a:pt x="36" y="11"/>
                </a:lnTo>
                <a:lnTo>
                  <a:pt x="40" y="7"/>
                </a:lnTo>
                <a:lnTo>
                  <a:pt x="40" y="4"/>
                </a:lnTo>
                <a:lnTo>
                  <a:pt x="44" y="0"/>
                </a:lnTo>
              </a:path>
            </a:pathLst>
          </a:custGeom>
          <a:solidFill>
            <a:srgbClr val="CDCDCD"/>
          </a:solidFill>
          <a:ln>
            <a:noFill/>
          </a:ln>
          <a:extLst>
            <a:ext uri="{91240B29-F687-4F45-9708-019B960494DF}">
              <a14:hiddenLine xmlns:a14="http://schemas.microsoft.com/office/drawing/2010/main" w="12700" cap="rnd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wrap="square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30" name="Line 33">
            <a:extLst>
              <a:ext uri="{FF2B5EF4-FFF2-40B4-BE49-F238E27FC236}">
                <a16:creationId xmlns:a16="http://schemas.microsoft.com/office/drawing/2014/main" id="{22656485-AD85-4B8A-940E-AB52D59EB75B}"/>
              </a:ext>
            </a:extLst>
          </xdr:cNvPr>
          <xdr:cNvSpPr>
            <a:spLocks noChangeShapeType="1"/>
          </xdr:cNvSpPr>
        </xdr:nvSpPr>
        <xdr:spPr bwMode="auto">
          <a:xfrm>
            <a:off x="262" y="2962"/>
            <a:ext cx="314" cy="378"/>
          </a:xfrm>
          <a:prstGeom prst="line">
            <a:avLst/>
          </a:prstGeom>
          <a:noFill/>
          <a:ln w="12700">
            <a:solidFill>
              <a:srgbClr val="CDCDCD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31" name="Freeform 34">
            <a:extLst>
              <a:ext uri="{FF2B5EF4-FFF2-40B4-BE49-F238E27FC236}">
                <a16:creationId xmlns:a16="http://schemas.microsoft.com/office/drawing/2014/main" id="{DCD40347-67AE-425C-BEEB-93AA9DB38700}"/>
              </a:ext>
            </a:extLst>
          </xdr:cNvPr>
          <xdr:cNvSpPr>
            <a:spLocks/>
          </xdr:cNvSpPr>
        </xdr:nvSpPr>
        <xdr:spPr bwMode="auto">
          <a:xfrm>
            <a:off x="553" y="3322"/>
            <a:ext cx="56" cy="57"/>
          </a:xfrm>
          <a:custGeom>
            <a:avLst/>
            <a:gdLst>
              <a:gd name="T0" fmla="*/ 41 w 56"/>
              <a:gd name="T1" fmla="*/ 0 h 57"/>
              <a:gd name="T2" fmla="*/ 55 w 56"/>
              <a:gd name="T3" fmla="*/ 56 h 57"/>
              <a:gd name="T4" fmla="*/ 0 w 56"/>
              <a:gd name="T5" fmla="*/ 33 h 57"/>
              <a:gd name="T6" fmla="*/ 4 w 56"/>
              <a:gd name="T7" fmla="*/ 33 h 57"/>
              <a:gd name="T8" fmla="*/ 9 w 56"/>
              <a:gd name="T9" fmla="*/ 31 h 57"/>
              <a:gd name="T10" fmla="*/ 12 w 56"/>
              <a:gd name="T11" fmla="*/ 29 h 57"/>
              <a:gd name="T12" fmla="*/ 15 w 56"/>
              <a:gd name="T13" fmla="*/ 27 h 57"/>
              <a:gd name="T14" fmla="*/ 19 w 56"/>
              <a:gd name="T15" fmla="*/ 25 h 57"/>
              <a:gd name="T16" fmla="*/ 23 w 56"/>
              <a:gd name="T17" fmla="*/ 22 h 57"/>
              <a:gd name="T18" fmla="*/ 26 w 56"/>
              <a:gd name="T19" fmla="*/ 20 h 57"/>
              <a:gd name="T20" fmla="*/ 29 w 56"/>
              <a:gd name="T21" fmla="*/ 17 h 57"/>
              <a:gd name="T22" fmla="*/ 32 w 56"/>
              <a:gd name="T23" fmla="*/ 14 h 57"/>
              <a:gd name="T24" fmla="*/ 34 w 56"/>
              <a:gd name="T25" fmla="*/ 10 h 57"/>
              <a:gd name="T26" fmla="*/ 36 w 56"/>
              <a:gd name="T27" fmla="*/ 6 h 57"/>
              <a:gd name="T28" fmla="*/ 40 w 56"/>
              <a:gd name="T29" fmla="*/ 3 h 57"/>
              <a:gd name="T30" fmla="*/ 41 w 56"/>
              <a:gd name="T31" fmla="*/ 0 h 57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56"/>
              <a:gd name="T49" fmla="*/ 0 h 57"/>
              <a:gd name="T50" fmla="*/ 56 w 56"/>
              <a:gd name="T51" fmla="*/ 57 h 57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56" h="57">
                <a:moveTo>
                  <a:pt x="41" y="0"/>
                </a:moveTo>
                <a:lnTo>
                  <a:pt x="55" y="56"/>
                </a:lnTo>
                <a:lnTo>
                  <a:pt x="0" y="33"/>
                </a:lnTo>
                <a:lnTo>
                  <a:pt x="4" y="33"/>
                </a:lnTo>
                <a:lnTo>
                  <a:pt x="9" y="31"/>
                </a:lnTo>
                <a:lnTo>
                  <a:pt x="12" y="29"/>
                </a:lnTo>
                <a:lnTo>
                  <a:pt x="15" y="27"/>
                </a:lnTo>
                <a:lnTo>
                  <a:pt x="19" y="25"/>
                </a:lnTo>
                <a:lnTo>
                  <a:pt x="23" y="22"/>
                </a:lnTo>
                <a:lnTo>
                  <a:pt x="26" y="20"/>
                </a:lnTo>
                <a:lnTo>
                  <a:pt x="29" y="17"/>
                </a:lnTo>
                <a:lnTo>
                  <a:pt x="32" y="14"/>
                </a:lnTo>
                <a:lnTo>
                  <a:pt x="34" y="10"/>
                </a:lnTo>
                <a:lnTo>
                  <a:pt x="36" y="6"/>
                </a:lnTo>
                <a:lnTo>
                  <a:pt x="40" y="3"/>
                </a:lnTo>
                <a:lnTo>
                  <a:pt x="41" y="0"/>
                </a:lnTo>
              </a:path>
            </a:pathLst>
          </a:custGeom>
          <a:solidFill>
            <a:srgbClr val="CDCDCD"/>
          </a:solidFill>
          <a:ln>
            <a:noFill/>
          </a:ln>
          <a:extLst>
            <a:ext uri="{91240B29-F687-4F45-9708-019B960494DF}">
              <a14:hiddenLine xmlns:a14="http://schemas.microsoft.com/office/drawing/2010/main" w="12700" cap="rnd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wrap="square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32" name="Line 35">
            <a:extLst>
              <a:ext uri="{FF2B5EF4-FFF2-40B4-BE49-F238E27FC236}">
                <a16:creationId xmlns:a16="http://schemas.microsoft.com/office/drawing/2014/main" id="{346F0B0D-BB46-4105-9B87-EAF30C3C3C84}"/>
              </a:ext>
            </a:extLst>
          </xdr:cNvPr>
          <xdr:cNvSpPr>
            <a:spLocks noChangeShapeType="1"/>
          </xdr:cNvSpPr>
        </xdr:nvSpPr>
        <xdr:spPr bwMode="auto">
          <a:xfrm flipH="1">
            <a:off x="1051" y="2958"/>
            <a:ext cx="135" cy="19"/>
          </a:xfrm>
          <a:prstGeom prst="line">
            <a:avLst/>
          </a:prstGeom>
          <a:noFill/>
          <a:ln w="12700">
            <a:solidFill>
              <a:srgbClr val="CDCDCD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33" name="Freeform 36">
            <a:extLst>
              <a:ext uri="{FF2B5EF4-FFF2-40B4-BE49-F238E27FC236}">
                <a16:creationId xmlns:a16="http://schemas.microsoft.com/office/drawing/2014/main" id="{51180261-9443-42DA-A4CE-C6734A55CF34}"/>
              </a:ext>
            </a:extLst>
          </xdr:cNvPr>
          <xdr:cNvSpPr>
            <a:spLocks/>
          </xdr:cNvSpPr>
        </xdr:nvSpPr>
        <xdr:spPr bwMode="auto">
          <a:xfrm>
            <a:off x="1004" y="2951"/>
            <a:ext cx="57" cy="51"/>
          </a:xfrm>
          <a:custGeom>
            <a:avLst/>
            <a:gdLst>
              <a:gd name="T0" fmla="*/ 56 w 57"/>
              <a:gd name="T1" fmla="*/ 50 h 51"/>
              <a:gd name="T2" fmla="*/ 0 w 57"/>
              <a:gd name="T3" fmla="*/ 35 h 51"/>
              <a:gd name="T4" fmla="*/ 46 w 57"/>
              <a:gd name="T5" fmla="*/ 0 h 51"/>
              <a:gd name="T6" fmla="*/ 46 w 57"/>
              <a:gd name="T7" fmla="*/ 3 h 51"/>
              <a:gd name="T8" fmla="*/ 44 w 57"/>
              <a:gd name="T9" fmla="*/ 6 h 51"/>
              <a:gd name="T10" fmla="*/ 44 w 57"/>
              <a:gd name="T11" fmla="*/ 12 h 51"/>
              <a:gd name="T12" fmla="*/ 44 w 57"/>
              <a:gd name="T13" fmla="*/ 15 h 51"/>
              <a:gd name="T14" fmla="*/ 44 w 57"/>
              <a:gd name="T15" fmla="*/ 20 h 51"/>
              <a:gd name="T16" fmla="*/ 46 w 57"/>
              <a:gd name="T17" fmla="*/ 23 h 51"/>
              <a:gd name="T18" fmla="*/ 46 w 57"/>
              <a:gd name="T19" fmla="*/ 29 h 51"/>
              <a:gd name="T20" fmla="*/ 48 w 57"/>
              <a:gd name="T21" fmla="*/ 31 h 51"/>
              <a:gd name="T22" fmla="*/ 48 w 57"/>
              <a:gd name="T23" fmla="*/ 35 h 51"/>
              <a:gd name="T24" fmla="*/ 50 w 57"/>
              <a:gd name="T25" fmla="*/ 40 h 51"/>
              <a:gd name="T26" fmla="*/ 53 w 57"/>
              <a:gd name="T27" fmla="*/ 44 h 51"/>
              <a:gd name="T28" fmla="*/ 54 w 57"/>
              <a:gd name="T29" fmla="*/ 47 h 51"/>
              <a:gd name="T30" fmla="*/ 56 w 57"/>
              <a:gd name="T31" fmla="*/ 50 h 51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57"/>
              <a:gd name="T49" fmla="*/ 0 h 51"/>
              <a:gd name="T50" fmla="*/ 57 w 57"/>
              <a:gd name="T51" fmla="*/ 51 h 51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57" h="51">
                <a:moveTo>
                  <a:pt x="56" y="50"/>
                </a:moveTo>
                <a:lnTo>
                  <a:pt x="0" y="35"/>
                </a:lnTo>
                <a:lnTo>
                  <a:pt x="46" y="0"/>
                </a:lnTo>
                <a:lnTo>
                  <a:pt x="46" y="3"/>
                </a:lnTo>
                <a:lnTo>
                  <a:pt x="44" y="6"/>
                </a:lnTo>
                <a:lnTo>
                  <a:pt x="44" y="12"/>
                </a:lnTo>
                <a:lnTo>
                  <a:pt x="44" y="15"/>
                </a:lnTo>
                <a:lnTo>
                  <a:pt x="44" y="20"/>
                </a:lnTo>
                <a:lnTo>
                  <a:pt x="46" y="23"/>
                </a:lnTo>
                <a:lnTo>
                  <a:pt x="46" y="29"/>
                </a:lnTo>
                <a:lnTo>
                  <a:pt x="48" y="31"/>
                </a:lnTo>
                <a:lnTo>
                  <a:pt x="48" y="35"/>
                </a:lnTo>
                <a:lnTo>
                  <a:pt x="50" y="40"/>
                </a:lnTo>
                <a:lnTo>
                  <a:pt x="53" y="44"/>
                </a:lnTo>
                <a:lnTo>
                  <a:pt x="54" y="47"/>
                </a:lnTo>
                <a:lnTo>
                  <a:pt x="56" y="50"/>
                </a:lnTo>
              </a:path>
            </a:pathLst>
          </a:custGeom>
          <a:solidFill>
            <a:srgbClr val="CDCDCD"/>
          </a:solidFill>
          <a:ln>
            <a:noFill/>
          </a:ln>
          <a:extLst>
            <a:ext uri="{91240B29-F687-4F45-9708-019B960494DF}">
              <a14:hiddenLine xmlns:a14="http://schemas.microsoft.com/office/drawing/2010/main" w="12700" cap="rnd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wrap="square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34" name="Line 37">
            <a:extLst>
              <a:ext uri="{FF2B5EF4-FFF2-40B4-BE49-F238E27FC236}">
                <a16:creationId xmlns:a16="http://schemas.microsoft.com/office/drawing/2014/main" id="{C5C45686-6535-4523-80DB-4883ADF6425C}"/>
              </a:ext>
            </a:extLst>
          </xdr:cNvPr>
          <xdr:cNvSpPr>
            <a:spLocks noChangeShapeType="1"/>
          </xdr:cNvSpPr>
        </xdr:nvSpPr>
        <xdr:spPr bwMode="auto">
          <a:xfrm>
            <a:off x="2432" y="3034"/>
            <a:ext cx="0" cy="622"/>
          </a:xfrm>
          <a:prstGeom prst="line">
            <a:avLst/>
          </a:prstGeom>
          <a:noFill/>
          <a:ln w="25400">
            <a:solidFill>
              <a:srgbClr val="00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35" name="Line 38">
            <a:extLst>
              <a:ext uri="{FF2B5EF4-FFF2-40B4-BE49-F238E27FC236}">
                <a16:creationId xmlns:a16="http://schemas.microsoft.com/office/drawing/2014/main" id="{E9D570CF-2E54-401E-823A-0AC645093D43}"/>
              </a:ext>
            </a:extLst>
          </xdr:cNvPr>
          <xdr:cNvSpPr>
            <a:spLocks noChangeShapeType="1"/>
          </xdr:cNvSpPr>
        </xdr:nvSpPr>
        <xdr:spPr bwMode="auto">
          <a:xfrm>
            <a:off x="2483" y="3034"/>
            <a:ext cx="0" cy="622"/>
          </a:xfrm>
          <a:prstGeom prst="line">
            <a:avLst/>
          </a:prstGeom>
          <a:noFill/>
          <a:ln w="25400">
            <a:solidFill>
              <a:schemeClr val="accent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36" name="Line 39">
            <a:extLst>
              <a:ext uri="{FF2B5EF4-FFF2-40B4-BE49-F238E27FC236}">
                <a16:creationId xmlns:a16="http://schemas.microsoft.com/office/drawing/2014/main" id="{6BD79B03-E366-4452-841B-3B1E72AB298A}"/>
              </a:ext>
            </a:extLst>
          </xdr:cNvPr>
          <xdr:cNvSpPr>
            <a:spLocks noChangeShapeType="1"/>
          </xdr:cNvSpPr>
        </xdr:nvSpPr>
        <xdr:spPr bwMode="auto">
          <a:xfrm>
            <a:off x="1896" y="3668"/>
            <a:ext cx="1212" cy="0"/>
          </a:xfrm>
          <a:prstGeom prst="line">
            <a:avLst/>
          </a:prstGeom>
          <a:noFill/>
          <a:ln w="12700">
            <a:solidFill>
              <a:srgbClr val="CDCDCD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37" name="Freeform 40">
            <a:extLst>
              <a:ext uri="{FF2B5EF4-FFF2-40B4-BE49-F238E27FC236}">
                <a16:creationId xmlns:a16="http://schemas.microsoft.com/office/drawing/2014/main" id="{3B1807F0-A780-421B-8765-3CEB6F776619}"/>
              </a:ext>
            </a:extLst>
          </xdr:cNvPr>
          <xdr:cNvSpPr>
            <a:spLocks/>
          </xdr:cNvSpPr>
        </xdr:nvSpPr>
        <xdr:spPr bwMode="auto">
          <a:xfrm>
            <a:off x="3112" y="3640"/>
            <a:ext cx="54" cy="54"/>
          </a:xfrm>
          <a:custGeom>
            <a:avLst/>
            <a:gdLst>
              <a:gd name="T0" fmla="*/ 0 w 54"/>
              <a:gd name="T1" fmla="*/ 0 h 54"/>
              <a:gd name="T2" fmla="*/ 53 w 54"/>
              <a:gd name="T3" fmla="*/ 25 h 54"/>
              <a:gd name="T4" fmla="*/ 0 w 54"/>
              <a:gd name="T5" fmla="*/ 53 h 54"/>
              <a:gd name="T6" fmla="*/ 0 w 54"/>
              <a:gd name="T7" fmla="*/ 0 h 54"/>
              <a:gd name="T8" fmla="*/ 0 60000 65536"/>
              <a:gd name="T9" fmla="*/ 0 60000 65536"/>
              <a:gd name="T10" fmla="*/ 0 60000 65536"/>
              <a:gd name="T11" fmla="*/ 0 60000 65536"/>
              <a:gd name="T12" fmla="*/ 0 w 54"/>
              <a:gd name="T13" fmla="*/ 0 h 54"/>
              <a:gd name="T14" fmla="*/ 54 w 54"/>
              <a:gd name="T15" fmla="*/ 54 h 54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54" h="54">
                <a:moveTo>
                  <a:pt x="0" y="0"/>
                </a:moveTo>
                <a:lnTo>
                  <a:pt x="53" y="25"/>
                </a:lnTo>
                <a:lnTo>
                  <a:pt x="0" y="53"/>
                </a:lnTo>
                <a:lnTo>
                  <a:pt x="0" y="0"/>
                </a:lnTo>
              </a:path>
            </a:pathLst>
          </a:custGeom>
          <a:solidFill>
            <a:srgbClr val="CDCDCD"/>
          </a:solidFill>
          <a:ln>
            <a:noFill/>
          </a:ln>
          <a:extLst>
            <a:ext uri="{91240B29-F687-4F45-9708-019B960494DF}">
              <a14:hiddenLine xmlns:a14="http://schemas.microsoft.com/office/drawing/2010/main" w="12700" cap="rnd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wrap="square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38" name="Rectangle 41">
            <a:extLst>
              <a:ext uri="{FF2B5EF4-FFF2-40B4-BE49-F238E27FC236}">
                <a16:creationId xmlns:a16="http://schemas.microsoft.com/office/drawing/2014/main" id="{F4AA88B3-EE4E-4F1A-83B5-82E862276F0D}"/>
              </a:ext>
            </a:extLst>
          </xdr:cNvPr>
          <xdr:cNvSpPr>
            <a:spLocks noChangeArrowheads="1"/>
          </xdr:cNvSpPr>
        </xdr:nvSpPr>
        <xdr:spPr bwMode="auto">
          <a:xfrm>
            <a:off x="2402" y="3740"/>
            <a:ext cx="116" cy="5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270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 algn="ctr" eaLnBrk="1" hangingPunct="1">
              <a:spcBef>
                <a:spcPct val="0"/>
              </a:spcBef>
              <a:buFontTx/>
              <a:buNone/>
            </a:pPr>
            <a:endParaRPr lang="sk-SK" altLang="sk-SK" sz="4400">
              <a:solidFill>
                <a:schemeClr val="tx2"/>
              </a:solidFill>
            </a:endParaRPr>
          </a:p>
        </xdr:txBody>
      </xdr:sp>
      <xdr:sp macro="" textlink="">
        <xdr:nvSpPr>
          <xdr:cNvPr id="39" name="Line 42">
            <a:extLst>
              <a:ext uri="{FF2B5EF4-FFF2-40B4-BE49-F238E27FC236}">
                <a16:creationId xmlns:a16="http://schemas.microsoft.com/office/drawing/2014/main" id="{D7EF2D04-8224-43F5-A0D7-63105BA8C4B3}"/>
              </a:ext>
            </a:extLst>
          </xdr:cNvPr>
          <xdr:cNvSpPr>
            <a:spLocks noChangeShapeType="1"/>
          </xdr:cNvSpPr>
        </xdr:nvSpPr>
        <xdr:spPr bwMode="auto">
          <a:xfrm>
            <a:off x="120" y="3668"/>
            <a:ext cx="1211" cy="0"/>
          </a:xfrm>
          <a:prstGeom prst="line">
            <a:avLst/>
          </a:prstGeom>
          <a:noFill/>
          <a:ln w="12700">
            <a:solidFill>
              <a:srgbClr val="CDCDCD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40" name="Freeform 43">
            <a:extLst>
              <a:ext uri="{FF2B5EF4-FFF2-40B4-BE49-F238E27FC236}">
                <a16:creationId xmlns:a16="http://schemas.microsoft.com/office/drawing/2014/main" id="{C86032CA-7CB3-4622-8F04-B4F61978D140}"/>
              </a:ext>
            </a:extLst>
          </xdr:cNvPr>
          <xdr:cNvSpPr>
            <a:spLocks/>
          </xdr:cNvSpPr>
        </xdr:nvSpPr>
        <xdr:spPr bwMode="auto">
          <a:xfrm>
            <a:off x="1335" y="3640"/>
            <a:ext cx="54" cy="54"/>
          </a:xfrm>
          <a:custGeom>
            <a:avLst/>
            <a:gdLst>
              <a:gd name="T0" fmla="*/ 0 w 54"/>
              <a:gd name="T1" fmla="*/ 0 h 54"/>
              <a:gd name="T2" fmla="*/ 53 w 54"/>
              <a:gd name="T3" fmla="*/ 25 h 54"/>
              <a:gd name="T4" fmla="*/ 0 w 54"/>
              <a:gd name="T5" fmla="*/ 53 h 54"/>
              <a:gd name="T6" fmla="*/ 0 w 54"/>
              <a:gd name="T7" fmla="*/ 0 h 54"/>
              <a:gd name="T8" fmla="*/ 0 60000 65536"/>
              <a:gd name="T9" fmla="*/ 0 60000 65536"/>
              <a:gd name="T10" fmla="*/ 0 60000 65536"/>
              <a:gd name="T11" fmla="*/ 0 60000 65536"/>
              <a:gd name="T12" fmla="*/ 0 w 54"/>
              <a:gd name="T13" fmla="*/ 0 h 54"/>
              <a:gd name="T14" fmla="*/ 54 w 54"/>
              <a:gd name="T15" fmla="*/ 54 h 54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54" h="54">
                <a:moveTo>
                  <a:pt x="0" y="0"/>
                </a:moveTo>
                <a:lnTo>
                  <a:pt x="53" y="25"/>
                </a:lnTo>
                <a:lnTo>
                  <a:pt x="0" y="53"/>
                </a:lnTo>
                <a:lnTo>
                  <a:pt x="0" y="0"/>
                </a:lnTo>
              </a:path>
            </a:pathLst>
          </a:custGeom>
          <a:solidFill>
            <a:srgbClr val="CDCDCD"/>
          </a:solidFill>
          <a:ln>
            <a:noFill/>
          </a:ln>
          <a:extLst>
            <a:ext uri="{91240B29-F687-4F45-9708-019B960494DF}">
              <a14:hiddenLine xmlns:a14="http://schemas.microsoft.com/office/drawing/2010/main" w="12700" cap="rnd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wrap="square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sk-SK"/>
          </a:p>
        </xdr:txBody>
      </xdr:sp>
      <xdr:sp macro="" textlink="">
        <xdr:nvSpPr>
          <xdr:cNvPr id="41" name="Rectangle 44">
            <a:extLst>
              <a:ext uri="{FF2B5EF4-FFF2-40B4-BE49-F238E27FC236}">
                <a16:creationId xmlns:a16="http://schemas.microsoft.com/office/drawing/2014/main" id="{E91D1EED-C2F7-475D-ABA1-E6BAD60495CD}"/>
              </a:ext>
            </a:extLst>
          </xdr:cNvPr>
          <xdr:cNvSpPr>
            <a:spLocks noChangeArrowheads="1"/>
          </xdr:cNvSpPr>
        </xdr:nvSpPr>
        <xdr:spPr bwMode="auto">
          <a:xfrm>
            <a:off x="626" y="3740"/>
            <a:ext cx="116" cy="5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270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 algn="ctr" eaLnBrk="1" hangingPunct="1">
              <a:spcBef>
                <a:spcPct val="0"/>
              </a:spcBef>
              <a:buFontTx/>
              <a:buNone/>
            </a:pPr>
            <a:endParaRPr lang="sk-SK" altLang="sk-SK" sz="4400">
              <a:solidFill>
                <a:schemeClr val="tx2"/>
              </a:solidFill>
            </a:endParaRPr>
          </a:p>
        </xdr:txBody>
      </xdr:sp>
    </xdr:grpSp>
    <xdr:clientData/>
  </xdr:twoCellAnchor>
  <xdr:twoCellAnchor>
    <xdr:from>
      <xdr:col>5</xdr:col>
      <xdr:colOff>0</xdr:colOff>
      <xdr:row>35</xdr:row>
      <xdr:rowOff>16319</xdr:rowOff>
    </xdr:from>
    <xdr:to>
      <xdr:col>7</xdr:col>
      <xdr:colOff>120650</xdr:colOff>
      <xdr:row>45</xdr:row>
      <xdr:rowOff>0</xdr:rowOff>
    </xdr:to>
    <xdr:grpSp>
      <xdr:nvGrpSpPr>
        <xdr:cNvPr id="2" name="Skupina 1">
          <a:extLst>
            <a:ext uri="{FF2B5EF4-FFF2-40B4-BE49-F238E27FC236}">
              <a16:creationId xmlns:a16="http://schemas.microsoft.com/office/drawing/2014/main" id="{3DCB7FDE-06AB-4A8D-B8AF-789DB254068E}"/>
            </a:ext>
          </a:extLst>
        </xdr:cNvPr>
        <xdr:cNvGrpSpPr/>
      </xdr:nvGrpSpPr>
      <xdr:grpSpPr>
        <a:xfrm>
          <a:off x="3822700" y="5578919"/>
          <a:ext cx="2603500" cy="1571181"/>
          <a:chOff x="3736428" y="5565782"/>
          <a:chExt cx="2574815" cy="1665336"/>
        </a:xfrm>
      </xdr:grpSpPr>
      <xdr:grpSp>
        <xdr:nvGrpSpPr>
          <xdr:cNvPr id="42" name="Group 45">
            <a:extLst>
              <a:ext uri="{FF2B5EF4-FFF2-40B4-BE49-F238E27FC236}">
                <a16:creationId xmlns:a16="http://schemas.microsoft.com/office/drawing/2014/main" id="{31C9E31C-E3A6-4236-AB31-836D7316DE1A}"/>
              </a:ext>
            </a:extLst>
          </xdr:cNvPr>
          <xdr:cNvGrpSpPr>
            <a:grpSpLocks/>
          </xdr:cNvGrpSpPr>
        </xdr:nvGrpSpPr>
        <xdr:grpSpPr bwMode="auto">
          <a:xfrm>
            <a:off x="3736428" y="5565782"/>
            <a:ext cx="2574815" cy="1665336"/>
            <a:chOff x="2929" y="2410"/>
            <a:chExt cx="1399" cy="1388"/>
          </a:xfrm>
        </xdr:grpSpPr>
        <xdr:sp macro="" textlink="">
          <xdr:nvSpPr>
            <xdr:cNvPr id="43" name="Freeform 46">
              <a:extLst>
                <a:ext uri="{FF2B5EF4-FFF2-40B4-BE49-F238E27FC236}">
                  <a16:creationId xmlns:a16="http://schemas.microsoft.com/office/drawing/2014/main" id="{6CEDE1CE-3EA4-48C4-8191-FA3312533617}"/>
                </a:ext>
              </a:extLst>
            </xdr:cNvPr>
            <xdr:cNvSpPr>
              <a:spLocks/>
            </xdr:cNvSpPr>
          </xdr:nvSpPr>
          <xdr:spPr bwMode="auto">
            <a:xfrm>
              <a:off x="3339" y="2994"/>
              <a:ext cx="853" cy="675"/>
            </a:xfrm>
            <a:custGeom>
              <a:avLst/>
              <a:gdLst>
                <a:gd name="T0" fmla="*/ 852 w 853"/>
                <a:gd name="T1" fmla="*/ 674 h 675"/>
                <a:gd name="T2" fmla="*/ 761 w 853"/>
                <a:gd name="T3" fmla="*/ 667 h 675"/>
                <a:gd name="T4" fmla="*/ 718 w 853"/>
                <a:gd name="T5" fmla="*/ 659 h 675"/>
                <a:gd name="T6" fmla="*/ 672 w 853"/>
                <a:gd name="T7" fmla="*/ 648 h 675"/>
                <a:gd name="T8" fmla="*/ 627 w 853"/>
                <a:gd name="T9" fmla="*/ 633 h 675"/>
                <a:gd name="T10" fmla="*/ 583 w 853"/>
                <a:gd name="T11" fmla="*/ 612 h 675"/>
                <a:gd name="T12" fmla="*/ 538 w 853"/>
                <a:gd name="T13" fmla="*/ 583 h 675"/>
                <a:gd name="T14" fmla="*/ 447 w 853"/>
                <a:gd name="T15" fmla="*/ 506 h 675"/>
                <a:gd name="T16" fmla="*/ 358 w 853"/>
                <a:gd name="T17" fmla="*/ 396 h 675"/>
                <a:gd name="T18" fmla="*/ 269 w 853"/>
                <a:gd name="T19" fmla="*/ 263 h 675"/>
                <a:gd name="T20" fmla="*/ 224 w 853"/>
                <a:gd name="T21" fmla="*/ 197 h 675"/>
                <a:gd name="T22" fmla="*/ 178 w 853"/>
                <a:gd name="T23" fmla="*/ 133 h 675"/>
                <a:gd name="T24" fmla="*/ 135 w 853"/>
                <a:gd name="T25" fmla="*/ 78 h 675"/>
                <a:gd name="T26" fmla="*/ 89 w 853"/>
                <a:gd name="T27" fmla="*/ 36 h 675"/>
                <a:gd name="T28" fmla="*/ 44 w 853"/>
                <a:gd name="T29" fmla="*/ 10 h 675"/>
                <a:gd name="T30" fmla="*/ 0 w 853"/>
                <a:gd name="T31" fmla="*/ 0 h 675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w 853"/>
                <a:gd name="T49" fmla="*/ 0 h 675"/>
                <a:gd name="T50" fmla="*/ 853 w 853"/>
                <a:gd name="T51" fmla="*/ 675 h 675"/>
              </a:gdLst>
              <a:ahLst/>
              <a:cxnLst>
                <a:cxn ang="T32">
                  <a:pos x="T0" y="T1"/>
                </a:cxn>
                <a:cxn ang="T33">
                  <a:pos x="T2" y="T3"/>
                </a:cxn>
                <a:cxn ang="T34">
                  <a:pos x="T4" y="T5"/>
                </a:cxn>
                <a:cxn ang="T35">
                  <a:pos x="T6" y="T7"/>
                </a:cxn>
                <a:cxn ang="T36">
                  <a:pos x="T8" y="T9"/>
                </a:cxn>
                <a:cxn ang="T37">
                  <a:pos x="T10" y="T11"/>
                </a:cxn>
                <a:cxn ang="T38">
                  <a:pos x="T12" y="T13"/>
                </a:cxn>
                <a:cxn ang="T39">
                  <a:pos x="T14" y="T15"/>
                </a:cxn>
                <a:cxn ang="T40">
                  <a:pos x="T16" y="T17"/>
                </a:cxn>
                <a:cxn ang="T41">
                  <a:pos x="T18" y="T19"/>
                </a:cxn>
                <a:cxn ang="T42">
                  <a:pos x="T20" y="T21"/>
                </a:cxn>
                <a:cxn ang="T43">
                  <a:pos x="T22" y="T23"/>
                </a:cxn>
                <a:cxn ang="T44">
                  <a:pos x="T24" y="T25"/>
                </a:cxn>
                <a:cxn ang="T45">
                  <a:pos x="T26" y="T27"/>
                </a:cxn>
                <a:cxn ang="T46">
                  <a:pos x="T28" y="T29"/>
                </a:cxn>
                <a:cxn ang="T47">
                  <a:pos x="T30" y="T31"/>
                </a:cxn>
              </a:cxnLst>
              <a:rect l="T48" t="T49" r="T50" b="T51"/>
              <a:pathLst>
                <a:path w="853" h="675">
                  <a:moveTo>
                    <a:pt x="852" y="674"/>
                  </a:moveTo>
                  <a:lnTo>
                    <a:pt x="761" y="667"/>
                  </a:lnTo>
                  <a:lnTo>
                    <a:pt x="718" y="659"/>
                  </a:lnTo>
                  <a:lnTo>
                    <a:pt x="672" y="648"/>
                  </a:lnTo>
                  <a:lnTo>
                    <a:pt x="627" y="633"/>
                  </a:lnTo>
                  <a:lnTo>
                    <a:pt x="583" y="612"/>
                  </a:lnTo>
                  <a:lnTo>
                    <a:pt x="538" y="583"/>
                  </a:lnTo>
                  <a:lnTo>
                    <a:pt x="447" y="506"/>
                  </a:lnTo>
                  <a:lnTo>
                    <a:pt x="358" y="396"/>
                  </a:lnTo>
                  <a:lnTo>
                    <a:pt x="269" y="263"/>
                  </a:lnTo>
                  <a:lnTo>
                    <a:pt x="224" y="197"/>
                  </a:lnTo>
                  <a:lnTo>
                    <a:pt x="178" y="133"/>
                  </a:lnTo>
                  <a:lnTo>
                    <a:pt x="135" y="78"/>
                  </a:lnTo>
                  <a:lnTo>
                    <a:pt x="89" y="36"/>
                  </a:lnTo>
                  <a:lnTo>
                    <a:pt x="44" y="10"/>
                  </a:lnTo>
                  <a:lnTo>
                    <a:pt x="0" y="0"/>
                  </a:lnTo>
                </a:path>
              </a:pathLst>
            </a:custGeom>
            <a:noFill/>
            <a:ln w="25400" cap="rnd">
              <a:solidFill>
                <a:srgbClr val="00FFF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  <xdr:txBody>
            <a:bodyPr wrap="square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44" name="Freeform 47">
              <a:extLst>
                <a:ext uri="{FF2B5EF4-FFF2-40B4-BE49-F238E27FC236}">
                  <a16:creationId xmlns:a16="http://schemas.microsoft.com/office/drawing/2014/main" id="{D09F6838-E202-405E-AEE8-232A20E1B58C}"/>
                </a:ext>
              </a:extLst>
            </xdr:cNvPr>
            <xdr:cNvSpPr>
              <a:spLocks/>
            </xdr:cNvSpPr>
          </xdr:nvSpPr>
          <xdr:spPr bwMode="auto">
            <a:xfrm>
              <a:off x="3055" y="2994"/>
              <a:ext cx="285" cy="675"/>
            </a:xfrm>
            <a:custGeom>
              <a:avLst/>
              <a:gdLst>
                <a:gd name="T0" fmla="*/ 0 w 285"/>
                <a:gd name="T1" fmla="*/ 674 h 675"/>
                <a:gd name="T2" fmla="*/ 28 w 285"/>
                <a:gd name="T3" fmla="*/ 667 h 675"/>
                <a:gd name="T4" fmla="*/ 43 w 285"/>
                <a:gd name="T5" fmla="*/ 659 h 675"/>
                <a:gd name="T6" fmla="*/ 59 w 285"/>
                <a:gd name="T7" fmla="*/ 648 h 675"/>
                <a:gd name="T8" fmla="*/ 74 w 285"/>
                <a:gd name="T9" fmla="*/ 633 h 675"/>
                <a:gd name="T10" fmla="*/ 89 w 285"/>
                <a:gd name="T11" fmla="*/ 612 h 675"/>
                <a:gd name="T12" fmla="*/ 104 w 285"/>
                <a:gd name="T13" fmla="*/ 583 h 675"/>
                <a:gd name="T14" fmla="*/ 134 w 285"/>
                <a:gd name="T15" fmla="*/ 506 h 675"/>
                <a:gd name="T16" fmla="*/ 165 w 285"/>
                <a:gd name="T17" fmla="*/ 396 h 675"/>
                <a:gd name="T18" fmla="*/ 193 w 285"/>
                <a:gd name="T19" fmla="*/ 263 h 675"/>
                <a:gd name="T20" fmla="*/ 208 w 285"/>
                <a:gd name="T21" fmla="*/ 197 h 675"/>
                <a:gd name="T22" fmla="*/ 223 w 285"/>
                <a:gd name="T23" fmla="*/ 133 h 675"/>
                <a:gd name="T24" fmla="*/ 239 w 285"/>
                <a:gd name="T25" fmla="*/ 78 h 675"/>
                <a:gd name="T26" fmla="*/ 254 w 285"/>
                <a:gd name="T27" fmla="*/ 36 h 675"/>
                <a:gd name="T28" fmla="*/ 269 w 285"/>
                <a:gd name="T29" fmla="*/ 10 h 675"/>
                <a:gd name="T30" fmla="*/ 284 w 285"/>
                <a:gd name="T31" fmla="*/ 0 h 675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w 285"/>
                <a:gd name="T49" fmla="*/ 0 h 675"/>
                <a:gd name="T50" fmla="*/ 285 w 285"/>
                <a:gd name="T51" fmla="*/ 675 h 675"/>
              </a:gdLst>
              <a:ahLst/>
              <a:cxnLst>
                <a:cxn ang="T32">
                  <a:pos x="T0" y="T1"/>
                </a:cxn>
                <a:cxn ang="T33">
                  <a:pos x="T2" y="T3"/>
                </a:cxn>
                <a:cxn ang="T34">
                  <a:pos x="T4" y="T5"/>
                </a:cxn>
                <a:cxn ang="T35">
                  <a:pos x="T6" y="T7"/>
                </a:cxn>
                <a:cxn ang="T36">
                  <a:pos x="T8" y="T9"/>
                </a:cxn>
                <a:cxn ang="T37">
                  <a:pos x="T10" y="T11"/>
                </a:cxn>
                <a:cxn ang="T38">
                  <a:pos x="T12" y="T13"/>
                </a:cxn>
                <a:cxn ang="T39">
                  <a:pos x="T14" y="T15"/>
                </a:cxn>
                <a:cxn ang="T40">
                  <a:pos x="T16" y="T17"/>
                </a:cxn>
                <a:cxn ang="T41">
                  <a:pos x="T18" y="T19"/>
                </a:cxn>
                <a:cxn ang="T42">
                  <a:pos x="T20" y="T21"/>
                </a:cxn>
                <a:cxn ang="T43">
                  <a:pos x="T22" y="T23"/>
                </a:cxn>
                <a:cxn ang="T44">
                  <a:pos x="T24" y="T25"/>
                </a:cxn>
                <a:cxn ang="T45">
                  <a:pos x="T26" y="T27"/>
                </a:cxn>
                <a:cxn ang="T46">
                  <a:pos x="T28" y="T29"/>
                </a:cxn>
                <a:cxn ang="T47">
                  <a:pos x="T30" y="T31"/>
                </a:cxn>
              </a:cxnLst>
              <a:rect l="T48" t="T49" r="T50" b="T51"/>
              <a:pathLst>
                <a:path w="285" h="675">
                  <a:moveTo>
                    <a:pt x="0" y="674"/>
                  </a:moveTo>
                  <a:lnTo>
                    <a:pt x="28" y="667"/>
                  </a:lnTo>
                  <a:lnTo>
                    <a:pt x="43" y="659"/>
                  </a:lnTo>
                  <a:lnTo>
                    <a:pt x="59" y="648"/>
                  </a:lnTo>
                  <a:lnTo>
                    <a:pt x="74" y="633"/>
                  </a:lnTo>
                  <a:lnTo>
                    <a:pt x="89" y="612"/>
                  </a:lnTo>
                  <a:lnTo>
                    <a:pt x="104" y="583"/>
                  </a:lnTo>
                  <a:lnTo>
                    <a:pt x="134" y="506"/>
                  </a:lnTo>
                  <a:lnTo>
                    <a:pt x="165" y="396"/>
                  </a:lnTo>
                  <a:lnTo>
                    <a:pt x="193" y="263"/>
                  </a:lnTo>
                  <a:lnTo>
                    <a:pt x="208" y="197"/>
                  </a:lnTo>
                  <a:lnTo>
                    <a:pt x="223" y="133"/>
                  </a:lnTo>
                  <a:lnTo>
                    <a:pt x="239" y="78"/>
                  </a:lnTo>
                  <a:lnTo>
                    <a:pt x="254" y="36"/>
                  </a:lnTo>
                  <a:lnTo>
                    <a:pt x="269" y="10"/>
                  </a:lnTo>
                  <a:lnTo>
                    <a:pt x="284" y="0"/>
                  </a:lnTo>
                </a:path>
              </a:pathLst>
            </a:custGeom>
            <a:noFill/>
            <a:ln w="25400" cap="rnd">
              <a:solidFill>
                <a:srgbClr val="00FFF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  <xdr:txBody>
            <a:bodyPr wrap="square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45" name="Rectangle 48">
              <a:extLst>
                <a:ext uri="{FF2B5EF4-FFF2-40B4-BE49-F238E27FC236}">
                  <a16:creationId xmlns:a16="http://schemas.microsoft.com/office/drawing/2014/main" id="{123C9DA2-0DEB-4E3D-8D57-B62DA13F399D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29" y="2410"/>
              <a:ext cx="1374" cy="506"/>
            </a:xfrm>
            <a:prstGeom prst="rect">
              <a:avLst/>
            </a:prstGeom>
            <a:noFill/>
            <a:ln w="12700">
              <a:noFill/>
              <a:miter lim="800000"/>
              <a:headEnd/>
              <a:tailEnd/>
            </a:ln>
            <a:effectLst/>
          </xdr:spPr>
          <xdr:txBody>
            <a:bodyPr wrap="square" lIns="90488" tIns="44450" rIns="90488" bIns="44450">
              <a:noAutofit/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lang="sk-SK" sz="1600" b="1">
                  <a:solidFill>
                    <a:schemeClr val="tx1"/>
                  </a:solidFill>
                  <a:effectLst>
                    <a:outerShdw blurRad="38100" dist="38100" dir="2700000" algn="tl">
                      <a:srgbClr val="C0C0C0"/>
                    </a:outerShdw>
                  </a:effectLst>
                  <a:latin typeface="Arial" charset="0"/>
                </a:rPr>
                <a:t>Zošikmenie doprava</a:t>
              </a:r>
            </a:p>
            <a:p>
              <a:pPr>
                <a:defRPr/>
              </a:pPr>
              <a:r>
                <a:rPr lang="en-US" sz="1600" b="1">
                  <a:solidFill>
                    <a:schemeClr val="tx1"/>
                  </a:solidFill>
                  <a:effectLst>
                    <a:outerShdw blurRad="38100" dist="38100" dir="2700000" algn="tl">
                      <a:srgbClr val="C0C0C0"/>
                    </a:outerShdw>
                  </a:effectLst>
                  <a:latin typeface="Arial" charset="0"/>
                </a:rPr>
                <a:t>Right-Skewed</a:t>
              </a:r>
            </a:p>
          </xdr:txBody>
        </xdr:sp>
        <xdr:sp macro="" textlink="">
          <xdr:nvSpPr>
            <xdr:cNvPr id="46" name="Rectangle 49">
              <a:extLst>
                <a:ext uri="{FF2B5EF4-FFF2-40B4-BE49-F238E27FC236}">
                  <a16:creationId xmlns:a16="http://schemas.microsoft.com/office/drawing/2014/main" id="{750049B7-13A2-4C72-870E-A71884F4325F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68" y="2768"/>
              <a:ext cx="176" cy="331"/>
            </a:xfrm>
            <a:prstGeom prst="rect">
              <a:avLst/>
            </a:prstGeom>
            <a:noFill/>
            <a:ln w="12700">
              <a:noFill/>
              <a:miter lim="800000"/>
              <a:headEnd/>
              <a:tailEnd/>
            </a:ln>
            <a:effectLst/>
          </xdr:spPr>
          <xdr:txBody>
            <a:bodyPr wrap="square" lIns="90488" tIns="44450" rIns="90488" bIns="44450">
              <a:spAutoFit/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lang="en-US" sz="1800" b="1">
                  <a:solidFill>
                    <a:srgbClr val="FF00FF"/>
                  </a:solidFill>
                  <a:effectLst>
                    <a:outerShdw blurRad="38100" dist="38100" dir="2700000" algn="tl">
                      <a:srgbClr val="C0C0C0"/>
                    </a:outerShdw>
                  </a:effectLst>
                  <a:latin typeface="Arial" charset="0"/>
                </a:rPr>
                <a:t>  </a:t>
              </a:r>
            </a:p>
          </xdr:txBody>
        </xdr:sp>
        <xdr:sp macro="" textlink="">
          <xdr:nvSpPr>
            <xdr:cNvPr id="47" name="Rectangle 50">
              <a:extLst>
                <a:ext uri="{FF2B5EF4-FFF2-40B4-BE49-F238E27FC236}">
                  <a16:creationId xmlns:a16="http://schemas.microsoft.com/office/drawing/2014/main" id="{90C844E6-4164-4FB0-AAD8-7EBDC519E77E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48" y="2768"/>
              <a:ext cx="552" cy="331"/>
            </a:xfrm>
            <a:prstGeom prst="rect">
              <a:avLst/>
            </a:prstGeom>
            <a:noFill/>
            <a:ln w="12700">
              <a:noFill/>
              <a:miter lim="800000"/>
              <a:headEnd/>
              <a:tailEnd/>
            </a:ln>
            <a:effectLst/>
          </xdr:spPr>
          <xdr:txBody>
            <a:bodyPr wrap="square" lIns="90488" tIns="44450" rIns="90488" bIns="44450">
              <a:spAutoFit/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lang="en-US" sz="1800" b="1">
                  <a:solidFill>
                    <a:schemeClr val="hlink"/>
                  </a:solidFill>
                  <a:effectLst>
                    <a:outerShdw blurRad="38100" dist="38100" dir="2700000" algn="tl">
                      <a:srgbClr val="C0C0C0"/>
                    </a:outerShdw>
                  </a:effectLst>
                  <a:latin typeface="Arial" charset="0"/>
                </a:rPr>
                <a:t>Median</a:t>
              </a:r>
            </a:p>
          </xdr:txBody>
        </xdr:sp>
        <xdr:sp macro="" textlink="">
          <xdr:nvSpPr>
            <xdr:cNvPr id="48" name="Rectangle 51">
              <a:extLst>
                <a:ext uri="{FF2B5EF4-FFF2-40B4-BE49-F238E27FC236}">
                  <a16:creationId xmlns:a16="http://schemas.microsoft.com/office/drawing/2014/main" id="{7AA5D205-7C69-4CC7-A9DD-7E8D664988F7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40" y="2768"/>
              <a:ext cx="176" cy="331"/>
            </a:xfrm>
            <a:prstGeom prst="rect">
              <a:avLst/>
            </a:prstGeom>
            <a:noFill/>
            <a:ln w="12700">
              <a:noFill/>
              <a:miter lim="800000"/>
              <a:headEnd/>
              <a:tailEnd/>
            </a:ln>
            <a:effectLst/>
          </xdr:spPr>
          <xdr:txBody>
            <a:bodyPr wrap="square" lIns="90488" tIns="44450" rIns="90488" bIns="44450">
              <a:spAutoFit/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lang="en-US" sz="1800" b="1">
                  <a:solidFill>
                    <a:srgbClr val="FF0000"/>
                  </a:solidFill>
                  <a:effectLst>
                    <a:outerShdw blurRad="38100" dist="38100" dir="2700000" algn="tl">
                      <a:srgbClr val="C0C0C0"/>
                    </a:outerShdw>
                  </a:effectLst>
                  <a:latin typeface="Arial" charset="0"/>
                </a:rPr>
                <a:t>  </a:t>
              </a:r>
            </a:p>
          </xdr:txBody>
        </xdr:sp>
        <xdr:sp macro="" textlink="">
          <xdr:nvSpPr>
            <xdr:cNvPr id="49" name="Rectangle 52">
              <a:extLst>
                <a:ext uri="{FF2B5EF4-FFF2-40B4-BE49-F238E27FC236}">
                  <a16:creationId xmlns:a16="http://schemas.microsoft.com/office/drawing/2014/main" id="{B9FB190F-2671-4530-9199-FD806CA17C39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20" y="2768"/>
              <a:ext cx="437" cy="331"/>
            </a:xfrm>
            <a:prstGeom prst="rect">
              <a:avLst/>
            </a:prstGeom>
            <a:noFill/>
            <a:ln w="12700">
              <a:noFill/>
              <a:miter lim="800000"/>
              <a:headEnd/>
              <a:tailEnd/>
            </a:ln>
            <a:effectLst/>
          </xdr:spPr>
          <xdr:txBody>
            <a:bodyPr wrap="square" lIns="90488" tIns="44450" rIns="90488" bIns="44450">
              <a:spAutoFit/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lang="en-US" sz="1800" b="1">
                  <a:solidFill>
                    <a:srgbClr val="00FF00"/>
                  </a:solidFill>
                  <a:effectLst>
                    <a:outerShdw blurRad="38100" dist="38100" dir="2700000" algn="tl">
                      <a:srgbClr val="C0C0C0"/>
                    </a:outerShdw>
                  </a:effectLst>
                  <a:latin typeface="Arial" charset="0"/>
                </a:rPr>
                <a:t>Mean</a:t>
              </a:r>
            </a:p>
          </xdr:txBody>
        </xdr:sp>
        <xdr:sp macro="" textlink="">
          <xdr:nvSpPr>
            <xdr:cNvPr id="50" name="Rectangle 53">
              <a:extLst>
                <a:ext uri="{FF2B5EF4-FFF2-40B4-BE49-F238E27FC236}">
                  <a16:creationId xmlns:a16="http://schemas.microsoft.com/office/drawing/2014/main" id="{C2E6A743-9810-41E9-8713-28A4C949E86D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88" y="2901"/>
              <a:ext cx="116" cy="58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1270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pPr algn="ctr" eaLnBrk="1" hangingPunct="1">
                <a:spcBef>
                  <a:spcPct val="0"/>
                </a:spcBef>
                <a:buFontTx/>
                <a:buNone/>
              </a:pPr>
              <a:endParaRPr lang="sk-SK" altLang="sk-SK" sz="4400">
                <a:solidFill>
                  <a:schemeClr val="tx2"/>
                </a:solidFill>
              </a:endParaRPr>
            </a:p>
          </xdr:txBody>
        </xdr:sp>
        <xdr:sp macro="" textlink="">
          <xdr:nvSpPr>
            <xdr:cNvPr id="51" name="Line 54">
              <a:extLst>
                <a:ext uri="{FF2B5EF4-FFF2-40B4-BE49-F238E27FC236}">
                  <a16:creationId xmlns:a16="http://schemas.microsoft.com/office/drawing/2014/main" id="{EE95446E-AB21-4852-92FA-2645AC0873A5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39" y="3038"/>
              <a:ext cx="1" cy="622"/>
            </a:xfrm>
            <a:prstGeom prst="line">
              <a:avLst/>
            </a:prstGeom>
            <a:noFill/>
            <a:ln w="25400">
              <a:solidFill>
                <a:schemeClr val="accent2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wrap="square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52" name="Line 55">
              <a:extLst>
                <a:ext uri="{FF2B5EF4-FFF2-40B4-BE49-F238E27FC236}">
                  <a16:creationId xmlns:a16="http://schemas.microsoft.com/office/drawing/2014/main" id="{FFC6006A-3A73-4D65-8030-4310696257D6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481" y="3108"/>
              <a:ext cx="1" cy="552"/>
            </a:xfrm>
            <a:prstGeom prst="line">
              <a:avLst/>
            </a:prstGeom>
            <a:noFill/>
            <a:ln w="25400">
              <a:solidFill>
                <a:schemeClr val="hlink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wrap="square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53" name="Line 56">
              <a:extLst>
                <a:ext uri="{FF2B5EF4-FFF2-40B4-BE49-F238E27FC236}">
                  <a16:creationId xmlns:a16="http://schemas.microsoft.com/office/drawing/2014/main" id="{F83C744F-7F53-4791-858C-D1626BAF0A6D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623" y="3332"/>
              <a:ext cx="1" cy="328"/>
            </a:xfrm>
            <a:prstGeom prst="line">
              <a:avLst/>
            </a:prstGeom>
            <a:noFill/>
            <a:ln w="25400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wrap="square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54" name="Line 57">
              <a:extLst>
                <a:ext uri="{FF2B5EF4-FFF2-40B4-BE49-F238E27FC236}">
                  <a16:creationId xmlns:a16="http://schemas.microsoft.com/office/drawing/2014/main" id="{05B00B8D-3BDB-40AF-982B-94BA42593E69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3738" y="2968"/>
              <a:ext cx="173" cy="228"/>
            </a:xfrm>
            <a:prstGeom prst="line">
              <a:avLst/>
            </a:prstGeom>
            <a:noFill/>
            <a:ln w="12700">
              <a:solidFill>
                <a:srgbClr val="CDCDCD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wrap="square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55" name="Freeform 58">
              <a:extLst>
                <a:ext uri="{FF2B5EF4-FFF2-40B4-BE49-F238E27FC236}">
                  <a16:creationId xmlns:a16="http://schemas.microsoft.com/office/drawing/2014/main" id="{D3114BA9-45AC-4033-99EC-72E834A6465F}"/>
                </a:ext>
              </a:extLst>
            </xdr:cNvPr>
            <xdr:cNvSpPr>
              <a:spLocks/>
            </xdr:cNvSpPr>
          </xdr:nvSpPr>
          <xdr:spPr bwMode="auto">
            <a:xfrm>
              <a:off x="3712" y="3178"/>
              <a:ext cx="52" cy="59"/>
            </a:xfrm>
            <a:custGeom>
              <a:avLst/>
              <a:gdLst>
                <a:gd name="T0" fmla="*/ 51 w 52"/>
                <a:gd name="T1" fmla="*/ 31 h 59"/>
                <a:gd name="T2" fmla="*/ 0 w 52"/>
                <a:gd name="T3" fmla="*/ 58 h 59"/>
                <a:gd name="T4" fmla="*/ 9 w 52"/>
                <a:gd name="T5" fmla="*/ 0 h 59"/>
                <a:gd name="T6" fmla="*/ 11 w 52"/>
                <a:gd name="T7" fmla="*/ 4 h 59"/>
                <a:gd name="T8" fmla="*/ 12 w 52"/>
                <a:gd name="T9" fmla="*/ 6 h 59"/>
                <a:gd name="T10" fmla="*/ 15 w 52"/>
                <a:gd name="T11" fmla="*/ 10 h 59"/>
                <a:gd name="T12" fmla="*/ 19 w 52"/>
                <a:gd name="T13" fmla="*/ 14 h 59"/>
                <a:gd name="T14" fmla="*/ 21 w 52"/>
                <a:gd name="T15" fmla="*/ 17 h 59"/>
                <a:gd name="T16" fmla="*/ 24 w 52"/>
                <a:gd name="T17" fmla="*/ 19 h 59"/>
                <a:gd name="T18" fmla="*/ 27 w 52"/>
                <a:gd name="T19" fmla="*/ 22 h 59"/>
                <a:gd name="T20" fmla="*/ 30 w 52"/>
                <a:gd name="T21" fmla="*/ 24 h 59"/>
                <a:gd name="T22" fmla="*/ 36 w 52"/>
                <a:gd name="T23" fmla="*/ 25 h 59"/>
                <a:gd name="T24" fmla="*/ 39 w 52"/>
                <a:gd name="T25" fmla="*/ 27 h 59"/>
                <a:gd name="T26" fmla="*/ 43 w 52"/>
                <a:gd name="T27" fmla="*/ 29 h 59"/>
                <a:gd name="T28" fmla="*/ 47 w 52"/>
                <a:gd name="T29" fmla="*/ 29 h 59"/>
                <a:gd name="T30" fmla="*/ 51 w 52"/>
                <a:gd name="T31" fmla="*/ 31 h 59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w 52"/>
                <a:gd name="T49" fmla="*/ 0 h 59"/>
                <a:gd name="T50" fmla="*/ 52 w 52"/>
                <a:gd name="T51" fmla="*/ 59 h 59"/>
              </a:gdLst>
              <a:ahLst/>
              <a:cxnLst>
                <a:cxn ang="T32">
                  <a:pos x="T0" y="T1"/>
                </a:cxn>
                <a:cxn ang="T33">
                  <a:pos x="T2" y="T3"/>
                </a:cxn>
                <a:cxn ang="T34">
                  <a:pos x="T4" y="T5"/>
                </a:cxn>
                <a:cxn ang="T35">
                  <a:pos x="T6" y="T7"/>
                </a:cxn>
                <a:cxn ang="T36">
                  <a:pos x="T8" y="T9"/>
                </a:cxn>
                <a:cxn ang="T37">
                  <a:pos x="T10" y="T11"/>
                </a:cxn>
                <a:cxn ang="T38">
                  <a:pos x="T12" y="T13"/>
                </a:cxn>
                <a:cxn ang="T39">
                  <a:pos x="T14" y="T15"/>
                </a:cxn>
                <a:cxn ang="T40">
                  <a:pos x="T16" y="T17"/>
                </a:cxn>
                <a:cxn ang="T41">
                  <a:pos x="T18" y="T19"/>
                </a:cxn>
                <a:cxn ang="T42">
                  <a:pos x="T20" y="T21"/>
                </a:cxn>
                <a:cxn ang="T43">
                  <a:pos x="T22" y="T23"/>
                </a:cxn>
                <a:cxn ang="T44">
                  <a:pos x="T24" y="T25"/>
                </a:cxn>
                <a:cxn ang="T45">
                  <a:pos x="T26" y="T27"/>
                </a:cxn>
                <a:cxn ang="T46">
                  <a:pos x="T28" y="T29"/>
                </a:cxn>
                <a:cxn ang="T47">
                  <a:pos x="T30" y="T31"/>
                </a:cxn>
              </a:cxnLst>
              <a:rect l="T48" t="T49" r="T50" b="T51"/>
              <a:pathLst>
                <a:path w="52" h="59">
                  <a:moveTo>
                    <a:pt x="51" y="31"/>
                  </a:moveTo>
                  <a:lnTo>
                    <a:pt x="0" y="58"/>
                  </a:lnTo>
                  <a:lnTo>
                    <a:pt x="9" y="0"/>
                  </a:lnTo>
                  <a:lnTo>
                    <a:pt x="11" y="4"/>
                  </a:lnTo>
                  <a:lnTo>
                    <a:pt x="12" y="6"/>
                  </a:lnTo>
                  <a:lnTo>
                    <a:pt x="15" y="10"/>
                  </a:lnTo>
                  <a:lnTo>
                    <a:pt x="19" y="14"/>
                  </a:lnTo>
                  <a:lnTo>
                    <a:pt x="21" y="17"/>
                  </a:lnTo>
                  <a:lnTo>
                    <a:pt x="24" y="19"/>
                  </a:lnTo>
                  <a:lnTo>
                    <a:pt x="27" y="22"/>
                  </a:lnTo>
                  <a:lnTo>
                    <a:pt x="30" y="24"/>
                  </a:lnTo>
                  <a:lnTo>
                    <a:pt x="36" y="25"/>
                  </a:lnTo>
                  <a:lnTo>
                    <a:pt x="39" y="27"/>
                  </a:lnTo>
                  <a:lnTo>
                    <a:pt x="43" y="29"/>
                  </a:lnTo>
                  <a:lnTo>
                    <a:pt x="47" y="29"/>
                  </a:lnTo>
                  <a:lnTo>
                    <a:pt x="51" y="31"/>
                  </a:lnTo>
                </a:path>
              </a:pathLst>
            </a:custGeom>
            <a:solidFill>
              <a:srgbClr val="CDCDC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12700" cap="rnd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wrap="square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56" name="Line 59">
              <a:extLst>
                <a:ext uri="{FF2B5EF4-FFF2-40B4-BE49-F238E27FC236}">
                  <a16:creationId xmlns:a16="http://schemas.microsoft.com/office/drawing/2014/main" id="{24BA5ECD-1AAB-4FDF-B9B2-13697796F7CD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3564" y="2958"/>
              <a:ext cx="63" cy="93"/>
            </a:xfrm>
            <a:prstGeom prst="line">
              <a:avLst/>
            </a:prstGeom>
            <a:noFill/>
            <a:ln w="12700">
              <a:solidFill>
                <a:srgbClr val="CDCDCD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wrap="square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57" name="Freeform 60">
              <a:extLst>
                <a:ext uri="{FF2B5EF4-FFF2-40B4-BE49-F238E27FC236}">
                  <a16:creationId xmlns:a16="http://schemas.microsoft.com/office/drawing/2014/main" id="{348062F5-4882-4424-B984-009D9497E379}"/>
                </a:ext>
              </a:extLst>
            </xdr:cNvPr>
            <xdr:cNvSpPr>
              <a:spLocks/>
            </xdr:cNvSpPr>
          </xdr:nvSpPr>
          <xdr:spPr bwMode="auto">
            <a:xfrm>
              <a:off x="3544" y="3036"/>
              <a:ext cx="48" cy="59"/>
            </a:xfrm>
            <a:custGeom>
              <a:avLst/>
              <a:gdLst>
                <a:gd name="T0" fmla="*/ 47 w 48"/>
                <a:gd name="T1" fmla="*/ 25 h 59"/>
                <a:gd name="T2" fmla="*/ 0 w 48"/>
                <a:gd name="T3" fmla="*/ 58 h 59"/>
                <a:gd name="T4" fmla="*/ 1 w 48"/>
                <a:gd name="T5" fmla="*/ 0 h 59"/>
                <a:gd name="T6" fmla="*/ 3 w 48"/>
                <a:gd name="T7" fmla="*/ 4 h 59"/>
                <a:gd name="T8" fmla="*/ 6 w 48"/>
                <a:gd name="T9" fmla="*/ 6 h 59"/>
                <a:gd name="T10" fmla="*/ 10 w 48"/>
                <a:gd name="T11" fmla="*/ 8 h 59"/>
                <a:gd name="T12" fmla="*/ 12 w 48"/>
                <a:gd name="T13" fmla="*/ 12 h 59"/>
                <a:gd name="T14" fmla="*/ 15 w 48"/>
                <a:gd name="T15" fmla="*/ 14 h 59"/>
                <a:gd name="T16" fmla="*/ 20 w 48"/>
                <a:gd name="T17" fmla="*/ 17 h 59"/>
                <a:gd name="T18" fmla="*/ 23 w 48"/>
                <a:gd name="T19" fmla="*/ 19 h 59"/>
                <a:gd name="T20" fmla="*/ 27 w 48"/>
                <a:gd name="T21" fmla="*/ 20 h 59"/>
                <a:gd name="T22" fmla="*/ 30 w 48"/>
                <a:gd name="T23" fmla="*/ 22 h 59"/>
                <a:gd name="T24" fmla="*/ 35 w 48"/>
                <a:gd name="T25" fmla="*/ 24 h 59"/>
                <a:gd name="T26" fmla="*/ 38 w 48"/>
                <a:gd name="T27" fmla="*/ 24 h 59"/>
                <a:gd name="T28" fmla="*/ 43 w 48"/>
                <a:gd name="T29" fmla="*/ 24 h 59"/>
                <a:gd name="T30" fmla="*/ 47 w 48"/>
                <a:gd name="T31" fmla="*/ 25 h 59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w 48"/>
                <a:gd name="T49" fmla="*/ 0 h 59"/>
                <a:gd name="T50" fmla="*/ 48 w 48"/>
                <a:gd name="T51" fmla="*/ 59 h 59"/>
              </a:gdLst>
              <a:ahLst/>
              <a:cxnLst>
                <a:cxn ang="T32">
                  <a:pos x="T0" y="T1"/>
                </a:cxn>
                <a:cxn ang="T33">
                  <a:pos x="T2" y="T3"/>
                </a:cxn>
                <a:cxn ang="T34">
                  <a:pos x="T4" y="T5"/>
                </a:cxn>
                <a:cxn ang="T35">
                  <a:pos x="T6" y="T7"/>
                </a:cxn>
                <a:cxn ang="T36">
                  <a:pos x="T8" y="T9"/>
                </a:cxn>
                <a:cxn ang="T37">
                  <a:pos x="T10" y="T11"/>
                </a:cxn>
                <a:cxn ang="T38">
                  <a:pos x="T12" y="T13"/>
                </a:cxn>
                <a:cxn ang="T39">
                  <a:pos x="T14" y="T15"/>
                </a:cxn>
                <a:cxn ang="T40">
                  <a:pos x="T16" y="T17"/>
                </a:cxn>
                <a:cxn ang="T41">
                  <a:pos x="T18" y="T19"/>
                </a:cxn>
                <a:cxn ang="T42">
                  <a:pos x="T20" y="T21"/>
                </a:cxn>
                <a:cxn ang="T43">
                  <a:pos x="T22" y="T23"/>
                </a:cxn>
                <a:cxn ang="T44">
                  <a:pos x="T24" y="T25"/>
                </a:cxn>
                <a:cxn ang="T45">
                  <a:pos x="T26" y="T27"/>
                </a:cxn>
                <a:cxn ang="T46">
                  <a:pos x="T28" y="T29"/>
                </a:cxn>
                <a:cxn ang="T47">
                  <a:pos x="T30" y="T31"/>
                </a:cxn>
              </a:cxnLst>
              <a:rect l="T48" t="T49" r="T50" b="T51"/>
              <a:pathLst>
                <a:path w="48" h="59">
                  <a:moveTo>
                    <a:pt x="47" y="25"/>
                  </a:moveTo>
                  <a:lnTo>
                    <a:pt x="0" y="58"/>
                  </a:lnTo>
                  <a:lnTo>
                    <a:pt x="1" y="0"/>
                  </a:lnTo>
                  <a:lnTo>
                    <a:pt x="3" y="4"/>
                  </a:lnTo>
                  <a:lnTo>
                    <a:pt x="6" y="6"/>
                  </a:lnTo>
                  <a:lnTo>
                    <a:pt x="10" y="8"/>
                  </a:lnTo>
                  <a:lnTo>
                    <a:pt x="12" y="12"/>
                  </a:lnTo>
                  <a:lnTo>
                    <a:pt x="15" y="14"/>
                  </a:lnTo>
                  <a:lnTo>
                    <a:pt x="20" y="17"/>
                  </a:lnTo>
                  <a:lnTo>
                    <a:pt x="23" y="19"/>
                  </a:lnTo>
                  <a:lnTo>
                    <a:pt x="27" y="20"/>
                  </a:lnTo>
                  <a:lnTo>
                    <a:pt x="30" y="22"/>
                  </a:lnTo>
                  <a:lnTo>
                    <a:pt x="35" y="24"/>
                  </a:lnTo>
                  <a:lnTo>
                    <a:pt x="38" y="24"/>
                  </a:lnTo>
                  <a:lnTo>
                    <a:pt x="43" y="24"/>
                  </a:lnTo>
                  <a:lnTo>
                    <a:pt x="47" y="25"/>
                  </a:lnTo>
                </a:path>
              </a:pathLst>
            </a:custGeom>
            <a:solidFill>
              <a:srgbClr val="CDCDC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12700" cap="rnd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wrap="square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58" name="Line 61">
              <a:extLst>
                <a:ext uri="{FF2B5EF4-FFF2-40B4-BE49-F238E27FC236}">
                  <a16:creationId xmlns:a16="http://schemas.microsoft.com/office/drawing/2014/main" id="{77402494-5369-4699-BF69-F687D2DFD558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59" y="2955"/>
              <a:ext cx="155" cy="50"/>
            </a:xfrm>
            <a:prstGeom prst="line">
              <a:avLst/>
            </a:prstGeom>
            <a:noFill/>
            <a:ln w="12700">
              <a:solidFill>
                <a:srgbClr val="CDCDCD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wrap="square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59" name="Freeform 62">
              <a:extLst>
                <a:ext uri="{FF2B5EF4-FFF2-40B4-BE49-F238E27FC236}">
                  <a16:creationId xmlns:a16="http://schemas.microsoft.com/office/drawing/2014/main" id="{E541987A-13D3-4734-9DE5-5BDE21432B5B}"/>
                </a:ext>
              </a:extLst>
            </xdr:cNvPr>
            <xdr:cNvSpPr>
              <a:spLocks/>
            </xdr:cNvSpPr>
          </xdr:nvSpPr>
          <xdr:spPr bwMode="auto">
            <a:xfrm>
              <a:off x="3203" y="2979"/>
              <a:ext cx="59" cy="50"/>
            </a:xfrm>
            <a:custGeom>
              <a:avLst/>
              <a:gdLst>
                <a:gd name="T0" fmla="*/ 17 w 59"/>
                <a:gd name="T1" fmla="*/ 0 h 50"/>
                <a:gd name="T2" fmla="*/ 58 w 59"/>
                <a:gd name="T3" fmla="*/ 42 h 50"/>
                <a:gd name="T4" fmla="*/ 0 w 59"/>
                <a:gd name="T5" fmla="*/ 49 h 50"/>
                <a:gd name="T6" fmla="*/ 3 w 59"/>
                <a:gd name="T7" fmla="*/ 45 h 50"/>
                <a:gd name="T8" fmla="*/ 5 w 59"/>
                <a:gd name="T9" fmla="*/ 42 h 50"/>
                <a:gd name="T10" fmla="*/ 8 w 59"/>
                <a:gd name="T11" fmla="*/ 38 h 50"/>
                <a:gd name="T12" fmla="*/ 10 w 59"/>
                <a:gd name="T13" fmla="*/ 36 h 50"/>
                <a:gd name="T14" fmla="*/ 12 w 59"/>
                <a:gd name="T15" fmla="*/ 32 h 50"/>
                <a:gd name="T16" fmla="*/ 14 w 59"/>
                <a:gd name="T17" fmla="*/ 29 h 50"/>
                <a:gd name="T18" fmla="*/ 15 w 59"/>
                <a:gd name="T19" fmla="*/ 23 h 50"/>
                <a:gd name="T20" fmla="*/ 15 w 59"/>
                <a:gd name="T21" fmla="*/ 20 h 50"/>
                <a:gd name="T22" fmla="*/ 17 w 59"/>
                <a:gd name="T23" fmla="*/ 17 h 50"/>
                <a:gd name="T24" fmla="*/ 17 w 59"/>
                <a:gd name="T25" fmla="*/ 12 h 50"/>
                <a:gd name="T26" fmla="*/ 17 w 59"/>
                <a:gd name="T27" fmla="*/ 8 h 50"/>
                <a:gd name="T28" fmla="*/ 17 w 59"/>
                <a:gd name="T29" fmla="*/ 4 h 50"/>
                <a:gd name="T30" fmla="*/ 17 w 59"/>
                <a:gd name="T31" fmla="*/ 0 h 50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w 59"/>
                <a:gd name="T49" fmla="*/ 0 h 50"/>
                <a:gd name="T50" fmla="*/ 59 w 59"/>
                <a:gd name="T51" fmla="*/ 50 h 50"/>
              </a:gdLst>
              <a:ahLst/>
              <a:cxnLst>
                <a:cxn ang="T32">
                  <a:pos x="T0" y="T1"/>
                </a:cxn>
                <a:cxn ang="T33">
                  <a:pos x="T2" y="T3"/>
                </a:cxn>
                <a:cxn ang="T34">
                  <a:pos x="T4" y="T5"/>
                </a:cxn>
                <a:cxn ang="T35">
                  <a:pos x="T6" y="T7"/>
                </a:cxn>
                <a:cxn ang="T36">
                  <a:pos x="T8" y="T9"/>
                </a:cxn>
                <a:cxn ang="T37">
                  <a:pos x="T10" y="T11"/>
                </a:cxn>
                <a:cxn ang="T38">
                  <a:pos x="T12" y="T13"/>
                </a:cxn>
                <a:cxn ang="T39">
                  <a:pos x="T14" y="T15"/>
                </a:cxn>
                <a:cxn ang="T40">
                  <a:pos x="T16" y="T17"/>
                </a:cxn>
                <a:cxn ang="T41">
                  <a:pos x="T18" y="T19"/>
                </a:cxn>
                <a:cxn ang="T42">
                  <a:pos x="T20" y="T21"/>
                </a:cxn>
                <a:cxn ang="T43">
                  <a:pos x="T22" y="T23"/>
                </a:cxn>
                <a:cxn ang="T44">
                  <a:pos x="T24" y="T25"/>
                </a:cxn>
                <a:cxn ang="T45">
                  <a:pos x="T26" y="T27"/>
                </a:cxn>
                <a:cxn ang="T46">
                  <a:pos x="T28" y="T29"/>
                </a:cxn>
                <a:cxn ang="T47">
                  <a:pos x="T30" y="T31"/>
                </a:cxn>
              </a:cxnLst>
              <a:rect l="T48" t="T49" r="T50" b="T51"/>
              <a:pathLst>
                <a:path w="59" h="50">
                  <a:moveTo>
                    <a:pt x="17" y="0"/>
                  </a:moveTo>
                  <a:lnTo>
                    <a:pt x="58" y="42"/>
                  </a:lnTo>
                  <a:lnTo>
                    <a:pt x="0" y="49"/>
                  </a:lnTo>
                  <a:lnTo>
                    <a:pt x="3" y="45"/>
                  </a:lnTo>
                  <a:lnTo>
                    <a:pt x="5" y="42"/>
                  </a:lnTo>
                  <a:lnTo>
                    <a:pt x="8" y="38"/>
                  </a:lnTo>
                  <a:lnTo>
                    <a:pt x="10" y="36"/>
                  </a:lnTo>
                  <a:lnTo>
                    <a:pt x="12" y="32"/>
                  </a:lnTo>
                  <a:lnTo>
                    <a:pt x="14" y="29"/>
                  </a:lnTo>
                  <a:lnTo>
                    <a:pt x="15" y="23"/>
                  </a:lnTo>
                  <a:lnTo>
                    <a:pt x="15" y="20"/>
                  </a:lnTo>
                  <a:lnTo>
                    <a:pt x="17" y="17"/>
                  </a:lnTo>
                  <a:lnTo>
                    <a:pt x="17" y="12"/>
                  </a:lnTo>
                  <a:lnTo>
                    <a:pt x="17" y="8"/>
                  </a:lnTo>
                  <a:lnTo>
                    <a:pt x="17" y="4"/>
                  </a:lnTo>
                  <a:lnTo>
                    <a:pt x="17" y="0"/>
                  </a:lnTo>
                </a:path>
              </a:pathLst>
            </a:custGeom>
            <a:solidFill>
              <a:srgbClr val="CDCDC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12700" cap="rnd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wrap="square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60" name="Line 63">
              <a:extLst>
                <a:ext uri="{FF2B5EF4-FFF2-40B4-BE49-F238E27FC236}">
                  <a16:creationId xmlns:a16="http://schemas.microsoft.com/office/drawing/2014/main" id="{48A9D2F6-AFF5-4435-B0E9-264145C9DE63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59" y="3668"/>
              <a:ext cx="1212" cy="1"/>
            </a:xfrm>
            <a:prstGeom prst="line">
              <a:avLst/>
            </a:prstGeom>
            <a:noFill/>
            <a:ln w="12700">
              <a:solidFill>
                <a:srgbClr val="CDCDCD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wrap="square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61" name="Freeform 64">
              <a:extLst>
                <a:ext uri="{FF2B5EF4-FFF2-40B4-BE49-F238E27FC236}">
                  <a16:creationId xmlns:a16="http://schemas.microsoft.com/office/drawing/2014/main" id="{424AFB2D-F3D7-4732-A7D1-C408E02582A4}"/>
                </a:ext>
              </a:extLst>
            </xdr:cNvPr>
            <xdr:cNvSpPr>
              <a:spLocks/>
            </xdr:cNvSpPr>
          </xdr:nvSpPr>
          <xdr:spPr bwMode="auto">
            <a:xfrm>
              <a:off x="4275" y="3640"/>
              <a:ext cx="53" cy="54"/>
            </a:xfrm>
            <a:custGeom>
              <a:avLst/>
              <a:gdLst>
                <a:gd name="T0" fmla="*/ 0 w 53"/>
                <a:gd name="T1" fmla="*/ 0 h 54"/>
                <a:gd name="T2" fmla="*/ 52 w 53"/>
                <a:gd name="T3" fmla="*/ 25 h 54"/>
                <a:gd name="T4" fmla="*/ 0 w 53"/>
                <a:gd name="T5" fmla="*/ 53 h 54"/>
                <a:gd name="T6" fmla="*/ 0 w 53"/>
                <a:gd name="T7" fmla="*/ 0 h 54"/>
                <a:gd name="T8" fmla="*/ 0 60000 65536"/>
                <a:gd name="T9" fmla="*/ 0 60000 65536"/>
                <a:gd name="T10" fmla="*/ 0 60000 65536"/>
                <a:gd name="T11" fmla="*/ 0 60000 65536"/>
                <a:gd name="T12" fmla="*/ 0 w 53"/>
                <a:gd name="T13" fmla="*/ 0 h 54"/>
                <a:gd name="T14" fmla="*/ 53 w 53"/>
                <a:gd name="T15" fmla="*/ 54 h 54"/>
              </a:gdLst>
              <a:ahLst/>
              <a:cxnLst>
                <a:cxn ang="T8">
                  <a:pos x="T0" y="T1"/>
                </a:cxn>
                <a:cxn ang="T9">
                  <a:pos x="T2" y="T3"/>
                </a:cxn>
                <a:cxn ang="T10">
                  <a:pos x="T4" y="T5"/>
                </a:cxn>
                <a:cxn ang="T11">
                  <a:pos x="T6" y="T7"/>
                </a:cxn>
              </a:cxnLst>
              <a:rect l="T12" t="T13" r="T14" b="T15"/>
              <a:pathLst>
                <a:path w="53" h="54">
                  <a:moveTo>
                    <a:pt x="0" y="0"/>
                  </a:moveTo>
                  <a:lnTo>
                    <a:pt x="52" y="25"/>
                  </a:lnTo>
                  <a:lnTo>
                    <a:pt x="0" y="53"/>
                  </a:lnTo>
                  <a:lnTo>
                    <a:pt x="0" y="0"/>
                  </a:lnTo>
                </a:path>
              </a:pathLst>
            </a:custGeom>
            <a:solidFill>
              <a:srgbClr val="CDCDC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12700" cap="rnd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wrap="square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endParaRPr lang="sk-SK"/>
            </a:p>
          </xdr:txBody>
        </xdr:sp>
        <xdr:sp macro="" textlink="">
          <xdr:nvSpPr>
            <xdr:cNvPr id="62" name="Rectangle 65">
              <a:extLst>
                <a:ext uri="{FF2B5EF4-FFF2-40B4-BE49-F238E27FC236}">
                  <a16:creationId xmlns:a16="http://schemas.microsoft.com/office/drawing/2014/main" id="{ED135401-94AF-45DA-8A97-2C33F5C50339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65" y="3740"/>
              <a:ext cx="116" cy="58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1270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4400" kern="120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lvl9pPr>
            </a:lstStyle>
            <a:p>
              <a:pPr algn="ctr" eaLnBrk="1" hangingPunct="1">
                <a:spcBef>
                  <a:spcPct val="0"/>
                </a:spcBef>
                <a:buFontTx/>
                <a:buNone/>
              </a:pPr>
              <a:endParaRPr lang="sk-SK" altLang="sk-SK" sz="4400">
                <a:solidFill>
                  <a:schemeClr val="tx2"/>
                </a:solidFill>
              </a:endParaRPr>
            </a:p>
          </xdr:txBody>
        </xdr:sp>
      </xdr:grpSp>
      <xdr:sp macro="" textlink="">
        <xdr:nvSpPr>
          <xdr:cNvPr id="63" name="Rectangle 24">
            <a:extLst>
              <a:ext uri="{FF2B5EF4-FFF2-40B4-BE49-F238E27FC236}">
                <a16:creationId xmlns:a16="http://schemas.microsoft.com/office/drawing/2014/main" id="{FC3725D9-B226-40D6-AD25-15BE39DDB2E8}"/>
              </a:ext>
            </a:extLst>
          </xdr:cNvPr>
          <xdr:cNvSpPr>
            <a:spLocks noChangeArrowheads="1"/>
          </xdr:cNvSpPr>
        </xdr:nvSpPr>
        <xdr:spPr bwMode="auto">
          <a:xfrm>
            <a:off x="3736428" y="6222124"/>
            <a:ext cx="979287" cy="401298"/>
          </a:xfrm>
          <a:prstGeom prst="rect">
            <a:avLst/>
          </a:prstGeom>
          <a:noFill/>
          <a:ln w="12700">
            <a:noFill/>
            <a:miter lim="800000"/>
            <a:headEnd/>
            <a:tailEnd/>
          </a:ln>
          <a:effectLst/>
        </xdr:spPr>
        <xdr:txBody>
          <a:bodyPr wrap="square" lIns="90488" tIns="44450" rIns="90488" bIns="44450">
            <a:no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4400" kern="120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>
              <a:defRPr/>
            </a:pPr>
            <a:r>
              <a:rPr lang="en-US" sz="1800" b="1">
                <a:solidFill>
                  <a:schemeClr val="accent2"/>
                </a:solidFill>
                <a:effectLst>
                  <a:outerShdw blurRad="38100" dist="38100" dir="2700000" algn="tl">
                    <a:srgbClr val="C0C0C0"/>
                  </a:outerShdw>
                </a:effectLst>
                <a:latin typeface="Arial" charset="0"/>
              </a:rPr>
              <a:t>Mode</a:t>
            </a:r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7</xdr:col>
      <xdr:colOff>591038</xdr:colOff>
      <xdr:row>27</xdr:row>
      <xdr:rowOff>4884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A6FB71B-BA36-4A82-8FB8-EF124F34B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152400</xdr:rowOff>
    </xdr:from>
    <xdr:to>
      <xdr:col>15</xdr:col>
      <xdr:colOff>0</xdr:colOff>
      <xdr:row>23</xdr:row>
      <xdr:rowOff>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EF451ED-8165-485B-B561-D6DC86EBE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15</xdr:col>
      <xdr:colOff>0</xdr:colOff>
      <xdr:row>20</xdr:row>
      <xdr:rowOff>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7B18521A-9C34-44A4-A4A2-CDA96F86B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152400</xdr:rowOff>
    </xdr:from>
    <xdr:to>
      <xdr:col>13</xdr:col>
      <xdr:colOff>0</xdr:colOff>
      <xdr:row>22</xdr:row>
      <xdr:rowOff>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6076229-9D0C-49DF-B3C9-8A711B225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161 1,'-24'544,"18"-490,-52 624,40-150,-20-43,25-317,10 204,5-209,-3 154,3 216,33 69,-25-473,36 374,-38-417,-1-25,10 190,-8-60,0 17,-10 160,2-356,0 1,1-1,1 0,0 0,9 24,-5-16,-3-9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62,'363'-1,"383"2,275 67,-837-52,692 27,2-41,-604-4,330-15,-227 3,107-8,105-2,364-30,-167 0,12 50,-140 65,-302-22,181-4,2-18,5 1,938 19,-1198-39,222 3,-407 6,-71-4,1 0,-1-2,0-1,53-5,-41-4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4265,'1'-21,"1"0,0 0,2 0,1 1,13-36,48-94,-52 122,42-92,-5-2,-6-2,30-133,10-277,-30 144,-29 268,6 0,71-177,-67 211,4 2,84-130,-67 125,73-100,25-12,-114 147,242-269,-251 292,66-89,0 2,35-13,-60 61,-61 61,3-5,29-22,-39 34,1 0,-1 0,2 1,-1 0,0 0,0 1,0 0,0 0,15-3,29 2,89 4,-71 1,-46 0,1 0,0 2,0 0,-2 2,2 0,-2 1,1 1,21 12,23 16,69 47,-33-18,-33-26,63 42,-110-65,0 1,-1 0,31 35,16 30,-6 1,66 114,-88-123,-4 0,46 133,112 246,-164-397,62 86,49 42,-98-130,-10-13,0-1,3-2,70 58,-20-24,-2 4,118 142,-176-190,2 0,56 43,71 36,37 29,-7 3,-153-116,171 119,-142-96,2-5,2-2,2-3,1-3,78 27,333 121,-223-96,54 22,-27-2,-197-79,120 23,-40-22,-32-7,176 49,-194-38,3-5,220 19,-321-44,550 75,-433-52,181 9,-71-11,220 40,-363-54,-76-8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3333 484,'1'21,"2"2,1-1,0-1,2 1,14 37,7 21,-23-54,0 0,-2 0,-1-1,-3 47,0-6,2 1454,0-1507,1 1,4 18,-1-13</inkml:trace>
  <inkml:trace contextRef="#ctx0" brushRef="#br0" timeOffset="1">2995 3063,'15'-14,"0"0,20-13,-28 22,0 1,1 0,-1 0,1 0,0 1,1 0,15-3,-22 6,0-1,0 1,0 0,0 0,0 0,0 0,0 0,1 0,-1 1,0-1,0 1,0-1,1 1,-1 0,-1 0,1 0,0 0,0 0,2 2,-2-1,0 1,1 0,-1 0,0-1,0 1,0 1,-1-1,1 0,-1 0,2 6,0 6,0 0,-1 1,0-1,-1 18,-1-31,2 100,1-80</inkml:trace>
  <inkml:trace contextRef="#ctx0" brushRef="#br0" timeOffset="2">3610 3067,'0'6,"0"5,0 7,0 6,0 1,0 3,0 3,0 0,0-4,0-3,0-2,0-5</inkml:trace>
  <inkml:trace contextRef="#ctx0" brushRef="#br0" timeOffset="3">4005 2986,'0'0,"0"0,1 0,-1 0,0 0,0 0,1 0,-1 0,0 0,1 0,-1 0,0 0,0 0,1 0,-1-1,0 1,0 0,1 0,-1 0,0 0,0 0,0-1,1 1,-1 0,0 0,0 0,0-1,1 1,-1 0,0 0,0-1,0 1,0 0,0 0,0-1,0 1,1 0,-1-1,0 1,0 0,0 0,0-1,0 1,0 0,0 0,0-1,-1 1,1 0,0-1,0 1,0 0,0 0,0-1,0 1,0 0,-1 0,1-1,-12-12,11 11,-1 1,1 1,-1-1,1 0,-1 0,0 0,0 1,1-1,-1 1,0 0,0-1,-1 1,2 0,-1 0,0 0,0 0,0 0,1 1,-1-1,-2 1,2 0,1 0,-1 0,1 0,-1 1,1-1,0 0,0 1,-1-1,1 1,0-1,0 1,0-1,1 1,-1 0,0-1,0 4,-2 7,1 0,0 1,1-1,0 22,1-27,0-4,-1 11,0 0,2 0,0 1,0-1,1-1,1 0,0 1,1 0,6 15,-7-24,-1 0,0 0,0 1,-1-1,0 0,0 1,0 0,0-1,-1 1,0-1,0 1,0-1,-1 1,-2 9,2-12,0 0,0-1,0 1,-1 0,1 0,-1-1,0 1,1-1,-1 1,-1-1,1 0,0 1,0-1,-1-1,1 1,-1 0,1 0,-1-1,0 0,-1 1,1-1,0 0,0 0,0-1,0 1,0-1,-5 1,6-1,0 0,-1 0,1 0,0 0,0-1,0 1,0-1,0 1,0-1,0 0,-1 0,2 0,-1 0,0 0,0 0,1 0,-4-3,2 1,1 0,-1-1,1 1,0-1,-1 1,2-1,-1 0,-2-6,1 1,1-1,0 0,0 0,1 0,0 1,2-20,-1 26,0 1,0 0,1 0,-1 0,1-1,-1 1,1 0,0 0,0 0,0 0,0 0,0 0,0 0,1 0,-1 1,1-1,-1 0,1 1,0-1,-1 1,1 0,0 0,0-1,0 1,0 0,4-1,2 0,3 0,-2 1,0 0,0 0,14 1,-16 1,0-1,0 0,0-1,0 1,0-1,1-1,12-3,-18 3,1 1,0-1,-1 0,1 0,-1 0,1 0,-1 0,0 0,0-1,0 1,0 0,0 0,-1-1,4-4,-3 1,0 0,-1 0,0 0,0 0,0 0,0-9,-1-3</inkml:trace>
  <inkml:trace contextRef="#ctx0" brushRef="#br0" timeOffset="4">4500 3063,'6'-1,"0"0,0 0,1-1,-1 0,0 0,0 0,-1-1,0 0,1 0,-1 0,0-1,1 1,5-7,29-19,-29 24,-8 3,1-1,0 1,0 1,0-1,-1 0,6 0,-8 2,-1 0,1 0,0 0,0 0,0 0,0 0,0 0,0 0,-1 0,1 0,0 1,0-1,0 0,0 1,-1-1,2 1,-1-1,0 1,-1-1,1 1,0-1,-1 1,1 0,-1-1,1 1,-1 0,1-1,-1 1,1 0,-1 0,0 0,1-1,-1 1,0 1,4 16,0-1,-2 1,0 0,-1-1,-1 1,-3 21,2 2,-21 248,21-284,-2 10,-1-3</inkml:trace>
  <inkml:trace contextRef="#ctx0" brushRef="#br0" timeOffset="5">2883 3891,'0'3,"0"7,-3 8,-4 6,-4 6,-6 3,-7 3,-4 1,-2-4,5-1,3-2,7-4,1-6,7-10,4-6</inkml:trace>
  <inkml:trace contextRef="#ctx0" brushRef="#br0" timeOffset="6">2794 4103,'31'-1,"-11"1,0 0,25 3,-39-2,0 1,0-1,0 1,0 0,-1 0,2 1,-1 0,-1 0,0 0,0 0,7 6,-7-5,-3-2,1 0,0 0,-1 1,0-1,1 1,-1-1,0 1,0 0,2 5,-35-39,10 8</inkml:trace>
  <inkml:trace contextRef="#ctx0" brushRef="#br0" timeOffset="7">2883 4015,'3'-3,"4"-1,5 0,4 1,4 1,3 0,-5-2,-2 0,1 0,-1 1,0-2,5 0,3 0,5-1,2 0,-2 1</inkml:trace>
  <inkml:trace contextRef="#ctx0" brushRef="#br0" timeOffset="8">3422 3908,'0'3,"0"4,0 4,0 3,0 5,-3 5,-4 5,-4 1,0 0,-2-1,2-9,3-7</inkml:trace>
  <inkml:trace contextRef="#ctx0" brushRef="#br0" timeOffset="9">3368 3908,'0'-3,"1"-1,-1 1,1-1,0 1,0 0,0-1,1 1,-1 0,1 0,0 0,0 0,1 0,-1 0,0 0,1 1,-1-1,1 1,-1-1,1 1,0 0,0 0,0 1,6-3,-2 0,1 1,1 0,-2 1,1-1,0 1,0 1,0 0,1 0,11 1,-19 0,1 0,0 0,-1 0,1 0,0 1,-1-1,1 1,0-1,-1 1,1 0,-1-1,1 1,-1 0,0 0,1 0,-1 0,0 0,0 1,1-1,-1 0,2 2,-2 0,0-1,0 1,0-1,0 1,-1-1,1 1,-1 0,1-1,-1 1,0 0,0-1,-1 5,0-1,0 0,0 0,-1 1,-1-1,1 0,0-1,-1 1,0 0,0-1,-7 10,-1-5,-14 16,24-25,0 0,1 0,-1 0,1 0,-1 0,1 0,0 0,-1 0,1 0,0 0,0 0,-1 1,1-1,0 0,0 0,0 0,1 0,-1 0,0 1,0-1,1 0,-1 0,0 0,1 0,-1 0,2 1,14 17,0-2,1 0,2-1,-1-1,27 17,-38-28,0 1,0-2,15 7,-5-4</inkml:trace>
  <inkml:trace contextRef="#ctx0" brushRef="#br0" timeOffset="10">3872 3820,'0'3,"0"4,0 7,0 7,0 6,0 4,0 0,0 1,0-2,0-1,0-1,0-3,0-6</inkml:trace>
  <inkml:trace contextRef="#ctx0" brushRef="#br0" timeOffset="11">4140 3873,'4'0,"3"0,4 0,3 0,6 0,4 0,9 0,4 0,2 0,-2-3,-3-1,-2 0,-5 1,-3 1,-3 0,-5 2</inkml:trace>
  <inkml:trace contextRef="#ctx0" brushRef="#br0" timeOffset="12">4338 3855,'0'3,"0"4,0 7,0 7,0 3,0 6,0 1,0 8,0 3,0 3,0-1,0 0,0-3,0-5,0-8</inkml:trace>
  <inkml:trace contextRef="#ctx0" brushRef="#br0" timeOffset="13">5747 16,'0'0,"0"0,0 0,0 0,0 0,0 0,0-1,0 1,0 0,0 0,0 0,0 0,0 0,0 0,0 0,1-1,-1 1,0 0,0 0,0 0,0 0,0 0,0 0,0 0,1 0,-1 0,0 0,0 0,0 0,0 0,0 0,0 0,1 0,-1 0,0 0,0 0,0 0,0 0,0 0,0 0,1 0,-1 0,0 0,0 0,0 0,0 0,0 0,0 0,0 0,1 0,-1 1,0-1,0 0,0 0,0 0,0 0,-1 11,-7 15,-20 30,-3-2,-3-1,-1-1,-53 58,29-41,-76 67,98-103,-2-2,-2-1,-76 43,99-65,-1 0,-1-2,-37 9,11-4,44-10,0 0,0-1,0 1,0-1,0 1,-1-1,1 0,0 0,0 0,0 0,0 0,-1-1,1 1,0 0,0-1,0 0,0 1,0-1,-1 0,-2-2,3 1,0 0,0-1,1 1,-1-1,0 1,1-1,0 0,-1 0,1 0,0 0,0 1,1-1,-1-1,0-2,-3-20,1 0,2-1,0 1,1 0,2-1,1 1,1 0,1 0,1 1,2 0,21-49,-28 71,1 0,0 0,-1 1,1-1,0 0,1 1,-1 0,0-1,1 1,-1 0,1 0,0 0,0 1,0-1,6-2,-4 3,0-1,0 1,0 1,0-1,0 1,0-1,1 1,0 1,5 0,9 4,0 0,0 1,0 1,19 10,-29-13,27 14,-1 2,-1 1,0 1,-2 2,-1 1,0 2,-3 1,0 1,-2 2,24 34,83 112,-104-137</inkml:trace>
  <inkml:trace contextRef="#ctx0" brushRef="#br0" timeOffset="14">4101 1138,'-3'0,"-4"3,-2 7,0 7,-4 8,-1 11,-6 5,-1 2,0 3,-7 8,-1 1,1-7,6-4,6-10</inkml:trace>
  <inkml:trace contextRef="#ctx0" brushRef="#br0" timeOffset="15">4352 1427,'0'3,"0"4,0 4,0 6,-6 14,-5 12,-10 11,-5 4,-2 2,-2 0,6-9,3-8,5-10,6-6,2-9,1-4,1-4</inkml:trace>
  <inkml:trace contextRef="#ctx0" brushRef="#br0" timeOffset="16">5107 1610,'0'6,"0"8,0 7,-3 7,-10 13,-6 3,0-1,1-4,3-6,4-5,3-8</inkml:trace>
  <inkml:trace contextRef="#ctx0" brushRef="#br0" timeOffset="17">5912 1729,'0'3,"0"4,0 4,-3 6,-1 6,-6 5,-4 0,-7 6,2-1,0-3,0-1,4-4</inkml:trace>
  <inkml:trace contextRef="#ctx0" brushRef="#br0" timeOffset="18">6477 2000,'0'3,"0"4,0 7,0 4,0 1,3 5,1 3,0 1,-1-3,-1-1,-1-6</inkml:trace>
  <inkml:trace contextRef="#ctx0" brushRef="#br0" timeOffset="19">0 273,'8'-1,"-1"-1,0 1,1-2,-1 1,0-1,0 0,0 0,-1-1,0 0,1 0,7-6,-3 2,51-35,3 4,87-42,-132 72,100-39,-119 47,0 1,0-1,0 1,0-1,1 1,-1-1,0 1,0 0,0 0,0 0,1-1,-1 1,0 0,0 0,0 1,0-1,1 0,-1 0,0 1,0-1,0 0,0 1,0-1,0 1,0-1,0 1,0 0,0-1,0 1,0 0,0 0,0 0,0 0,-1 0,1 0,0 0,-1 0,1 0,0 1,0 5,1-1,-1 1,-1 0,1-1,-1 1,-1 7,1-14,-2 31,-1 0,-2-1,-1 0,-13 39,-3-10,-31 64,29-79,17-33,1 1,-1 0,2 0,-7 17,10-17</inkml:trace>
  <inkml:trace contextRef="#ctx0" brushRef="#br0" timeOffset="20">877 354,'3'0,"4"0,5 0,1 0,6 0,4 0,-1 0,2 0,5 0,2 0,-1 0,4 0,-1 0,-3 0,-7 0</inkml:trace>
  <inkml:trace contextRef="#ctx0" brushRef="#br0" timeOffset="21">1924 69,'0'38,"-2"59,0-86,0 0,0 0,0 0,-2 0,1 0,-8 15,0-5,-1 0,-2 0,0-1,-1-1,-1 0,-1-1,-25 21,39-36,0-1,1 0,-1 0,0 0,0 0,0-1,0 1,0-1,0 0,-1 0,1 0,0 0,0 0,-1-1,1 0,-2 0,2 0,0 0,-1 0,1 0,-1-1,1 0,0 0,-1 0,1 0,0 0,0 0,0-1,0 0,0 1,0-1,-5-4,2 0,1 0,-1 0,1 0,1-1,-1 1,1-1,0-1,0 1,1 0,-1-1,1 0,-2-12,1 0,1 0,0-39,3 54,0 0,0 0,0 0,1 0,0 0,0 0,0 1,1-1,-1 0,1 1,0-1,1 1,-1-1,1 1,1 0,-1 0,5-5,-5 7,1-1,0 1,0 0,0 1,0-1,1 1,-1 0,0 0,1 0,0 0,-1 1,1-1,-1 1,1 0,-1 1,0-1,1 1,-1 0,0 0,1 0,7 4,1 0,-1 1,1 0,0 1,-1 0,18 15,47 47,13 11,-77-70,0-1,0-1,1 0,0-1,25 9,-23-10,-1 0,0 1,0 0,0 1,17 14,-21-16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163 86,'-5'0,"0"1,0-1,0 1,0 0,0 0,0 0,0 1,0 0,0 0,1 0,-1 0,1 1,-1 0,-5 5,4-3,0 1,1 0,0 0,0 0,1 1,-1 0,1 0,-4 12,0 2,2 0,0 0,2 1,0-1,-1 43,4-41,-1-11,2 0,-1 0,2 1,0-1,4 20,-5-30,1-1,0 1,0 0,0-1,0 1,0 0,1-1,-1 0,0 1,1-1,-1 0,1 1,-1-1,1 0,-1 0,1 0,0-1,0 1,-1 0,1-1,0 1,0-1,0 1,0-1,3 0,6 1,1-1,-1 0,15-2,-3 0,46 1,50-3,-106 2,0 0,0 0,0-1,-1-1,0 0,23-11,-28 10,-1 1,0-1,-1 0,1 0,-1 0,0-1,0 0,0 0,-1 0,0 0,0-1,-1 0,0 1,0-1,-1-1,1 1,1-12,-1 0,0-2,-1 1,-1 0,-1 0,-3-27,2 41,0-1,-1 1,0 0,0 0,-1-1,1 1,-1 1,-1-1,1 0,-1 1,0 0,0 0,0 0,-1 0,0 1,-8-7,-8-4,0 1,-44-20,43 23,-8-4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131 1,'-3'6,"-1"9,-4 13,-3 15,0 5,-1 6,1-1,2-5,4-5,2-5,0-6,3-1,0-4,0-4,1-1,-1-2,2-2,-2-2</inkml:trace>
  <inkml:trace contextRef="#ctx0" brushRef="#br0" timeOffset="1">432 110,'0'10,"0"7,-3 13,-5 5,-4 11,-3 3,-3-1,3 1,0 2,1-2,2-3,3-7,1-6,2-9</inkml:trace>
  <inkml:trace contextRef="#ctx0" brushRef="#br0" timeOffset="2">0 431,'3'0,"8"0,6-4,1 0,4 0,-1 1,1 1,-1 1,-2 0,5 1,0 0,-1 0,0 0,-1 0,-1 0,-5 0</inkml:trace>
  <inkml:trace contextRef="#ctx0" brushRef="#br0" timeOffset="3">568 547,'-1'-1,"1"0,0 0,-2 0,2 0,-1 1,1-1,-1 0,0 0,1 1,-1-1,0 0,1 1,-1-1,0 1,0-1,0 1,1-1,-1 1,-1 0,1-1,0 1,0 0,0 0,0-1,0 1,0 0,-1 0,-30-2,22 3,0 0,0 0,0 1,1 0,-1 0,1 1,-18 8,22-10,2 2,-1 0,-1-1,1 0,1 1,-1 0,0 0,1 0,-1 0,2 0,-1 2,0-1,0-1,1 1,0 0,0 0,0 0,-2 6,-1 13,2-11,-1 0,2 0,0 0,1 0,0 15,1-24,0-1,0 0,1 1,-1-1,1 0,0 1,-1 0,1-1,0 0,0 0,1 0,0 0,-1 0,0 0,1 0,-1 0,1-1,1 1,-1-1,0 1,-1-1,1 2,0-2,2 0,-2 0,0 0,0 0,0-1,2 1,-2 0,4-1,8 3,-1-2,0 0,-1 0,1-1,0-1,0 0,0-1,-1 0,23-6,-34 6,2 1,-1 0,0 0,-1-1,1 1,-1 0,2-1,-2 1,0-1,0 0,1 1,-1-1,0 0,0 0,0-2,11-36,-2 4,-6 29,-1 0,0 0,-1-1,1 0,-2 1,1-1,-2 0,1 0,-1 1,0-1,0-1,-2-7,-3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296 847,'0'0,"2"-26,-2 26,0-1,0 1,0-1,0 1,0-1,0 1,0 0,0-1,0 1,0-1,0 1,0 0,1-1,-1 1,0-1,0 1,0 0,1-1,-1 1,0 0,0-1,1 1,-1 0,0-1,1 1,-1 0,0 0,1-1,-1 1,1 0,-1 0,0 0,1 0,-1-1,1 1,-1 0,0 0,1 0,-1 0,1 0,-1 0,1 0,-1 0,0 0,1 0,-1 0,1 1,-1-1,1 0,-1 0,0 0,1 1,0 0,1 0,-1 0,0 1,0-1,0 0,-1 1,1-1,0 1,0-1,-1 1,1-1,-1 1,0 0,1 2,2 29,-2-23,2 38,-3 49,-1-81,0 1,-1 0,-2-1,1 1,-2-1,-9 25,13-39,0 0,0 1,-1-1,1 0,0 0,-1 0,1 0,-1 0,0 0,1 0,-1-1,0 1,0-1,-3 2,4-2,-1-1,0 1,0-1,1 0,-1 0,0 0,1 0,-1 0,0 0,1 0,-1-1,0 1,1 0,-1-1,0 0,1 1,-1-1,1 0,-1 0,1 0,-2-1,-11-8,2 0,-1-1,1-1,1 1,0-2,1 0,0 0,1-1,1 0,0 0,1-1,-9-25,3 1,2-1,2 0,-7-79,11 90,0 0,-18-54,11 46,11 34,1 1,-1 0,1-1,-1 1,1 0,0-1,0 1,0 0,0-1,0 1,0-1,1 1,-1 0,1-1,0 1,1-4,0 3,0 1,0-1,0 1,0 0,1 0,-1 0,0 0,1 0,0 0,-1 1,1-1,5-1,7-4,1 1,0 0,0 2,1 0,17-2,12-2,27-3,-67 11,1-1,-1 1,0 1,1-1,-1 1,0 1,1-1,10 5,-14-4,1 0,-1 0,0 0,-1 0,1 1,0 0,-1-1,1 1,-1 0,2 4,20 34,-22-38,52 107,-47-99</inkml:trace>
  <inkml:trace contextRef="#ctx0" brushRef="#br0" timeOffset="1">239 858,'0'-3,"0"-4,0-4,-3 0,-1 2</inkml:trace>
  <inkml:trace contextRef="#ctx0" brushRef="#br0" timeOffset="2">458 49,'4'0,"-1"0,0 0,1 0,-1 1,0-1,1 1,-1 0,0 0,0 0,0 0,0 1,5 2,-6-2,0 0,0-1,0 1,-1 1,1-1,-1 0,1 0,-1 0,0 1,1-1,-1 1,0-1,-1 1,1-1,0 1,-1 4,3 12,-1 1,-1-1,-1 21,-1-32,0 1,0-1,0 0,-1 0,0 0,-1 0,0 0,0-1,-8 14,11-21,-1 1,1-1,0 0,-1 1,1-1,0 1,-1-1,1 1,0-1,-1 1,1-1,0 1,0 0,0-1,0 1,-1-1,1 1,0-1,0 1,0 0,0-1,0 1,0-1,0 1,1-1,-1 1,0 0,0-1,0 1,1-1,-1 1,0-1,0 1,1-1,-1 1,0-1,1 0,-1 1,1-1,-1 1,1-1,-1 0,0 1,1-1,0 0,-1 1,1-1,-1 0,1 0,-1 0,1 0,-1 1,1-1,0 0,-1 0,1 0,-1 0,1 0,0-1,9 2,-1-1,1 0,10-2,-7 0,4 2</inkml:trace>
  <inkml:trace contextRef="#ctx0" brushRef="#br0" timeOffset="3">353 1182,'0'-2,"1"0,-1 0,1 0,0 0,0 0,0 1,0-1,0 0,0 0,0 1,1-1,-1 1,2-3,24-20,-22 20,3-3,1 0,0 1,0 0,0 0,1 1,0 0,10-3,-19 8,0 0,0-1,-1 1,1 0,0 0,0-1,0 1,0 0,0 0,0 0,0 0,0 1,0-1,-1 0,1 0,0 0,0 1,0-1,0 0,0 1,-1-1,1 1,0-1,0 1,-1 0,1-1,0 1,0 0,0 1,0 0,0 0,0 0,-1 0,1 0,-1 0,1 0,-1 0,0 0,1 0,-2 5,1 2,-1 1,-1 0,0-1,-4 13,5-20,-11 33,-20 40,25-62</inkml:trace>
  <inkml:trace contextRef="#ctx0" brushRef="#br0" timeOffset="4">660 1100,'0'3,"0"4,0 4,0 6,-4 3,0 4,-3 1,0 0,1-5</inkml:trace>
  <inkml:trace contextRef="#ctx0" brushRef="#br0" timeOffset="5">660 1094,'5'-1,"0"0,1 0,-1 0,0 0,1-1,-1 0,0 0,8-5,-8 5,0-1,0 1,0 0,0 0,1 0,8-1,-12 3,-1 0,1 0,-1 1,1-1,-1 0,1 1,-1-1,1 1,-1 0,0-1,1 1,-1 0,0 0,0 0,1 0,-1 0,0 0,0 0,0 0,0 0,0 0,0 1,-1-1,1 0,0 1,-1-1,1 1,-1-1,1 1,-1-1,1 2,1 7,0 0,-1 0,1 14,-2-22,1 49,-1-23,5 35,-2-40</inkml:trace>
  <inkml:trace contextRef="#ctx0" brushRef="#br0" timeOffset="6">1041 653,'3'0,"3"0,5 0,3 0,2 0,2 0,0 0,0 0,1 0,-1 0,0 0,0 0,0 0,-1 0,1 0,0 0,-4 0</inkml:trace>
  <inkml:trace contextRef="#ctx0" brushRef="#br0" timeOffset="7">1100 772,'3'0,"4"0,4 0,6 0,3 0,1 0,0 0,0 0,-4 0</inkml:trace>
  <inkml:trace contextRef="#ctx0" brushRef="#br0" timeOffset="8">1735 772,'1'-3,"1"0,-1 1,0-1,1 0,-1 0,1 1,0-1,0 1,0-1,0 1,0 0,5-3,5-7,-10 9,3-4,0 1,1 1,-1-1,8-4,-12 9,0 0,-1 1,1-1,0 0,0 1,0-1,0 1,-1-1,1 1,0 0,0-1,0 1,0 0,0 0,0-1,0 1,0 0,0 0,0 0,0 0,0 1,0-1,0 0,0 0,0 0,0 1,0-1,0 1,0-1,0 1,0-1,-1 1,1-1,0 1,0 0,0-1,-1 1,1 0,-1 0,1-1,0 3,4 5,-1 1,0 0,-1 1,0-1,-1 1,1-1,0 17,1 72,-4-89,0-3,-1 1,1 0,-1-1,0 1,0-1,-1 1,0-1,0 0,-1 1,0-1,-4 8,4-11,0 1,0-1,0 1,0-1,0 0,-1 0,1-1,-1 1,0-1,0 1,1-1,-2 0,1-1,0 1,0-1,-1 0,-6 2,4-2,0 0,1-1,-1 1,0-1,0-1,0 1,0-1,0 0,0-1,1 1,-1-1,1-1,-1 1,1-1,0 0,0-1,0 1,0-1,1-1,-1 1,1-1,0 1,1-1,-1-1,1 1,-5-9,-8-10,1 0,-17-36,28 48,1 0,-1 1,2-2,0 1,0 0,1-1,1 1,-1-15,2 7,0-6,5-39,-3 56,0 0,0 0,1 0,0 0,0 0,1 1,10-16,-9 16,69-115,-73 120,1 1,-1-1,1 1,-1-1,1 1,0 0,0-1,0 1,0 0,1 1,-1-1,0 0,1 1,0-1,-1 1,6-2,-4 2,0 0,1 0,-1 0,0 1,1 0,-1 0,1 0,-1 1,0-1,6 2,2 2,-1 0,1 0,-1 1,0 0,-1 1,1 0,10 9,-6-4,0 1,-1 0,0 1,-1 0,-1 1,0 1,18 28,-26-36,1 0,0 0,0 0,0-1,1 0,0 0,1 0,-1-1,9 5,-2-1</inkml:trace>
  <inkml:trace contextRef="#ctx0" brushRef="#br0" timeOffset="9">1914 38,'0'-2,"1"1,-1-1,0 1,1-1,-1 1,1-1,-1 1,1-1,0 1,0-1,0 1,0 0,0-1,0 1,0 0,0 0,0 0,0 0,1 0,-1 0,0 0,1 0,-1 1,1-1,-1 0,1 1,-1-1,1 1,-1 0,1-1,2 1,8-2,1 1,-1 1,15 0,-12 1,2-2,-2 1,-1 0,1 0,-1 2,17 3,-28-5,0 1,0 0,1 0,-1 0,0 1,0-1,-1 1,1 0,0 0,0 0,-1 0,1 0,-1 0,0 0,0 1,0 0,0-1,0 1,0 0,-1 0,1 0,-1 0,2 6,0 7,-1 0,-1 0,0 1,-1-1,-1 0,-4 25,2-16,3-24,0 0,0 0,0 0,0 0,0 0,1 0,-1 0,0 0,1 0,-1 0,1 0,-1 0,1 0,-1 0,1-1,0 1,-1 0,1 0,0-1,0 1,-1 0,1-1,0 1,0-1,0 1,0-1,0 1,0-1,0 0,0 1,0-1,0 0,2 0,37 3,-36-3,16 0,-2-1</inkml:trace>
  <inkml:trace contextRef="#ctx0" brushRef="#br0" timeOffset="10">1873 1294,'0'-1,"0"1,0-1,1 0,-1 1,0-1,0 1,1-1,-1 0,1 1,-1-1,0 1,1-1,-1 1,1-1,-1 1,1 0,0-1,-1 1,1 0,-1-1,1 1,0 0,-1 0,1-1,0 1,-1 0,2 0,22-3,-20 2,37-7,-34 6,-1 1,1-1,0 1,0 0,0 0,0 1,0 0,0 0,0 1,11 2,-16-3,-1 1,0-1,1 1,-1-1,1 1,-1 0,0 0,0 0,1-1,-1 1,0 0,0 0,0 1,0-1,0 0,0 0,0 0,-1 1,1-1,0 0,-1 1,1-1,-1 1,1-1,-1 1,0-1,1 1,-1-1,0 1,0-1,0 1,0-1,0 1,-1-1,1 1,0-1,-1 0,1 1,-1-1,0 2,-2 3,1-1,-1 0,0-1,-1 1,1 0,-1-1,1 0,-1 0,-6 5,-19 11,16-11,2-1,-19 18,29-26,1 0,0 0,-1 1,1-1,-1 0,1 1,0-1,-1 0,1 1,0-1,-1 0,1 1,0-1,-1 1,1-1,0 1,0-1,0 1,0-1,-1 1,1-1,0 1,0-1,0 1,0-1,0 1,0-1,0 1,0-1,0 1,1-1,-1 1,0-1,0 1,0-1,0 1,1-1,-1 0,0 1,1-1,-1 1,0-1,1 0,-1 1,0-1,1 0,-1 1,1-1,-1 0,0 1,1-1,-1 0,1 0,-1 0,1 1,-1-1,1 0,-1 0,1 0,-1 0,1 0,0 0,37 3,-36-3,15-1</inkml:trace>
  <inkml:trace contextRef="#ctx0" brushRef="#br0" timeOffset="11">2443 1192,'56'-1,"60"3,-115-2,0-1,0 1,0 0,0 1,0-1,0 0,0 0,0 0,0 1,0-1,-1 0,1 1,0-1,0 1,0-1,0 1,0-1,-1 1,1 0,0-1,0 1,-1 0,1-1,-1 1,1 0,0 0,-1 0,0 0,1 1,-1 0,0 0,0 0,0 0,0 0,0 0,-1 0,1 0,-1 0,1 0,-1 0,0 0,0 0,-2 2,-2 4,0 0,-1 0,0 0,-1-1,-8 8,-40 22,55-37,0 0,0 0,0 1,0-1,0 0,0 0,0 0,0 0,0 0,0 0,0 0,0 0,0 0,0 0,0 0,0 0,0 1,0-1,0 0,0 0,0 0,0 0,0 0,0 0,0 0,0 0,0 0,0 0,0 1,0-1,0 0,0 0,0 0,0 0,0 0,0 0,0 0,0 0,0 0,0 0,0 0,0 0,1 0,-1 0,0 0,0 1,0-1,0 0,0 0,0 0,0 0,0 0,0 0,0 0,0 0,1 0,-1 0,9 1,10 0,-2-1,-1-1</inkml:trace>
  <inkml:trace contextRef="#ctx0" brushRef="#br0" timeOffset="12">2522 817,'0'3,"0"7,0 5,3 0,1 0,3-2,0-1,2-2,2-2,3-4,2-1,1-5,0-2,1 0,-3-3,-4-3,-3 1</inkml:trace>
  <inkml:trace contextRef="#ctx0" brushRef="#br0" timeOffset="13">1979 1424,'3'0,"3"0,5 0,3 0,2 0,2 0,0 0,-3 0</inkml:trace>
  <inkml:trace contextRef="#ctx0" brushRef="#br0" timeOffset="14">2642 1262,'3'0,"4"0,4 0,2 0,4 0,0-3,-2-1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55 0,'-5'14,"1"0,0 0,0 0,1 0,1 1,0 15,-1 3,-24 611,27-613,0-30,0 7,0-8,0 0,1 0,-1 0,0 0,0 0,0 0,0 0,0 0,0 0,0 0,0 0,0 0,0 0,0 0,0 0,0 0,1 0,-1 0,0 0,0 0,0 0,0 0,0 0,0 0,0 0,0 0,0 0,0 0,0 0,1 0,-1 0,0 0,0 0,0 0,0 0,0 0,0 0,0 0,0 0,0 1,0-1,0 0,0 0,0 0,0 0,0 0,0 0,0 0,0 0,0 0,0 0,0 0,0 0,0 1,0-1,0 0,0 0,0 0,0 0,0 0,0 0,0 0,0 0,0 0,0 0,0 0,0 0,0 1,4-8</inkml:trace>
  <inkml:trace contextRef="#ctx0" brushRef="#br0" timeOffset="1">404 82,'1'62,"-6"178,1-190,-2-1,-22 89,24-124,1 1,0 1,0 30,3-32</inkml:trace>
  <inkml:trace contextRef="#ctx0" brushRef="#br0" timeOffset="2">85 494,'3'0,"5"0,3 0,4 0,1 0,2 0,1 0,1 0,-2 0,2 0,-1 0,0 0,1 0,16 0,6 4,2 0,1 0,-8-1</inkml:trace>
  <inkml:trace contextRef="#ctx0" brushRef="#br0" timeOffset="3">636 760,'6'0,"1"-1,0 0,-1-1,0 1,0-1,1-1,-2 1,1-1,0 0,10-6,6-7,25-24,-27 24,25-23,2 3,99-58,-144 93,0 0,0 1,-1-1,1 0,0 0,0 1,0-1,0 1,0 0,0-1,1 1,-1 0,0 0,0 0,0 1,0-1,0 0,4 2,-5-1,0 0,0 0,0 0,0 0,0 0,1 0,-1 0,0 1,0-1,0 0,-1 1,1-1,0 0,-1 1,0-1,1 1,-1-1,1 0,-1 1,0-1,0 1,0-1,0 1,0 0,0 0,-1 1,-1 11,0 2,-3-1,2-1,-10 25,-32 56,33-70,-33 58,26-56</inkml:trace>
  <inkml:trace contextRef="#ctx0" brushRef="#br0" timeOffset="4">1488 340</inkml:trace>
  <inkml:trace contextRef="#ctx0" brushRef="#br0" timeOffset="5">1421 671</inkml:trace>
  <inkml:trace contextRef="#ctx0" brushRef="#br0" timeOffset="6">2049 661,'1'-7,"-1"1,1 0,-1-1,2 1,-1 1,1-1,0-1,0 2,0-1,2 1,-2-1,2 1,-1 0,0 0,1 1,0-2,1 2,4-5,0-1,30-27,-37 35,0 1,0-1,0 1,-1-1,1 1,0 0,1 0,0 0,-1 0,0 1,0-1,0 1,1-1,-1 1,0 0,0 0,1 0,3 0,-4 1,0 0,0 1,0-1,0 0,0 0,-1 2,1-2,0 1,-1 0,1-1,-1 1,0 0,0 0,1 0,-1 0,0 0,0 0,0 1,0-1,0 4,7 47,-5-14,-1-1,-2-1,-7 51,6-82,0 0,-1 0,0 0,0-1,0 1,-2 0,1-1,0 0,0 0,-1 1,1-2,-1 1,0-1,-2 0,2 1,-1-1,0-1,1 0,-2 0,0 0,1 0,0 0,-2-1,2 0,-1 0,0-1,0 0,0 0,0 0,0-1,0 0,-1 0,1 0,0-1,1 0,-2 0,1-1,1 1,-1-1,1 0,-10-6,14 8,-16-8,2-2,-1 1,-18-16,29 21,0 0,1-2,0 2,0-1,0 0,1-1,-1 0,1 1,0-1,1 0,-1 0,1 0,-1-8,-1-11,1 0,-1-31,3 25,-6-32,4 33,0 1,2 1,1-1,2-1,0 1,2 1,14-53,-12 34,-5 37,0 1,0-2,1 2,0-1,5-10,-6 19,1-1,-1 0,0 0,1 1,-1-1,1 0,-1 1,1 0,0-1,-1 1,1 0,0 0,0 0,1-1,-1 1,0 0,0 1,0-1,0 1,0-1,1 1,1 0,10-1,-2 1,24 1,-17 1,44-2,36 2,-96-2,1 2,0-1,-1 0,2 0,-2 1,1-1,-1 1,0 0,0 0,1 0,-1 0,0 1,0-1,4 6,4 5,1 2,8 14,-3-4,-9-13,-1 0,-1 0,10 23,-10-19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3,'30'-1,"-17"0,-1 1,0 0,0 1,18 2,-27-2,0 0,-1-1,1 1,-1 0,1 0,-1 0,0 1,1-1,-1 1,0-1,0 1,0 0,0-1,0 1,0 0,-1 0,1 1,-1-1,1 0,-1 0,0 1,0-1,0 1,0-1,1 5,0 7,-1-1,0 0,-1 1,-2 17,1 28,1-58,1 1,-1 0,0-1,0 1,1-1,-1 0,1 1,-1-1,1 1,0-1,-1 0,1 1,0-1,0 0,0 0,0 1,0-1,0 0,0 0,3 1,-2 0,1-1,0 0,0 0,0 0,0 0,0-1,0 1,0-1,4 1,8-1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1 571,'0'-1,"0"0,1 0,-1 0,0 0,1-1,-1 1,1 0,-1 0,1 0,0 0,-1 0,1 0,0 0,0 0,0 1,-1-1,3-1,21-14,-11 8,-3 0,1 2,-1-1,1 1,1 1,-1 0,1 1,0 0,0 0,0 1,19-1,-29 3,-1 1,0 0,1 0,-1 0,0 0,1 0,-1 1,0-1,0 0,1 0,-1 1,0-1,0 1,1-1,-1 1,0 0,0-1,0 1,0 0,0 0,0 0,2 2,-2-1,0 0,1 1,-1-1,0 1,0 0,0-1,-1 1,1 0,0-1,-1 5,1 6,-1-1,-1 1,-4 21,2-19,-1-1,-8 21,6-20,1-1</inkml:trace>
  <inkml:trace contextRef="#ctx0" brushRef="#br0" timeOffset="1">693 166,'16'0,"1"1,0 1,-1 0,1 1,-1 1,0 1,0 0,-1 1,1 1,-1 0,-1 1,18 13,-21-15,0 0,0-1,0 0,14 4,12 5,26 25,-62-39,0 0,0 1,0-1,0 1,0-1,0 1,-1 0,1-1,0 1,0 0,0 0,0-1,-1 1,1 0,0 0,0 2,-1-3,0 1,0-1,0 1,0 0,0-1,0 1,0-1,0 1,0-1,0 1,-1-1,1 1,0-1,0 1,-1-1,1 1,0-1,0 1,-1-1,1 0,-1 1,1-1,-1 1,-4 3,0-1,-1 0,1 0,-11 3,12-4,-56 23,-80 36,113-50,15-9</inkml:trace>
  <inkml:trace contextRef="#ctx0" brushRef="#br0" timeOffset="2">82 875,'0'3,"0"4,0 4,0 3,0 2,-3-1,-1-1,1 0,-4 2,1 0,-2 1,-3 0,1 0,1-2</inkml:trace>
  <inkml:trace contextRef="#ctx0" brushRef="#br0" timeOffset="3">164 875,'3'0,"3"0,5 0,3 0,2 0,1 0,1 0,1 0,-4 3,-3 7,-5 5,-3 3,-2 1,-2 1,0-1,-1 0,0 0,0-4</inkml:trace>
  <inkml:trace contextRef="#ctx0" brushRef="#br0" timeOffset="4">1947 14,'0'-1,"0"1,0-1,-1 0,1 1,-1-1,1 1,0-1,-1 1,1-1,-1 1,1-1,-1 1,1-1,-1 1,0 0,1-1,-1 1,1 0,-1-1,0 1,1 0,-1 0,0 0,1 0,-2 0,-19-3,15 3,-1 0,1 1,0 0,-1 0,1 0,0 1,0 0,-7 3,-49 28,33-17,-18 7,-79 46,113-60,0 0,0 1,1 0,0 1,1 0,-19 25,20-19,9-14,0 0,-1-1,0 1,0 0,0-1,0 1,0-1,0 1,-5 2,3-2,0 1,0-1,1 1,-1 0,1 0,0 0,0 0,0 0,0 1,1-1,0 1,0 0,0 0,-2 8,2-3,1 1,0 0,0-1,1 1,0 0,3 12,-3-21,1 1,-1-1,1 1,0-1,0 1,0-1,0 1,0-1,0 0,1 0,-1 0,1 0,-1 0,1 0,0 0,0 0,0-1,0 1,0-1,0 1,0-1,1 0,-1 0,0 0,1 0,-1 0,1-1,2 1,8 1,0 0,0-1,0-1,17-1,-10 1,14 0,-15 0,-1 0,0-1,0 0,19-5,-33 5,1 0,0-1,-1 0,0 1,1-2,-1 1,0 0,0-1,0 0,0 0,0 0,-1 0,0 0,1-1,-1 0,0 1,-1-1,1-1,-1 1,3-5,-3 4,0-1,0 1,-1-1,1 0,-1 1,0-1,-1 0,1-8,-2 11,1 0,0-1,-1 1,0 0,0 0,0 0,0 1,0-1,0 0,-1 0,1 1,-1-1,0 0,0 1,0 0,0-1,-4-2,-3-1</inkml:trace>
  <inkml:trace contextRef="#ctx0" brushRef="#br0" timeOffset="5">1927 31,'0'3,"3"1,1 3,0 3,-1 3,2 0,0-1,0-1</inkml:trace>
  <inkml:trace contextRef="#ctx0" brushRef="#br0" timeOffset="6">1789 290,'-3'0,"-4"0,-4 0,-3 0,-2 0,-1 0,-1 0,0 0,2 0</inkml:trace>
  <inkml:trace contextRef="#ctx0" brushRef="#br0" timeOffset="7">1800 621,'37'0,"0"-1,48-9,-38 4,-86 44,27-27,7-7,1 0,-1 0,1 0,0 1,0-1,-4 9,7-12,1 0,-1 0,1 0,0 1,-1-1,1 0,0 0,0 0,0 1,0-1,0 0,0 0,0 1,1-1,-1 0,0 0,1 0,-1 1,1-1,-1 0,1 0,0 0,-1 0,1 0,0 0,0 0,-1 0,1 0,0 0,0-1,0 1,0 0,0-1,0 1,1 0,-1-1,1 1,28 14,-18-8</inkml:trace>
  <inkml:trace contextRef="#ctx0" brushRef="#br0" timeOffset="8">1994 321,'3'0,"4"0,3 0,1-3,1-1,2 0,1 1,1 1,1 1,1 0,0 1,-3 0</inkml:trace>
  <inkml:trace contextRef="#ctx0" brushRef="#br0" timeOffset="9">1598 801,'3'0,"0"0,-1 1,1-1,-1 1,1 0,-1 0,0 0,1 0,-1 0,0 1,0-1,1 1,-1-1,2 3,27 30,-22-23,-1-2,-1 0,-1 1,0 0,0 0,-1 0,0 1,0-1,-2 1,1 0,-1 1,-1-1,0 0,1 20,-4-25,0-1,0 0,0 0,0 0,-1 0,0 0,0 0,-1 0,1 0,-1-1,0 0,0 1,-1-1,1 0,-5 4,-9 7,-1 1,-22 13,18-12,22-17,-1 0,1 0,0 0,0 0,0 0,0 0,0 0,0 0,0 0,0 0,0 0,0 0,-1 0,1 0,0 0,0 0,0 0,0 1,0-1,0 0,0 0,0 0,0 0,0 0,0 0,0 0,0 0,0 0,0 0,0 1,0-1,0 0,0 0,0 0,0 0,0 0,0 0,0 0,0 0,0 0,0 1,0-1,0 0,0 0,0 0,0 0,0 0,0 0,0 0,0 0,0 0,1 0,-1 0,0 0,0 1,0-1,8 1,13 0,-21-1,31 0,23 0,-50 0,1-1,-1 1,1-1,-1 0,1-1,-1 1,0-1,7-3,-1-3</inkml:trace>
  <inkml:trace contextRef="#ctx0" brushRef="#br0" timeOffset="10">1649 878,'-3'0,"-4"0,-7 3,-1 4,-1 4,-1 3,0 2,0-1,2-1,1-3,3-2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83 446,'2'74,"-4"83,-3-127,-1 0,-1 0,-2-1,-1 0,-1 0,-18 32,24-49</inkml:trace>
  <inkml:trace contextRef="#ctx0" brushRef="#br0" timeOffset="1">87 340,'3'0,"4"0,4 0,3 0,2 0,1 0,4 0,2 3,-1 1,0 0,-2-1,-4 2,-4 3,-5 4,-3-1</inkml:trace>
  <inkml:trace contextRef="#ctx0" brushRef="#br0" timeOffset="2">59 653,'3'0,"4"0,4 0,3 0,2 0,1 0,1 0,1 0,-1 0,0 0,0 0,0 0,0 0,0 0,0 0,-1 0,-2 0</inkml:trace>
  <inkml:trace contextRef="#ctx0" brushRef="#br0" timeOffset="3">958 301,'-38'34,"27"-25,0 1,0 0,1 1,-10 12,0 7,0 1,-27 59,30-58,13-26,0 2,0-1,-4 15,1 6,1 1,1 0,0 37,5 91,2-65,-3-54,0-23,0 0,1 0,1 0,1 0,5 23,-4-26</inkml:trace>
  <inkml:trace contextRef="#ctx0" brushRef="#br0" timeOffset="4">927 650,'14'0,"-1"1,0-1,0 0,1-1,-1-1,0 0,0-1,-1 0,22-8,-31 9,1 1,-1-1,0 1,1 0,-1 0,1 0,-1 0,1 1,-1-1,1 1,-1 0,1 0,0 0,-1 1,1-1,-1 1,1 0,3 1,-2 1,-1 0,1 0,-1 0,0 0,0 0,-1 1,1 0,-1 0,0 0,1 0,-2 0,4 6,-3-4,1 0,-1 0,-1 0,1 0,-1 0,0 1,0-1,-1 1,0-1,0 10,-1-12,0 1,-1 0,1-1,-1 1,-1-1,1 0,-1 1,1-1,-1 0,0 0,-1 0,1 0,-1 0,1 0,-7 5,-5 4,11-10,0-1,0 1,0 0,0 0,1 0,0 0,-3 4,5-7,0 1,0-1,-1 1,1 0,0-1,0 1,0-1,0 1,0-1,0 1,0 0,1-1,-1 1,0-1,0 1,0-1,1 1,-1-1,0 1,0-1,1 1,-1-1,0 1,1-1,-1 1,1-1,-1 0,1 1,-1-1,1 0,0 1,19 10,-16-8,19 8,-1 1,0 1,-1 1,-1 1,36 34,-55-48,1 1,0 0,-1 0,1 0,-1 0,0 0,0 0,0 0,0 1,0-1,0 0,0 1,-1-1,1 1,-1-1,0 0,0 1,0-1,0 1,0 3,-1-3,0 0,-1 0,1 0,0 0,-1-1,0 1,0 0,0-1,0 1,0-1,0 0,-1 1,-3 2,-3 1,0-1,0 0,0 0,-1 0,1-2,-1 1,0-1,-16 3,-11-2,0-2,0-1,-59-7,94 6,1-1,-1 1,0 0,0-1,1 1,-1-1,0 0,1 1,-1-1,1 0,-1 0,-2-2,-3-4</inkml:trace>
  <inkml:trace contextRef="#ctx0" brushRef="#br0" timeOffset="5">1502 682,'34'-8,"-15"2,66-20,-69 19,-1 2,0 0,1 1,0 0,0 1,0 1,1 1,19 0,-34 1,1 1,-1-1,0 0,1 1,-1 0,0 0,0-1,0 1,0 1,0-1,0 0,0 0,0 1,0-1,0 1,-1 0,1-1,-1 1,2 3,0-1,-1 0,-1 0,1 0,0 0,-1 0,0 1,0-1,0 1,0 7,-1-3,0 1,-1 0,0 0,-1 0,0-1,0 1,-1-1,-6 17,3-16,-1 0,0 0,-9 10,5-7,11-13,-1 1,0 0,1 0,-1-1,1 1,-1 0,1 0,-1 0,1 0,0 0,-1-1,1 1,0 0,0 0,0 0,-1 0,1 0,0 0,0 0,1 0,-1 0,0 0,0 0,0 0,1 0,-1 0,0 0,1 0,-1-1,1 1,-1 0,1 0,-1 0,1-1,0 1,-1 0,1-1,0 1,-1 0,1-1,1 1,5 3,-1 0,1 0,0-1,11 3,-2 0,-10-3,-1 0,1 0,-1 0,1 0,-1 1,0 0,0 0,0 1,6 7,-9-10,-1 1,1 0,-1-1,0 1,1 0,-1 0,0 0,-1 0,1 0,0 0,-1 0,0 0,1 0,-1 0,-1 0,1 0,0 0,-1 0,1 0,-1 0,-2 5,2-6,0 0,0 0,0-1,-1 1,1-1,0 1,-1-1,1 0,-1 1,0-1,1 0,-1 0,0 0,0 0,1 0,-1-1,0 1,0 0,0-1,0 1,-3-1,-48 4,42-4,-140-1,126 0</inkml:trace>
  <inkml:trace contextRef="#ctx0" brushRef="#br0" timeOffset="6">2235 950,'0'6,"0"5,0 4,-3 2,-1 7,-3 5,0 2,-2-6,1 0,1-1,3-3,1-1,1-4</inkml:trace>
  <inkml:trace contextRef="#ctx0" brushRef="#br0" timeOffset="7">2712 572,'0'-3,"1"1,-1-1,1 0,0 0,0 1,0-1,1 1,-1-1,1 1,-1-1,1 1,0 0,0 0,0 0,0 0,0 0,0 0,1 1,-1-1,1 1,-1-1,1 1,-1 0,6-2,-1 1,1-1,0 1,-1 0,1 0,0 1,0 0,15 0,-14 2,-1 0,0 0,0 1,0 0,0 0,12 6,-16-6,0 0,0 1,-1-1,1 1,-1 0,1 0,-1 0,0 1,0-1,0 1,-1-1,1 1,2 6,-2-4,0 0,0 0,-1 0,0 1,2 9,-4-13,1 0,-1 0,0 0,-1 0,1 1,-1-1,1 0,-1 0,0-1,0 1,0 0,0 0,-1 0,-1 3,-1 0,0 1,-1-1,0 1,0-1,0-1,0 1,-1-1,0 0,0 0,-1 0,1-1,-1 0,0-1,0 1,0-1,-10 2,16-4,0-1,-1 0,1 0,0 0,0 1,0-1,0 1,0-1,0 1,0-1,0 1,0 0,0-1,0 1,0 0,-1 1,2-1,0-1,0 1,-1-1,1 1,0-1,0 1,1-1,-1 1,0-1,0 1,0-1,0 0,0 1,0-1,1 1,-1-1,0 1,0-1,1 0,-1 1,0-1,1 0,-1 1,0-1,1 0,-1 1,1-1,6 5,-1-1,1 0,13 6,-11-6,2 3,0 0,-1 0,0 1,0 0,-1 1,0 0,0 1,-1 0,-1 0,0 0,0 1,-1 0,0 1,-1-1,0 1,-1 0,4 17,-8-24,0 0,0 0,0 0,0 0,-1 0,0 0,0 0,0 0,-1-1,1 1,-1 0,0-1,-1 1,1-1,-1 0,0 0,0 0,0 0,0 0,-5 3,2-2,1 0,-1-1,0 1,0-1,-1-1,1 1,-1-1,1 0,-1-1,0 1,0-1,0-1,-9 2,-84-4,55 0,30 0</inkml:trace>
  <inkml:trace contextRef="#ctx0" brushRef="#br0" timeOffset="8">3135 735,'1'-2,"0"0,1 0,-1 0,1 0,-1 0,1 0,0 1,-1-1,1 1,0-1,0 1,0 0,3-2,6-4,31-29,84-65,-126 100,1 0,0 1,-1-1,1 1,0-1,-1 1,1-1,0 1,0-1,-1 1,1 0,0 0,0-1,0 1,-1 0,1 0,0 0,0 0,0 0,0 0,0 0,-1 0,1 0,0 0,0 0,0 1,0-1,-1 0,1 1,0-1,0 0,-1 1,1-1,0 1,-1-1,1 1,0-1,-1 1,1 0,-1-1,1 1,-1 0,1 0,-1-1,1 1,-1 0,0 0,0-1,1 1,-1 1,2 6,0 0,-1 0,1 0,-1 10,-1-13,2 67,-14 133,8-174</inkml:trace>
  <inkml:trace contextRef="#ctx0" brushRef="#br0" timeOffset="9">3798 1,'1'13,"1"1,0-1,1 1,1-1,4 13,7 23,16 96,-7 2,10 284,-36-387,-3 0,-1-1,-2 0,-17 48,24-86,0 0,-1 0,0 0,0-1,0 1,-5 6,-2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13924 241,'0'-1,"0"0,-1 0,1 0,0 1,-1-1,1 0,-1 0,1 0,-1 0,0 0,1 1,-1-1,0 0,1 1,-1-1,0 0,0 1,0-1,0 0,-21-11,20 11,-19-6,0 0,-1 2,0-1,0 2,-44-1,39 2,-555-44,-228-22,344 24,-1 32,401 16,1 3,-68 17,-125 41,1 1,193-54,-111 4,-67-12,162-4,-157 3,-2 10,3 12,-260 59,303-38,-322 65,145-61,21-4,3 23,172-23,-205 47,-250 0,336-65,-204 25,11 42,439-83,2 3,-1 3,-67 35,93-40,-32 28,4-4,-6-4,39-25,2 1,0-1,1 2,0-1,-1 3,2-2,-16 19,27-27,-1-1,1 0,0 1,-1-1,1 1,0-1,-1 1,1-1,0 1,-1-1,1 1,0-1,0 1,0-1,0 1,-1-1,1 1,0-1,0 1,0-1,0 1,0-1,0 1,1 0,-1-1,0 2,0-2,0 1,0-1,1 1,-1-1,0 1,0-1,1 1,0 0,0 0,1 0,-1 0,1-1,0 1,-1 0,1-1,0 1,0-1,-1 0,1 1,2-1,6 0,0 0,1 0,11-3,102-14,-122 16,0 1,0 0,0 0,0-1,0 1,0-1,1 0,-1 1,0-1,0 0,0 0,-1 0,1-1,0 1,-1 0,1 0,-1-1,1 1,-1-1,2-3,2-6</inkml:trace>
  <inkml:trace contextRef="#ctx0" brushRef="#br0" timeOffset="1">4062 1064,'0'3,"0"4,0 3,0 5,0 2,0 1,0 1,0 0,0 0,0 0,0-1,0 1,-3-3,-1-2,0 0,1-2</inkml:trace>
  <inkml:trace contextRef="#ctx0" brushRef="#br0" timeOffset="2">4324 1034,'-2'-1,"0"-1,0 1,0-1,-2 0,2 1,0 0,-1 0,1 0,-1 0,0 1,1-1,-4 1,-37-2,28 1,-259-2,-41-2,266 2,-523-2,504 13,-65 17,69-12,-76 7,-73-14,130-7,1 4,-150 26,56 16,80-19,-150 20,-97-27,-4-21,139 0,83 0,-151 4,271-2,0 1,0 1,1-1,-1 0,1 1,0 0,-1 0,1 1,0-1,-7 6,0 1,1-1,-13 17,23-25,-1 1,1-1,-1 0,1 1,-1-1,1 1,0-1,-2 0,2 1,0-1,0 1,-1-1,1 1,0-1,0 1,0 0,-1-1,1 1,0-1,0 1,0-1,0 1,0-1,0 1,0 0,0-1,0 2,1-2,-1 1,0 0,1 0,1 0,-1-1,0 1,0 0,0-1,0 1,0-1,0 1,0-1,0 1,1-1,-1 0,2 1,46 1,-45-2,297-2,-270 2</inkml:trace>
  <inkml:trace contextRef="#ctx0" brushRef="#br0" timeOffset="3">0 1197,'0'-3,"3"-3,1-5,0-4,2-1,0-2,0-1,1 0,2-3,4 2,1 2,0 0,0 0,-3 4</inkml:trace>
  <inkml:trace contextRef="#ctx0" brushRef="#br0" timeOffset="4">3983 149,'0'6,"0"12,0 12,-3 6,-11 14,-5 10,-2 1,-3-3,3-8,3-11,4-8,6-6,4-1,2-2,2 2,0-1,1-3</inkml:trace>
  <inkml:trace contextRef="#ctx0" brushRef="#br0" timeOffset="5">3854 263,'151'166,"-129"-140,1 0,-3 2,31 51,-49-73,1-1,0 0,1 0,-1 0,1-1,9 10,-12-13,0-1,0 1,0-1,0 1,0-1,0 1,0-1,0 1,0-1,0 0,0 0,1 0,-1 1,0-1,0 0,0 0,2-1,-1 1,-1-1,1 0,-1 1,1-1,0 0,-1 0,1 0,-1 0,0 0,1-1,-1 1,0 0,0 0,2-4,11-15,-2-2,0-1,12-31,-5 12,61-161,-68 169</inkml:trace>
  <inkml:trace contextRef="#ctx0" brushRef="#br0" timeOffset="6">4468 351,'3'0,"1"3,2 1,5 3,2 0,2-1,2-1,2-2,-1-2,0 0,1-1,-1 0,0 0,1-1,-4 1</inkml:trace>
  <inkml:trace contextRef="#ctx0" brushRef="#br0" timeOffset="7">4899 329,'56'-57,"64"-48,-74 65,51-38,-96 77,0 0,1 0,-1 0,0-1,0 1,0 1,1-1,-1 0,0 1,0-1,1 1,-1 0,1-1,-1 1,0 0,1 0,-1 0,1 0,-1 0,0 0,1 0,2 1,-3 0,0 0,0 0,0 2,0-2,0 1,0-1,0 1,0-1,0 1,-1-1,1 1,-1 0,0-1,1 1,-1 0,0-1,0 1,0 0,0 3,0 33,-2 1,-1 1,-2-1,-18 69,0-6,17-41,6-46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09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1684 4301,'2'60,"15"77,-1-14,-14-46,-3-55,2 0,1 0,6 36,-5-43,-1 0,0 1,-1 17,-1-18</inkml:trace>
  <inkml:trace contextRef="#ctx0" brushRef="#br0" timeOffset="1">1 5489,'0'-2,"1"0,0 0,-1 0,1 1,0-1,0 0,0 0,0 0,0 1,0-1,1 1,-1-1,1 1,3-3,3-4,141-142,-123 128,1 0,1 2,1 1,38-19,-61 35,0 0,0 0,0 1,2 0,-2 0,8-1,-12 3,-1 0,0-1,1 1,-1 1,0-1,1 0,-1 0,0 0,2 1,-2-1,0 0,1 1,-1 0,0-1,0 1,0-1,0 1,0 0,1 0,-1 0,-1 0,1 0,0 0,0 0,0 0,0 0,-1 0,1 0,0 1,-1-1,1 0,-1 0,0 1,1-1,-1 0,0 3,3 14,-1 0,-1 1,0-1,-2 1,-2 20,-2-8,0-1,-14 38,-32 62,0-4,47-114</inkml:trace>
  <inkml:trace contextRef="#ctx0" brushRef="#br0" timeOffset="2">564 5560,'3'6,"1"5,0 3,-1 6,-1 2,0 4,-2 0,1 2,-1 1,-1 0,-2 1,-1-2,0-3,1-5</inkml:trace>
  <inkml:trace contextRef="#ctx0" brushRef="#br0" timeOffset="3">990 5171,'-28'30,"2"1,1 0,2 2,-26 47,46-72,0-1,0 1,0 0,1 0,0 0,1 0,0 0,-1 0,2 0,0 0,0 1,2-1,1 15,0-11,0-1,0 0,1 0,0 0,1 0,0-1,1 1,0-1,9 10,-10-14,1 0,0 0,0-1,0 0,0 0,2 0,-2-1,1 0,0 0,15 5,-17-8,-1 0,0 0,1 0,-1-1,2 1,-2-1,1 0,-1 0,1-1,-1 1,1-1,0 0,-1 0,1-1,-1 1,0-1,0 0,0 0,0 0,7-5,0-1,-1 0,1-1,-1 0,-1-1,1 0,-1 0,-1-1,-1 0,1 0,-1-1,-1 1,-1-2,8-24,-5 7,-3 0,-1 0,0-61,-4 87,0-7,0 0,-1 1,-3-18,2 23,1 1,-1 0,1 0,-1 0,0 0,-1 1,0-1,0 1,0-1,0 1,-6-6,3 4,1 0,-2 1,1 0,0 0,-1 0,1 1,-2 0,1 0,1 1,-1 0,-1 0,0 1,-11-2,2 2</inkml:trace>
  <inkml:trace contextRef="#ctx0" brushRef="#br0" timeOffset="5">1702 351,'0'3245,"1"-3227,1 0,4 20,-2-20,1 31,5 28,-6-51,1 29,-4-10,-3 246,1-277,0-1,-1 1,0-1,-1 0,0 0,-9 19,12-31,0-1,0 1,0-1,-1 1,1-1,0 1,0-1,-1 1,1-1,0 1,0-1,-1 0,1 1,0-1,-1 1,1-1,-1 0,1 0,-1 1,1-1,0 0,-1 0,1 1,-1-1,1 0,-1 0,1 0,-1 0,1 0,-1 1,1-1,-1 0,0 0,1-1,-1 1,1 0,-1 0,-6-6</inkml:trace>
  <inkml:trace contextRef="#ctx0" brushRef="#br0" timeOffset="6">2454 1878,'2'1,"-1"0,1 0,0 0,-1 0,0 0,0 1,0-1,0 0,0 1,0-1,0 0,-1 1,1-1,0 1,-1-1,1 1,0 2,4 14,-1-1,-1 1,0 0,1 21,-6 75,-2-73,-2-2,-1 2,-2-2,-27 69,-83 143,103-221,-39 51,42-64</inkml:trace>
  <inkml:trace contextRef="#ctx0" brushRef="#br0" timeOffset="7">2898 2601,'0'3,"-3"13,-11 16,-9 17,-12 18,-13 14,-11 7,-17 10,-8 6,-1 1,0-9,12-15,15-18,19-16,15-14,10-12</inkml:trace>
  <inkml:trace contextRef="#ctx0" brushRef="#br0" timeOffset="8">3221 3091,'0'3,"0"4,0 7,-3 16,-4 9,-7 9,-5 7,-8 2,-5-3,-1 2,-1-2,3-8,7-12</inkml:trace>
  <inkml:trace contextRef="#ctx0" brushRef="#br0" timeOffset="9">3574 3345,'0'6,"0"8,-3 11,-4 9,-4 6,-3 2,-9 5,-4 5,2-5,-1-7,6-7,3-6,3-8</inkml:trace>
  <inkml:trace contextRef="#ctx0" brushRef="#br0" timeOffset="10">4403 3451,'0'3,"0"4,0 4,-3 2,-5 3,-6 8,-2 2,-3 3,-5 0,-5-3,-7 1,0-5,-6 0,1 0,4-4,9-6</inkml:trace>
  <inkml:trace contextRef="#ctx0" brushRef="#br0" timeOffset="11">5156 3663,'0'3,"0"3,0 4,-7 4,-4 5,-4 0,-2-1,-5 2,1 2,-1 2,-1 1,-2-2,1-1,-1-4,3-3,1-4,4-3</inkml:trace>
  <inkml:trace contextRef="#ctx0" brushRef="#br0" timeOffset="12">6213 3874,'0'3,"-3"4,-4 0,-5 3,-5 5,-4 4,-1 0,1 2,-4 1,-2 2,-1-2,3-3,0-3,6-4</inkml:trace>
  <inkml:trace contextRef="#ctx0" brushRef="#br0" timeOffset="13">7191 4008,'-1'2,"0"0,0 0,0 0,0 0,0 0,-1-1,1 1,-1 0,1-1,-1 1,1-1,-1 1,-4 1,0 2,-11 10,-1-2,-34 21,34-25,2 2,-1 0,2 1,-20 18,28-23,1-1,0-1,-1 1,0-1,-1 0,1-1,-1 1,-15 5,3-3</inkml:trace>
  <inkml:trace contextRef="#ctx0" brushRef="#br0" timeOffset="14">7900 4068,'0'3,"0"4,-3 4,-1 2,0 3,-2 2,-3-3,-1-1,2-2</inkml:trace>
  <inkml:trace contextRef="#ctx0" brushRef="#br0" timeOffset="15">2556 474,'0'6,"0"11,4 15,0 13,5 6,2 6,0-4,-4-6,-2-6,-2-9,-1-5,-2-5,0-4,0-4</inkml:trace>
  <inkml:trace contextRef="#ctx0" brushRef="#br0" timeOffset="16">2523 523,'0'-3,"1"0,1 0,-2-1,1 1,0 0,1 0,-1 0,0 0,1 0,0 0,-1 0,1 0,1 1,-1-1,0 1,0-1,1 1,0 0,3-2,8-6,0 2,27-12,-24 11,-12 6,0 1,1 0,0 0,-1 1,0-1,0 1,1 1,0-1,0 0,-1 1,0 0,1 1,-1-1,2 1,-2 0,0 0,10 4,-2 0,-2 1,0 0,1 1,-1 0,-1 0,17 16,-10-6,-1 0,-1 1,-1 1,-1 1,0 0,18 39,-30-56,0-1,-1 1,1 0,-1-1,0 1,0 0,0-1,0 1,0 0,0-1,-1 1,1-1,-1 1,0 0,0-1,0 0,0 1,0-1,0 1,-1-1,1 0,-2 0,-2 4,-4 4,0-1,-1 0,-16 10,18-14,1 0,-1-1,1 0,-1-1,-1 0,1 0,-1 0,1-1,-2 0,-10 0,18-1,-1-1,0 0,1 1,0 0,0-1,0 1,-1 0,1 0,0 0,-2 2,-3 4</inkml:trace>
  <inkml:trace contextRef="#ctx0" brushRef="#br0" timeOffset="17">2683 960,'0'3,"0"3,3 5,5 6,2 3,4-1,0-2,-3-1,-1-2,0-1,-4 0,-2 1,-2-1</inkml:trace>
  <inkml:trace contextRef="#ctx0" brushRef="#br0" timeOffset="18">6311 135,'1'165,"-3"175,-3-310,5-30,0 1,0-1,0 0,0 0,0 0,0 0,0 0,0 0,0 0,0 0,0 0,0 0,0 1,0-1,0 0,0 0,0 0,0 0,0 0,0 0,-1 0,1 0,0 0,0 0,0 0,0 0,0 0,0 0,0 0,0 1,0-1,0 0,-1 0,1 0,0 0,0 0,0 0,0 0,0 0,0 0,0 0,0 0,0 0,0-1,-2 1,2 0,0 0,0 0,0 0,0 0,0 0,0 0,0 0,0 0,0 0,0 0,0 0,-1 0,1 0,0 0,0 0,0-1,-4-15,0-74,4 71</inkml:trace>
  <inkml:trace contextRef="#ctx0" brushRef="#br0" timeOffset="19">6263 96,'0'-2,"1"-1,-1 1,0 0,1 0,-1 0,1-1,0 1,-1 0,2 0,-1 0,0 0,0 0,1 0,-1 1,0-1,1 0,-1 1,1-1,0 1,-1-1,1 1,0 0,0-1,0 1,0 0,0 0,0 1,0-1,1 0,0 1,2-1,9-1,0 0,0 1,0 0,15 2,-10 0,29-1,98 15,-125-11,1 1,0 1,-1 1,0 0,0 2,32 19,-49-25,0 0,-1 1,2-1,-2 1,0-1,0 1,0 0,0 0,-1 1,0-1,0 1,0-1,0 1,-1-1,0 1,0 0,0 0,1-1,-2 1,1 0,-1 0,-1 0,-1 5,1 2,-1 0,0 0,-1 0,0-1,-1 1,0-1,-1 0,-9 15,2-9,-1 1,-1-2,0 0,-2 0,-23 18,28-24,-2-2,1 1,0-2,-2 0,1 0,-1-1,1 0,-28 6,23-10,1 0,-1-2,-35-2,41 2,-5-1</inkml:trace>
  <inkml:trace contextRef="#ctx0" brushRef="#br0" timeOffset="20">6299 526,'0'3,"0"4,0 4,0 3,-3 5,-3 2,-2 1,1 0,2-2,0 0,3-1,1-1,1-1,0 1,0-1,1 1,-1-4</inkml:trace>
  <inkml:trace contextRef="#ctx0" brushRef="#br0" timeOffset="21">7217 241,'19'1,"2"0,-1 2,-1 0,20 6,78 28,-69-20,174 47,-220-63,0-1,0 1,0-1,0 1,-1 0,1 0,0 0,1 0,-2 0,1 0,0 0,-1 1,1-1,1 3,-2-3,-1 1,0-1,0 0,0 0,0 0,0 0,0 0,-1 0,1 0,0 0,0 0,-1 0,1 0,-1 0,1 0,-1 0,1-1,-1 1,1 0,-1 0,0 0,1-1,-1 1,0 0,0-1,0 1,0 0,-1-1,2 1,-2 0,-15 10,-1-1,1 0,-2-2,1 1,-1-2,0-1,-1 0,0-1,1-1,-24 1,-29 1,-107-7,153 1,10-1</inkml:trace>
  <inkml:trace contextRef="#ctx0" brushRef="#br0" timeOffset="22">8837 1,'-5'128,"3"-109,-1 0,-1 0,-1 0,-12 28,6-24,0-1,-2 0,-1-1,-1 0,0-2,-2 1,0-2,-36 31,31-32,-1 0,-1-2,1 0,-2-1,-1-2,0-1,-49 15,56-22,0-1,-1-1,2 0,-2-2,1 0,-26-3,36 1,0 0,-2-1,2 0,0 0,0-1,0 0,0-1,1 1,0-2,-1 1,2-1,-1 0,1-1,0 0,0 0,1 0,0-1,1 0,0 0,-1 0,-6-17,11 19,0-1,0 1,0 0,1 0,0 0,0-1,1 1,0 0,0 0,0 0,1 0,-1 0,2 0,-1 0,0 0,1 1,7-10,-2 4,1 0,0 0,1 1,0 0,0 1,1 0,12-8,-17 14,0-1,-1 1,0 0,1 1,0-1,1 1,-2 0,1 0,0 1,1 0,7-1,-10 2,1 1,0-1,0 1,-1 0,2 0,-2 0,1 1,-1 0,1 0,-1 0,0 0,1 1,-1-1,0 1,3 3,99 92,-72-64,1-2,50 35,-49-46,-26-16,-1 0,2 1,13 13,36 36,80 66,-122-108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1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835 124,'-1'26,"-1"0,-1 0,-2 0,-1-1,0 0,-2 0,-1-1,-1 0,-1 0,-1-1,-21 31,-3-4,-3-2,-1-1,-76 67,85-85,-2-2,-63 41,84-60,-1-1,1-1,-2 0,1-1,0 0,-1-1,0 0,0-1,0-1,-1 0,1-1,-16-1,26-1,0 0,0-1,0 1,0-1,0 0,0 0,0 0,1 0,-1-1,1 1,0-1,-1 0,1 0,0 0,1-1,-1 1,-3-7,-5-7,1 0,-10-24,13 23,0-1,1 1,1-1,1 0,0 0,2-1,0 1,1-1,1 1,3-30,-2 45,0 0,-1 0,1 1,1-1,-1 0,0 1,1-1,0 1,0 0,0-1,0 1,0 0,1 0,-1 1,1-1,0 0,0 1,0-1,6-2,-7 4,1-1,0 1,0 0,0 0,0 1,1-1,-1 0,0 1,0 0,0 0,0 0,1 0,-1 1,0-1,0 1,0-1,0 1,0 0,0 1,0-1,0 0,0 1,4 3,17 13,23 23,16 13,234 133,-292-184,0 0,0 0,1 0,-1-1,0 0,1 0,-1-1,1 0,0 1,0-2,-1 1,1-1,0 0,6-1,14-4</inkml:trace>
  <inkml:trace contextRef="#ctx0" brushRef="#br0" timeOffset="1">1590 291,'-2'0,"0"1,0-1,0 1,0 0,0 0,0 0,1 0,-1 0,0 0,1 1,-1-1,-1 3,-4 1,-36 28,-2-3,-1-2,-1-1,-63 24,97-46,8-3,0-1,0 1,0 0,1 0,-1 1,0-1,1 1,0 0,0 0,0 0,0 1,-6 7,9-10,1 0,0 0,0 0,0 0,0 0,0 0,0 0,0 0,0 0,0 0,0 0,1 0,-1 0,0 0,1 0,-1 0,1 0,-1 0,1 0,-1 0,1-1,0 1,-1 0,1 0,0 0,0-1,0 1,0-1,-1 1,1-1,0 1,0-1,2 1,35 17,-36-17,39 11,1-1,0-2,50 4,-3-1,-79-9,1 0,-1 0,0 1,19 10,-1-1,-16-8</inkml:trace>
  <inkml:trace contextRef="#ctx0" brushRef="#br0" timeOffset="2">2490 143,'-22'309,"11"-201,10-83,-1 1,1-46,2-69,-1 70</inkml:trace>
  <inkml:trace contextRef="#ctx0" brushRef="#br0" timeOffset="3">2454 93,'0'-2,"0"-1,0 0,1 1,-1-1,1 0,0 1,-1-1,1 1,0-1,1 1,-1 0,0-1,1 1,-1 0,1 0,0 0,2-3,0 2,0-1,1 1,-1 0,1 1,0-1,0 1,0 0,6-2,6-1,1 1,0 1,0 1,20 0,-10 0,-14 1,0 0,0 1,-1 0,1 1,0 1,13 3,-20-3,-1 1,1 0,-1 0,0 0,0 1,-1 0,1 0,-1 0,0 1,0 0,0 0,0 0,-1 1,5 7,-2-1,-1 2,0-1,-1 0,0 1,5 24,-9-32,1-1,-1-1,0 1,-1 0,1 0,-1 0,0 9,-1-12,1 0,-1 0,0 0,1 0,-1 0,0 0,0-1,-1 1,1 0,0-1,0 1,-1-1,1 1,-1-1,1 0,-1 0,0 1,0-1,1 0,-4 1,2-1,-8 6,0-2,-1 1,1-2,-1 1,0-1,0-1,-23 3,-29 3,44-6,-36 2,41-5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1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109 172,'0'0,"0"0,0-1,0 1,0 0,0 0,0 0,0-1,0 1,0 0,0 0,0-1,0 1,0 0,0 0,0 0,0-1,0 1,0 0,0 0,1 0,-1 0,0-1,0 1,0 0,0 0,0 0,1 0,-1 0,0-1,0 1,0 0,0 0,1 0,-1 0,0 0,0 0,0 0,1 0,-1 0,0 0,0 0,0 0,1 0,-1 0,0 0,0 0,1 0,-1 0,0 0,1 0,-1 1,0-1,2 0,-2 0,0 1,1-1,-1 0,0 1,0-1,1 0,-1 1,0-1,0 1,0-1,0 0,0 1,0-1,1 1,-1-1,0 0,0 1,0-1,0 1,0-1,0 0,-1 1,1-1,0 1,-2 5,-1-1,0 0,1 0,-1 0,0-1,-8 8,-6 12,7-7,1 0,1 0,0 1,2 0,0-1,1 2,-3 28,1-18,5-21,0 1,0-1,1 1,0 15,1-22,0 0,0-1,1 1,-1 0,0-1,1 1,-1 0,1-1,0 1,-1-1,1 1,0-1,0 1,0-1,1 0,-1 1,1-1,-1 0,0 0,0 0,1 0,-1 0,1 0,-1 0,1-1,-1 1,2 0,-2-1,1 1,2-1,8 3,-1 0,1-2,1 1,-2-1,1-1,1 0,-2-1,1 0,1 0,-2-1,1-1,0 0,12-5,133-55,-155 62,1 0,0-1,-1 0,0 1,2-1,-2 0,0 0,0 0,0-1,0 1,-1 0,1-1,-1 1,2-1,-2 1,0-1,0 0,0 1,0-1,0 0,-1 0,1-4,0-8,0 1,-1 0,-3-20,1 14,0-3,-9-41,9 57,0 0,0 1,-1-2,-1 1,1 1,0-1,-1 0,0 1,-8-9,9 12,-1 0,-1 0,2 0,-1 1,0 0,-1-1,1 1,-1 1,1-1,-1 0,0 1,1 0,-1 0,0 1,0-1,-10 1,6 0,-1 1,0 0,0 1,0 0,1 0,-1 1,-10 5,-31 12,31-13</inkml:trace>
  <inkml:trace contextRef="#ctx0" brushRef="#br0" timeOffset="1">520 371,'0'3,"-3"4,-1 3,0 4,-2-1,-1 0,1 2,-1 0,1 1,-1 0,4 2,3-4,3-3</inkml:trace>
  <inkml:trace contextRef="#ctx0" brushRef="#br0" timeOffset="2">969 165,'-1'3,"0"0,1 0,-1 0,-1 0,1 0,0 0,-1 0,-4 5,-5 13,7-6,-1 0,2 0,1 0,1 1,0-1,1 1,0 0,1-2,5 22,-5-34,0 1,0-1,1 1,0-1,-1 1,1-1,0 0,0 0,0 0,0 0,0 0,1 0,-1 0,0-1,1 1,-1-1,1 0,-1 0,2 0,-1 0,-1 0,1 0,0-1,0 1,-1-1,2 0,-1 1,0-2,0 1,-1 0,1 0,5-2,-4 2,0-1,1 0,-2 0,1 0,0 0,1 0,-2-1,1 0,-1 0,1 0,0 0,-1 0,0-1,0 1,0-1,0 0,0 0,0 0,-1 0,0 0,0-1,0 1,2-5,5-40,-8 37,0 0,1 0,7-18,2 1,-3 11,8-27,-15 40,0 0,0-1,0 1,-1 0,0-1,0 1,0 0,0-1,-1 1,1 0,-1-1,-2-4,1 8,2-1,-1 1,0-1,0 1,-1 0,1-1,0 1,0 0,0 0,-1 0,1 0,-1 0,1 0,-2 0,2 0,-1 1,-2-2,-38-6,6 0,9-5,18 5</inkml:trace>
  <inkml:trace contextRef="#ctx0" brushRef="#br0" timeOffset="3">1432 0,'-1'4,"0"0,1-1,-1 1,-1 0,1-1,0 1,-1-1,0 1,-5 5,5-5,-1 0,1 1,0-1,0 1,-3 5,5-9,-1 1,1 0,0-1,0 1,0 0,0-1,0 1,1 0,-1-1,0 1,1-1,-1 1,1-1,0 1,-1-1,2 1,-1-1,0 1,0-1,2 2,1 1,0 0,2 0,-1-1,0 1,1-1,-1 0,11 3,23 15,-37-19,0 0,0 0,0 0,0 0,1 0,-2 0,1 1,-1-1,1 0,-1 1,0 0,0-1,1 6,0 0,-2-1,1 2,-1-1,-1 1,1-1,-1 0,-1 0,1 1,-2-1,1 0,-1 0,-1-1,0 1,1-1,-2 1,1-1,-11 11,13-16,-1-1,2 1,-1 0,0-1,0 1,0-1,0 0,0 0,0 0,-1 0,0 0,1 0,0 0,-1-1,1 1,0-1,-2 0,2 1,0-1,-1 0,1-1,-1 1,1 0,0-1,-2 1,2-1,0 0,-1 0,1 0,-3-1,-7-7</inkml:trace>
  <inkml:trace contextRef="#ctx0" brushRef="#br0" timeOffset="4">1487 14,'3'0,"5"0,3 0,4 3,5 4,6 4,5 3,4-1,-3-1,-1-1,-4-2,-3-4,-6-2</inkml:trace>
  <inkml:trace contextRef="#ctx0" brushRef="#br0" timeOffset="5">2303 74,'0'1,"0"1,-1 0,1 0,-1-1,1 1,-1 0,0-1,0 1,0-1,0 1,-1-1,1 1,0-1,0 0,-1 0,1 1,-2 0,-28 17,-20 5,-72 24,64-27,-69 19,128-40,0 0,0 0,-1 0,1 0,0 0,0 0,0 0,0 0,-1 0,1 0,0 0,0 0,0 0,-1 0,1 1,0-1,0 0,0 0,0 0,0 0,-1 0,1 0,0 0,0 1,0-1,0 0,0 0,0 0,0 0,-1 1,1-1,0 0,0 0,0 0,0 0,0 1,0-1,0 0,0 0,0 0,0 1,0-1,0 0,0 0,0 0,0 0,0 1,0-1,1 0,10 4,22-1,227-3,-243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2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269 1,'-21'22,"1"2,1 0,0 1,3 1,0 0,-21 48,-63 149,96-211,-1 1,-4 23,8-31,0 0,1 1,-1-1,1 0,0 0,1 0,-1 0,1 0,0 0,2 7,-2-10,0-1,0 1,0-1,0 0,0 1,0-1,1 0,-1 0,0 0,1 0,-1 0,1 0,-1 0,1 0,0 0,-1-1,1 1,0-1,-1 1,1-1,2 1,43 0,-36-1,42-2,1-2,-1-2,-1-2,77-24,-125 31,0 0,0 0,0-1,0 0,0 0,-1 0,1 0,-1-1,1 1,-1-1,0 0,0 0,0 0,4-5,-5 4,0 0,-1-1,1 1,-1-1,1 1,-1-1,-1 1,1-1,-1 0,1 0,-1 1,-1-9,-9-143,10 152,-1 0,0 0,0 0,0 0,0 0,-1 1,1-1,-1 0,0 1,0-1,-1 1,1 0,-1-1,0 1,1 0,-7-4,-5-3,0 0,-29-14,31 19,1-2,0 1,0-1,-15-13,-11-15,29 26</inkml:trace>
  <inkml:trace contextRef="#ctx0" brushRef="#br0" timeOffset="1">717 382,'3'3,"1"4,-1 4,1 6,-2 3,-1 1,0 4,-1 0,0 1,0 4,0 1,-3 0,-2-1,-1 2,-4-5,0-4,2-6</inkml:trace>
  <inkml:trace contextRef="#ctx0" brushRef="#br0" timeOffset="2">1006 79,'-1'50,"-11"83,11-129,0-1,1 1,-1 0,1-1,0 1,0 0,1-1,-1 1,1 0,1 5,-1-8,0 1,0 0,1 0,-1 0,1-1,-1 1,1-1,0 1,-1-1,1 0,0 0,0 0,0 0,0 0,0 0,0 0,0 0,0-1,3 1,18 4,0 0,1-2,29 1,76-6,-50 0,-63 2</inkml:trace>
  <inkml:trace contextRef="#ctx0" brushRef="#br0" timeOffset="3">1314 139,'0'3,"-3"7,-1 5,-3 6,-3 5,0 5,-1 3,1 1,2 2,3-4,2-3,1-7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150 1,'-1'16,"-1"-1,-1 0,0 1,-1-1,-9 22,1 0,2-4,-50 179,49-162,2 0,-3 65,11-55,1-30,-5 36,2-47</inkml:trace>
  <inkml:trace contextRef="#ctx0" brushRef="#br0" timeOffset="1">344 107,'1'0,"0"0,-1 0,1 1,0-1,-1 0,1 1,-1-1,1 0,0 1,-1-1,1 1,-1-1,1 0,-1 1,0 0,1-1,-1 1,1-1,-1 1,0-1,0 1,1 0,-1-1,0 1,0 0,0-1,1 2,2 22,-3-20,4 225,-6-128,0-64,-2-1,-1 1,-12 40,-2 10,15-62</inkml:trace>
  <inkml:trace contextRef="#ctx0" brushRef="#br0" timeOffset="2">136 445,'3'0,"7"0,8 0,7 0,1 0,4 0,-1 0,-3 0,-5 0</inkml:trace>
  <inkml:trace contextRef="#ctx0" brushRef="#br0" timeOffset="3">626 551,'-10'0,"0"0,0 1,0 0,0 0,-17 6,22-5,1-1,0 2,0-1,-1 0,2 1,-1 0,0 0,0 0,1 0,0 0,0 1,0 0,0-1,-4 8,4-6,-3 6,0-1,0 1,1 0,-5 16,9-24,0 0,1 0,-1 0,1 0,0 0,0 1,0-1,0 0,0 0,1 0,-1 0,1 0,0 0,0 0,0 0,1 0,-1 0,0 0,1 0,0-1,3 5,1-1,46 48,-46-49,-1-1,1 1,0-2,0 1,0-1,0 1,1-2,10 4,-13-5,22 6,31 3,-50-9,0 0,0-1,0 0,0 0,0-1,-1 1,1-2,0 1,0-1,6-2,-11 2,0 1,1-1,-1 0,0 0,0 0,-1 0,1 0,0-1,-1 1,1 0,-1-1,0 1,0-1,0 1,0-1,1-5,8-47,-9 51,2-17,-2 0,0-31,-1 47,-1-1,1 1,-1 0,0-1,0 1,-1 0,0 0,0 0,0 0,0 0,-1 0,0 1,0-1,0 1,-4-5,4 7,0 0,-1 0,1 0,-1 0,0 1,1-1,-1 1,0 0,0 0,0 0,0 1,0 0,0-1,-5 2,4-1,-1 0,1-1,0 1,0-1,0 0,1-1,-1 1,-9-4,-33-17,37 16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1 572,'0'5,"1"-6,2-5,10-23,-2 0,-1-1,-1-1,-2 1,4-35,10-36,-13 71,3 0,0 0,23-41,-34 70,0 0,1 0,-1 0,1 0,-1 0,1 0,0 0,-1 0,1 1,0-1,0 0,0 0,-1 0,1 1,0-1,0 0,0 1,0-1,2 0,-2 1,0 0,-1 1,1-1,0 0,0 0,-1 0,1 1,0-1,-1 0,1 1,-1-1,1 1,0-1,-1 1,1-1,-1 1,1-1,-1 1,0-1,1 1,-1 0,1 0,3 7,0 1,-1-1,5 16,-7-18,31 131,4 13,-29-126,1 0,2 0,24 43,-32-64,0 0,0 0,0 0,0 0,0 0,1 0,0-1,3 4,-5-6,-1 0,1 0,-1 1,1-1,-1 0,1 0,-1 0,1 0,-1 0,1 0,-1 0,1 0,-1 0,1 0,-1 0,1 0,-1 0,1 0,-1 0,1 0,-1 0,1-1,0 1,0-1,0 0,1 0,-1-1,0 1,0 0,-1 0,1-1,0 1,0 0,-1-1,1 1,0-2,11-34,-2 0,-1-1,3-38,-6 34,2 1,18-57,-11 49,-13 35</inkml:trace>
  <inkml:trace contextRef="#ctx0" brushRef="#br0" timeOffset="1">1200 50,'0'6,"-1"1,0-1,0 1,0-1,-1 0,0 1,0-1,-4 6,-28 48,17-34,-53 91,-108 135,161-234,13-15,1 0,0 0,0 1,0-1,0 1,-3 6,6-9,1-1,-1 1,0-1,1 0,-1 1,1-1,-1 0,1 1,-1-1,0 0,1 0,-1 1,1-1,0 0,-1 0,1 0,-1 0,1 1,-1-1,1 0,-1 0,1 0,-1 0,1 0,-1-1,1 1,1 0,18-1,-19 1,342-6,-331 6</inkml:trace>
  <inkml:trace contextRef="#ctx0" brushRef="#br0" timeOffset="2">1133 285,'3'0,"4"0,4 0,3 0,5 0,3 0,2 0,2 0,-2 0,-1 0,-5 0</inkml:trace>
  <inkml:trace contextRef="#ctx0" brushRef="#br0" timeOffset="3">1207 1,'3'0,"4"0,4 0,3 0,-1 3,3 1,2-1,-2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1108 223,'77'-1,"58"0,-109 3,-1 0,1 2,27 7,-50-11,-1 1,1 0,0 0,0 0,0 0,-1 1,1-1,-1 1,1-1,-1 1,3 3,-4-4,0 1,0-1,0 1,0-1,0 1,-1 0,1-1,-1 1,1 0,-1 0,0-1,1 1,-1 0,0 0,0 0,0-1,-1 1,1 0,0 0,-1 1,-2 7,0-1,0 0,-1 0,0 0,-1-1,0 0,0 1,-1-2,0 1,0-1,-1 0,1 0,-17 11,-7 4,-1-2,-45 22,33-19,-6 3,17-10,-39 27,70-43,1 0,0 0,0 0,-1 1,1-1,0 0,0 0,0 0,-1 0,1 0,0 1,0-1,0 0,-1 0,1 0,0 1,0-1,0 0,0 0,0 1,0-1,-1 0,1 0,0 1,0-1,0 0,0 0,0 1,0-1,0 0,0 0,0 1,0-1,0 0,0 0,0 1,1-1,-1 1,11 4,20-2,-30-3,163 1,-98-2,-42 1</inkml:trace>
  <inkml:trace contextRef="#ctx0" brushRef="#br0" timeOffset="1">1690 730,'0'-11,"0"-9,0 1,5-26,-4 38,1 1,0-1,0 0,0 1,1-1,0 1,1 0,-1 0,1 0,5-6,13-20,0-1,-3 0,0-2,19-53,-16 39,-9 18,-3 6,1 1,1 0,18-26,-29 50,-1-1,1 0,-1 1,1-1,-1 1,1-1,-1 0,1 1,0 0,-1-1,1 1,0-1,-1 1,1 0,0-1,1 1,-2 0,1 0,-1 0,0 0,1 0,-1 0,1 0,-1 0,0 0,1 1,-1-1,0 0,1 0,-1 0,0 1,1-1,-1 0,0 1,0-1,1 0,-1 0,0 1,0-1,1 1,7 26,-8-26,8 64,-2 1,-3 67,2 34,1-95,-4-50</inkml:trace>
  <inkml:trace contextRef="#ctx0" brushRef="#br0" timeOffset="2">1827 461,'-3'0,"5"0,5 0,8 0,7 0,5 0,5 0,3 0,1 0,0 0,-5 0</inkml:trace>
  <inkml:trace contextRef="#ctx0" brushRef="#br0" timeOffset="3">2332 106,'0'3,"0"4,0 7,0 4,0 11,0 3,0 3,-3-2,-4 2,-1-1,1-4,2-4,2-6</inkml:trace>
  <inkml:trace contextRef="#ctx0" brushRef="#br0" timeOffset="4">2403 29,'3'2,"0"0,0-1,0 1,0 0,0-1,1 0,-1 0,1 0,-1 0,1-1,5 1,11 3,28 10,0-2,1-2,95 7,-141-18,0 1,0 1,0-1,0 0,0 1,0-1,0 1,0 0,0 0,4 2,-6-2,1 0,-1 1,0-1,0 0,1 1,-1-1,0 0,0 1,0-1,-1 1,1 0,0-1,-1 1,1 0,0-1,-1 1,0 0,0 0,1 3,0 12,-1 1,-1-1,-1 0,0 1,-1-1,-9 30,-45 100,38-101,9-23</inkml:trace>
  <inkml:trace contextRef="#ctx0" brushRef="#br0" timeOffset="5">3150 57,'0'9,"0"6,0 3,0 5,0 5,-3 3,-7 11,-5 5,0-3,3-5,4-10</inkml:trace>
  <inkml:trace contextRef="#ctx0" brushRef="#br0" timeOffset="6">3616 42,'0'13,"-1"0,-1-1,0 1,0-1,-2 0,-7 20,-38 68,3-7,41-80,0 0,1-1,1 1,0 1,-2 22,5-34,0 1,0-1,0 1,0-1,1 1,-1-1,1 1,-1-1,1 0,0 1,0-1,0 0,0 0,0 1,0-1,1 0,-1 0,1 0,0-1,-1 1,1 0,0-1,0 1,0-1,0 1,0-1,0 0,1 0,-1 0,0 0,1 0,-1-1,0 1,5 0,7 1,1-1,-1-1,0 0,25-4,-32 4,-5 0,36-7,-36 7,-1-1,1 1,0-1,0 0,-1 1,1-1,-1 0,1 0,-1 0,1 0,-1 0,0 0,1-1,-1 1,0 0,0-1,0 1,1-3,1-6</inkml:trace>
  <inkml:trace contextRef="#ctx0" brushRef="#br0" timeOffset="7">3567 130,'3'0,"4"0,7 0,6 0,4 0,0 0,3 0,-1 0,-2 0,-5 0</inkml:trace>
  <inkml:trace contextRef="#ctx0" brushRef="#br0" timeOffset="8">3608 1,'3'0,"7"0,5 0,3 0,1 0,1 0,2 0,1 0,0 0,-2 0,-1 0,-4 0</inkml:trace>
  <inkml:trace contextRef="#ctx0" brushRef="#br0" timeOffset="9">4018 29,'6'0,"11"0,6 0,7 3,3 1,1-1,3 0,3 0,-1-2,-4 0,-4-1,-8 0</inkml:trace>
  <inkml:trace contextRef="#ctx0" brushRef="#br0" timeOffset="10">4322 14,'-1'0,"1"1,-1-1,0 0,0 1,1-1,-1 1,0-1,1 1,-1-1,0 1,1-1,-1 1,1 0,-1-1,1 1,-1 0,1-1,-1 1,1 0,0 0,-1-1,1 1,0 0,0 0,0 0,0 0,0 1,-4 27,4-26,-11 94,-30 126,26-153,1 5,9-48</inkml:trace>
  <inkml:trace contextRef="#ctx0" brushRef="#br0" timeOffset="11">141 1270,'-1'0,"0"0,0 1,0-1,0 0,0 1,0-1,0 1,0-1,0 1,0-1,0 1,0 0,1-1,-1 1,0 0,0 0,0-1,1 1,-1 0,0 1,-12 23,10-17,-14 31,2 0,2 1,-10 53,-13 125,35-210,1-7,0-3,1-8,2-17,5-7</inkml:trace>
  <inkml:trace contextRef="#ctx0" brushRef="#br0" timeOffset="12">305 992,'28'-11,"4"7,1 0,0 3,35 2,-22 0,-39-2,-1 2,1-1,0 1,0 0,0 0,-1 1,1 0,-1 0,13 6,-16-6,0 0,-1 0,1 0,-1 0,0 0,0 1,0-1,0 1,0 0,0-1,-1 1,1 0,-1 0,0 0,1 0,-2 0,1 0,0 1,-1-1,1 0,-1 0,0 1,0 4,-3 16,0 0,-2 0,0-1,-2 0,-1 0,0 0,-2-1,-13 24,20-42,1-1,-1 1,0 0,0-1,0 0,0 1,-1-1,0 0,1-1,-1 1,0-1,0 0,0 0,-1 0,1 0,0-1,-1 0,1 1,-8-1,-8 2,-1-2,1-1,-25-2,1 0,27 2,2 0</inkml:trace>
  <inkml:trace contextRef="#ctx0" brushRef="#br0" timeOffset="13">893 1270,'0'3,"-3"13,-7 10,-4 6,-7 13,-2 5,-3 3,-1-5,5-5,3-3,2-5,3-9</inkml:trace>
  <inkml:trace contextRef="#ctx0" brushRef="#br0" timeOffset="14">847 1242,'67'-1,"75"3,-137-2,1 1,-1 0,0 1,1-1,-1 1,0 0,0 1,0-1,0 1,0 0,-1 0,1 0,-1 1,0 0,0 0,0 0,-1 0,1 0,-1 1,0 0,0-1,-1 1,1 0,-1 0,0 1,-1-1,1 0,-1 1,0-1,0 1,-1-1,1 1,-1-1,0 1,-1-1,0 1,0-1,-2 10,1-10,-1-1,1 0,0 1,-1-1,0 0,0 0,0-1,-1 1,1-1,-1 0,0 0,0 0,0 0,0 0,0-1,0 0,-1 0,1 0,-1-1,-6 2,-7 2,-1-1,0-1,-34 1,27-4,20-1,0 1,0 0,0 0,1 0,-1 0,0 1,0 0,1 0,-1 1,1 0,-6 2,10-3,0-1,0 1,1-1,-1 1,0 0,1-1,-1 1,0 0,1 0,-1-1,1 1,-1 0,1 0,0 0,-1 0,1 0,0 0,0-1,-1 1,1 0,0 0,0 0,0 0,0 0,0 0,0 0,1 0,-1 0,0 0,0 0,1 0,-1-1,0 1,1 0,-1 0,1 0,-1-1,1 1,0 0,-1 0,2 0,3 5,1 1,0-2,12 10,-8-7,5 6,-10-8,1 0,0-1,0 0,1 0,-1 0,1-1,0 1,0-2,1 1,-1-1,1 0,7 1,-1-2</inkml:trace>
  <inkml:trace contextRef="#ctx0" brushRef="#br0" timeOffset="15">1493 1288,'0'3,"0"7,0 7,0 11,0 12,0 8,-3 3,-4-3,-3 1,-1-6,2-7,2-6,3-6,-1-6,-1-7</inkml:trace>
  <inkml:trace contextRef="#ctx0" brushRef="#br0" timeOffset="16">1895 1270,'0'6,"0"8,-3 8,-7 11,-8 11,-3 5,-2 1,0-2,5-6,4-11</inkml:trace>
  <inkml:trace contextRef="#ctx0" brushRef="#br0" timeOffset="17">1831 1348,'303'0,"-302"0,1 0,-1 0,1 0,-1 0,1 0,-1 0,1 0,-1 1,1-1,-1 0,0 1,1 0,-1-1,0 1,1 0,-1-1,0 1,0 0,0 0,1 0,-1 0,0 0,0 0,-1 1,1-1,0 0,0 0,0 1,-1-1,1 0,-1 1,1-1,-1 1,0-1,1 1,-1-1,0 0,0 1,0-1,0 1,0-1,-1 3,0 7,-2 0,1 0,-1-1,-8 18,8-18,-14 33,-2 0,-29 49,30-63</inkml:trace>
  <inkml:trace contextRef="#ctx0" brushRef="#br0" timeOffset="18">2287 1775,'0'1,"0"0,0 0,0-1,0 1,0 0,0 0,0 0,1-1,-1 1,0 0,0 0,1-1,-1 1,0 0,1 0,-1-1,0 1,1 0,-1-1,1 1,-1-1,1 1,0-1,-1 1,1-1,0 1,-1-1,1 1,0-1,-1 0,1 0,0 1,0-1,-1 0,1 0,0 0,0 1,0-1,-1 0,1 0,1-1,1 1,-1 0,0-1,0 1,0-1,0 0,0 0,0 0,0 0,0 0,0 0,0 0,0-1,-1 1,3-3,17-23,-2-2,0-1,22-49,-13 24,66-143,-93 196,-1 1,1 0,-1-1,1 1,-1 0,1 0,0-1,0 1,0 0,0 0,0 0,0 0,0 0,0 0,0 1,0-1,0 0,1 0,1 0,-2 1,0 0,0 1,-1-1,1 0,0 0,-1 1,1-1,0 1,0-1,-1 1,1-1,-1 1,1-1,-1 1,1-1,0 1,-1 0,0-1,1 1,-1 0,1 0,-1-1,1 3,2 7,1 1,-1 0,1 15,-3-23,56 279,-55-268,1-1,-2 0,0 28,-1-41,0 0,0 1,0-1,0 0,0 1,0-1,0 0,0 1,0-1,0 0,0 1,0-1,0 0,0 1,0-1,0 0,0 1,0-1,-1 0,1 1,0-1,0 0,0 0,-1 1,1-1,0 0,0 0,-1 1,1-1,0 0,0 0,-1 0,1 1,0-1,-1 0,1 0,0 0,-1 0,1 0,0 0,-1 0,1 0,0 0,-1 0,1 0,0 0,-1 0,1 0,0 0,-1 0,1 0,0 0,-1 0,1 0,0-1,-1 1,1 0,0 0,0 0,-1-1,-11-7</inkml:trace>
  <inkml:trace contextRef="#ctx0" brushRef="#br0" timeOffset="19">2435 1605,'3'0,"4"0,4 0,2 0,4 0,0 0,1 0,0 0,1 0,-1 0,0 0,0 0,0 0,0-3,-4-1</inkml:trace>
  <inkml:trace contextRef="#ctx0" brushRef="#br0" timeOffset="20">2981 1440,'0'3,"0"7,0 17,0 9,0 9,0 4,0-2,-3-4,-1-5,1-7,0-6,1-6</inkml:trace>
  <inkml:trace contextRef="#ctx0" brushRef="#br0" timeOffset="21">2977 1482,'6'1,"0"0,0 0,-1 1,1 0,-1 0,1 0,-1 1,0 0,0 0,8 6,16 9,-18-13,1-1,-1 0,1 0,-1-2,1 1,18 0,75-1,-67-3,51-1,87 3,-173-1,-1 0,1 0,-1 0,1 1,-1-1,0 1,1 0,-1 0,0 0,1 0,-1 0,0 0,0 0,0 1,0-1,0 1,0 0,-1-1,1 1,2 4,-2-4,-1 1,0 0,-1 0,1 0,0 0,-1 0,1 0,-1 0,0 0,0 0,0 0,-1 0,1 0,-2 5,-2 6,-1 0,0-1,-1 1,-1-1,-12 20,8-17</inkml:trace>
  <inkml:trace contextRef="#ctx0" brushRef="#br0" timeOffset="22">3835 1499,'0'19,"-4"166,1-149,-2-1,-1 1,-12 37,15-64,1-4,0 1,1-1,0 1,-1-1,1 12,1-16,0 1,0-1,0 0,1 0,-1 0,0 0,1 0,-1 1,1-1,-1 0,1 0,0 0,-1 0,1 0,0-1,0 1,-1 0,1 0,0 0,0-1,0 1,0 0,0-1,0 1,0-1,0 1,0-1,0 0,1 1,-1-1,0 0,0 0,0 0,3 0,17 2,38-4,-26 0,-11 1</inkml:trace>
  <inkml:trace contextRef="#ctx0" brushRef="#br0" timeOffset="23">3930 1693,'3'0,"4"0,4 0,3 0,2 0,1 0,1 0,-2 0</inkml:trace>
  <inkml:trace contextRef="#ctx0" brushRef="#br0" timeOffset="24">4022 1560,'3'0,"4"0,4 0,3 0,2 0,4 0,2 0,-2 0</inkml:trace>
  <inkml:trace contextRef="#ctx0" brushRef="#br0" timeOffset="25">1454 914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268 1,'-2'22,"-1"0,0 0,-3-1,0 1,-1 0,-16 32,10-23,-16 58,-15 132,26-128,-54 158,47-176,12-21,10-35</inkml:trace>
  <inkml:trace contextRef="#ctx0" brushRef="#br0" timeOffset="1">455 247,'0'59,"-7"156,4-185,-1 0,-3 0,1-1,-4 0,-13 32,0-5,14-34</inkml:trace>
  <inkml:trace contextRef="#ctx0" brushRef="#br0" timeOffset="2">116 569,'4'3,"13"5,11 3,6 3,2 0,-3-1,-4-1,-3-3,-5-1,-5-1,-4-2</inkml:trace>
  <inkml:trace contextRef="#ctx0" brushRef="#br0" timeOffset="3">781 813,'-33'-1,"19"0,-1 1,0 0,0 1,-19 3,31-3,0 0,0 0,-1 0,0 0,1 0,0 1,0-1,0 1,0 0,0 0,1 1,-2-1,2 1,-1-1,1 1,0-1,-1 1,1 0,1 0,-1 0,1 0,-2 4,-3 7,2 0,1 0,0 0,-3 26,6-35,0-1,0 1,0 1,1-1,-1-1,1 1,0-1,2 1,-2-1,1 1,0 0,0-1,0 0,0 0,2 0,-1 0,0 0,4 3,-4-4,0-1,1 0,0 0,-1 0,1-1,-1 1,2-1,-2 0,1 0,1 0,-2-1,9 1,53-2,-38-1,-2 2,1 0,-1-2,25-3,-42 4,0-1,-1 0,1-1,-1 0,0 1,0-1,0-1,-1 1,1-1,-1 0,7-6,-10 5,-1 2,2-1,-1 0,-1 0,0 0,0-1,0 1,0 0,-1-2,1 2,-1-1,-1 0,1 1,-1-1,0-5,0-5,0 1,-1-1,-7-26,6 33,-1-1,0 1,-1-2,1 2,-1 0,-1 1,0-2,0 2,-12-13,0 5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313 80,'0'15,"-2"-1,1 0,-2 0,0 0,-1 0,0 0,-1 0,-1-1,0 0,-14 22,-6 4,-62 67,87-105,-93 115,87-107,-1 1,1 0,1 0,-10 20,10-19</inkml:trace>
  <inkml:trace contextRef="#ctx0" brushRef="#br0" timeOffset="1">253 24,'1'5,"-1"1,1 0,1-1,2 9,4 18,-7-24,0 0,0 0,1 0,0 0,0 0,1-1,0 1,0-1,1 0,0 1,1-2,-1 1,1 0,0-1,11 10,-7-7,1 0,0-1,0 0,1 0,18 10,-25-16,0 0,0-1,1 0,-1 1,0-1,1-1,-1 1,0-1,1 1,-1-1,1 0,-1-1,0 1,1-1,-1 0,0 0,0 0,1-1,-1 1,5-4,3-2,-1-1,0 1,-1-2,0 0,0 0,-1-1,15-19,1-7,20-41,-17 9,-28 67,1 1,-1 0,0-1,0 1,0-1,0 1,1 0,-1-1,0 1,0 0,1 0,-1-1,0 1,0 0,1 0,-1-1,0 1,1 0,-1 0,0 0,1-1,-1 1,0 0,1 0,-1 0,1 0,-1 0,0 0,1 0,-1 0,1 0,-1 0,0 0,1 0,-1 0,0 0,1 0,-1 0,1 1,-1-1,0 0,1 0,-1 0,0 0,1 1,-1-1,0 0,0 1,1-1,-1 0,0 0,0 1,1-1,-1 0,0 1,0-1,0 0,0 1,1-1,-1 1,0-1,0 0,0 1,9 28,-9-29,9 49,5 88,-6-71,0 15,-8-63</inkml:trace>
  <inkml:trace contextRef="#ctx0" brushRef="#br0" timeOffset="2">1093 260,'0'6,"0"8,0 7,0 4,0 3,0 0,-3-2,-1-2,-2-2,-1-2,1-2,-2 0,1-1,2 1,1-1,2 0,1-3</inkml:trace>
  <inkml:trace contextRef="#ctx0" brushRef="#br0" timeOffset="3">1068 246,'3'0,"1"0,0 1,0-1,-1 1,1-1,-1 1,1 0,-1 1,1-1,-1 0,1 1,-1 0,0 0,0 0,0 0,0 1,0-1,-1 1,3 2,-1-2,0 0,0-1,0 1,0-1,0 0,0 0,0-1,1 1,-1-1,1 0,-1 0,7 0,7 0,34-2,-21-1,-14 1,-13 0,-1 1,0 0,0-1,1 1,-1 1,0-1,4 1,-6-1,0 1,0-1,1 1,-1 0,0-1,0 1,0 0,0 0,0 0,-1 0,1-1,0 1,0 0,0 0,-1 1,1-1,-1 0,1 0,-1 0,1 0,-1 0,0 1,1 0,3 20,-2 0,0 1,-1-1,-4 41,1-6,2-3,0-40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0,'14'0,"-2"0,0 0,0 1,14 2,-22-2,1 1,-1-1,1 1,-1 0,0 0,0 0,0 1,0-1,0 1,-1 0,6 5,8 9,-5-7,-1 2,0 0,-1 0,0 1,10 17,-18-27,0 1,-1 0,1-1,-1 1,0 0,0 0,0 0,-1 0,1 0,-1 0,0 0,0 0,0 0,-1 0,0-1,1 1,-1 0,0 0,-1 0,1-1,-1 1,0 0,0-1,0 1,0-1,-5 6,-1-2,1 1,-2-2,1 1,-1-1,0 0,0-1,0 0,-18 6,9-3,19-5,8 0,10 2,38 3,60 8,-99-15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0,'3'0,"4"0,4 0,6 0,3 0,4 0,2 0,-2 0,2 0,2 0,3 0,-2 0,1 0,-2 0,-2 0,-4 0,-1 0,-5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155 60,'0'3,"0"4,0 4,0 3,0 2,-3 1,-4 8,-3-2,-4-1,-2 5,-1 0,-2-1,1-2,3-2,3-2,2-1,2-1,2-4</inkml:trace>
  <inkml:trace contextRef="#ctx0" brushRef="#br0" timeOffset="1">195 1,'0'9,"1"0,0 1,0-1,1 0,0 0,1 0,0 0,6 12,-7-16,1 0,-1-1,1 1,0-1,1 0,-1 0,1 0,-1 0,1-1,0 1,1-1,-1 0,1-1,-1 1,1-1,6 3,1-1,1 0,0-1,0-1,1 0,20 1,-25-4,-1 1,1-1,-1-1,1 1,-1-1,0-1,0 0,0 0,15-8,-23 11,53-31,63-47,-115 78,-1-1,0 1,1 0,-1-1,0 1,1 0,-1 0,1-1,-1 1,0 0,1 0,-1 0,1-1,-1 1,1 0,-1 0,1 0,-1 0,1 0,-1 0,1 0,-1 0,1 0,-1 0,1 0,-1 0,0 0,1 1,-1-1,1 0,0 1,0-1,-1 1,1 0,0 0,-1 0,1 0,-1 0,1 1,-1-1,0 0,1 0,-1 0,0 0,0 2,1 45,-1-39,-3 176,3-165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0,'20'0,"65"0,86 11,-124-6,-22-3,42 10,-55-9</inkml:trace>
  <inkml:trace contextRef="#ctx0" brushRef="#br0" timeOffset="1">74 166,'3'0,"4"0,4 0,3 0,2 0,2 0,0 0,0 0,1 0,-1 0,0 0,0 0,0 0,-1 0,1 0,0 0,-4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1 325,'3'0,"1"3,-1 4,1 4,-2 3,0 6,-1 1,-1 2,0-1,0-1,0-1,-4-1,-1 0,1-1,1-4</inkml:trace>
  <inkml:trace contextRef="#ctx0" brushRef="#br0" timeOffset="1">64 259,'55'0,"171"5,-183-2,0 3,-1 1,53 16,-92-23,0 1,0 0,-1 0,1 0,0 0,-1 1,1-1,0 1,-1-1,1 1,-1 1,0-1,0 0,0 0,0 0,-1 1,1-1,0 1,-1-1,3 3,-3 2,1 0,-1 0,0 1,-1-1,1 0,-1 0,-1 7,0 10,-1 0,-9 36,7-42</inkml:trace>
  <inkml:trace contextRef="#ctx0" brushRef="#br0" timeOffset="2">851 246,'3'0,"5"0,3 0,4 0,5 6,11 12,14 4,8 4,4-2,25 6,10-3,5-3,-4-2,-9-6,-4-1,-7-4,-20-4,-20-3</inkml:trace>
  <inkml:trace contextRef="#ctx0" brushRef="#br0" timeOffset="3">1073 508,'3'0,"4"0,11 0,7 3,10 3,5 3,3 3,-2-3,0-1,-3-3,-7-1,-5-3,-3 0,-2-1,-7-1</inkml:trace>
  <inkml:trace contextRef="#ctx0" brushRef="#br0" timeOffset="4">1492 1,'-1'10,"-1"0,0 1,0-1,-1 0,-6 13,2-4,-19 52,-4 1,-75 125,90-171,-50 90,60-104,-1 0,2 0,1 0,-1 1,2-1,0 1,-1 24,5-19,2-5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387 0,'-1'10,"0"0,0 0,-1 0,-1-1,1 1,-1-1,-1 1,0-1,-7 12,-7 9,-29 35,44-60,-37 42,-2-1,-53 46,5-7,78-72,4-3</inkml:trace>
  <inkml:trace contextRef="#ctx0" brushRef="#br0" timeOffset="1">365 28,'1'8,"1"0,0 0,0-1,1 1,0-1,0 0,1 0,0 0,0 0,9 10,5 11,-11-17,0 0,0 0,1 0,0-1,18 17,-22-23,1-1,1 1,-1-1,0 0,1 0,0 0,-1-1,1 0,0 0,0-1,0 1,1-1,-1-1,8 1,-6 0,-1-1,0 0,1 0,-1-1,0 0,1 0,-1-1,0 0,0 0,0-1,0 1,0-2,-1 1,0-1,1 0,-1 0,0-1,-1 1,7-8,41-49,29-30,-81 90,0 0,0 1,0-1,-1 0,1 0,0 1,0-1,0 0,0 1,0-1,0 1,0 0,0-1,0 1,0 0,1-1,-1 1,0 0,0 0,0 0,0 0,2 0,-2 1,0-1,0 1,0 0,0-1,-1 1,1 0,0-1,0 1,0 0,0 0,-1 0,1 0,0 0,-1 0,1 0,-1 0,1 2,2 6,-1 0,1 0,-2 0,1 11,-1-16,2 110,-1-19,4-67,-2-18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187 0,'-1'6,"1"1,-2-1,1 0,-1 0,0 0,-4 10,-1 1,-16 42,-2-1,-35 56,52-99,1 0,0 0,1 0,1 1,0 0,1 0,1 0,1 1,0-1,1 1,1 25,0-30,0 0,-1 0,-2 12,-1-6</inkml:trace>
  <inkml:trace contextRef="#ctx0" brushRef="#br0" timeOffset="1">368 106,'0'3,"0"7,0 5,-3 11,-1 6,-3-1,0-3,-8 10,-1 1,-2-1,0 3,-3 1,-1-2,3-4,2-8,4-6,4-7</inkml:trace>
  <inkml:trace contextRef="#ctx0" brushRef="#br0" timeOffset="2">7 392,'3'0,"4"0,4 0,3 0,2 0,1 0,1 0,1 0,2 0,1 0,0 0,-1 0,-1 0,-1 0,-3 0</inkml:trace>
  <inkml:trace contextRef="#ctx0" brushRef="#br0" timeOffset="3">536 434,'12'1,"-1"-2,1 0,-1 0,1-1,-1 0,0-1,0 0,11-6,-10 4,-4 1,0 0,1 1,14-4,-22 6,0 1,0 0,1-1,-1 1,0 0,0 0,1 0,-1 0,0 0,0 0,1 0,-1 1,0-1,0 0,0 1,0-1,1 0,-1 1,0 0,0-1,0 1,0 0,0-1,0 1,0 0,0 0,0 0,-1 0,1 0,0 0,-1 0,1 0,0 2,1 4,0 0,-1 0,0 0,0 1,-1-1,0 0,0 1,-1-1,1 0,-2 0,1 1,-1-1,-3 8,-6 14,-27 49,26-54,1-2,2-3,0 0,-2-1,-15 21,15-29,2-9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1,'14'1,"0"1,0 2,0-1,0 2,-1 0,0 0,19 12,9 2,32 11,94 27,-144-50,0-2,0-1,0-1,1-1,-1-2,1 0,-1-1,40-9,-58 9,0 0,0 0,-1-1,1 0,-1 0,0 0,1 0,-1-2,0 2,0-2,0 1,6-8,1-4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409 31,'-4'3,"-3"5,-7 6,-5 9,-5 5,-4 6,-4 2,-3 2,-1 1,-1-3,-1-5,-3-3,6-5,3-2,6-4</inkml:trace>
  <inkml:trace contextRef="#ctx0" brushRef="#br0" timeOffset="1">383 1,'2'3,"0"1,0 1,0-2,-1 1,1 0,-1 1,0-1,0 0,0 1,-1-1,0 0,0 9,2 6,-1-9,1-1,0 1,2-1,-1 1,0-1,1 0,5 10,-6-14,-1-1,2 0,-1 0,0 0,0 0,1-1,-1 0,1 1,0-1,0 0,1 0,-1-1,0 0,0 1,1-1,5 1,17 4,2-1,-1-2,55 2,-66-6,-1-1,0-1,0 0,0-1,0-1,0-1,-1 0,21-11,6-9,-28 16,2 0,16-6,-32 14,1 1,0 0,0-1,0 1,-1 0,1 0,0-1,0 1,0 0,0 0,0 0,-1 0,1 0,0 0,0 0,1 0,-1 1,0-1,-1 0,1 0,0 1,0-1,0 1,-1-1,1 1,0-1,-1 1,2 1,-1 0,0 0,0-1,0 1,-1 0,1 0,0 0,-1-1,1 2,-1-1,0 0,0 0,0 3,0 7,-1 1,0-1,-4 14,-11 40,-41 110,53-164</inkml:trace>
  <inkml:trace contextRef="#ctx0" brushRef="#br0" timeOffset="2">1193 339,'0'0,"1"-1,-1 0,0 0,1 1,-1-1,1 0,-1 1,1-1,-1 1,1-1,-1 0,1 1,0-1,-1 1,1 0,0-1,-1 1,1-2,0 2,0 0,-1 0,1-1,0 1,0 0,0 0,-1 0,1 0,0 0,0 0,1 0,28 0,0 4,1 0,-1 1,0 3,55 19,-83-26,1 1,0-1,-1 0,0 1,0-1,0 1,0-1,0 1,0-1,0 1,-1 1,1-1,-1 0,1 0,-1 0,0 0,0 0,3 6,-3-4,0-1,-1 2,0-1,1-1,-1 1,-1 1,1-2,0 1,-1-1,0 1,-3 7,0 0,0-1,-1 1,-1 0,1-2,-3 1,2 0,-14 13,15-18,0 0,0-1,0-1,-8 6,-10 6,23-14,0-1,0 0,0 0,0 0,-1 0,1 0,0 0,0 0,0 1,0-1,-1 0,1 0,0 0,0 0,0 1,0-1,0 0,0 0,0 0,0 1,0-1,0 0,-2 0,2 0,0 1,0-1,0 0,0 0,0 0,2 1,-2-1,0 0,0 0,0 0,0 1,0-1,0 0,0 0,9 5,14 0,-23-5,145 4,-124-4,4-1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1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5255 0,'6'16,"0"0,0 0,3 20,-1-2,24 98,24 214,-33 142,-22-247,-5 163,-5-302,-36 160,10-75,-66 383,81-445,6 1,4 211,9-145,3 132,8-206,32 148,3 13,-29-100,15 117,-27-270,11 71,3 138,-9-92,0-12,1 59,-2-57,22 132,21-3,-47-243,37 207,-15-74,-24-139,-3-5</inkml:trace>
  <inkml:trace contextRef="#ctx0" brushRef="#br0" timeOffset="1">378 5638,'40'-7,"-6"1,147 0,-69 4,672-13,-617 8,240-40,-28 12,-195 22,-141 10,741-48,1354 31,-1702 21,357 42,-400-13,280 20,-10 0,1-27,-620-22,196-4,-177-1,113-22,-142 22,0 0,-1 2,53 4,-21 0,594-2,-633 0</inkml:trace>
  <inkml:trace contextRef="#ctx0" brushRef="#br0" timeOffset="2">378 4752,'0'1,"1"0,-1-1,0 1,1 0,-1-1,0 1,1 0,-1-1,1 1,-1-1,1 1,-1-1,1 1,-1-1,1 1,0-1,-1 1,1-1,0 0,-1 1,1-1,0 0,-1 0,1 1,1-1,25 6,-17-4,58 14,0-3,90 7,95-17,-134-5,-16 3,114-2,-24-19,-180 18,0 0,1-1,-1 0,0-1,1-1,-2 0,0-1,0 0,1 0,-2-2,0 1,15-13,22-19,58-36,-6 6,-37 17,-2-1,84-98,-97 102,2 2,4 1,0 4,84-51,-89 59,-1-1,-1-3,-2-1,46-54,42-38,-89 91,-2-2,-1-2,48-69,-37 33,-3-3,-5-2,-3-2,-4-2,34-121,63-170,-21 75,-43 45,3-7,-49 193,53-110,-55 140,-10 15,2 1,2 0,0 1,31-37,17-9,170-177,-7 20,-103 98,-25 35,-81 77,2 1,0 1,1 1,37-23,-42 30,2 0,-1 2,2 0,-1 1,0 0,2 2,22-4,38-2,0 3,147 5,-215 5,0-1,-1 2,0 0,0 0,1 1,-2 0,0 1,0 0,1 0,17 15,5 5,48 48,213 228,-274-275,33 53,-26-35,133 239,-25 13,-72-157,34 90,-73-163,23 105,-18-19,17 74,69 241,-100-408,3-1,41 91,68 102,-115-229,27 48,48 64,-64-99,-2 0,24 56,23 79,-44-105,2 0,55 96,-66-137,6 11,0-1,3-1,53 56,-3-13,-35-36,1-1,57 41,-63-58,3-1,65 27,-59-30,20 9,3-3,0-3,130 24,-73-27,161 3,-125-15,240 5,-314-9,0 3,0 4,140 33,-76-10,301 27,-308-50,226 20,-360-28,-13-3</inkml:trace>
  <inkml:trace contextRef="#ctx0" brushRef="#br0" timeOffset="3">4718 5745,'-11'116,"7"-82,1 0,2 43,2-66,1-1,1 0,-1 0,2 0,-1-1,2 1,0-1,0 0,0 0,1 0,0-1,0 0,2 0,-1-1,0 1,1-2,17 12,-23-16,0-1,0 0,1 0,-1 0,0 0,1 0,-1-1,1 1,-1-1,1 1,-1-1,1 0,0 0,-1 0,2-1,-2 1,1 0,3-2,-3 0,1 1,-1-1,0 0,0 0,0 0,0-1,0 1,-1-1,2 1,-2-1,4-5,1-4,0-1,-1 1,0-1,-1-1,7-20,-3-2,-1 0,-2 0,-1-1,-2 0,-1 0,-6-54,4 88,-1 1,1-1,-1 0,0 1,0-1,0 0,0 1,0-1,-1 1,1 0,-1-1,0 1,1 0,-1 0,0 0,0 0,0 1,-1-1,1 0,0 1,-4-2,-6-2,1 0,0 2,-23-6,-5-1,24 5,3 3</inkml:trace>
  <inkml:trace contextRef="#ctx0" brushRef="#br0" timeOffset="4">7783 5370,'-9'196,"0"11,10-150,-1-41</inkml:trace>
  <inkml:trace contextRef="#ctx0" brushRef="#br0" timeOffset="5">7256 6322,'5'0,"0"0,0-1,0 0,1 0,-1-1,0 1,0-1,0 0,-1 0,1-1,-1 0,7-3,4-6,29-28,-7 6,-26 24,-9 7,1 0,1 0,-1 0,1 1,0-1,-1 1,1 0,0 0,0 0,6-2,-9 4,0 1,0-1,0 0,0 1,0-1,-1 1,1-1,0 1,0-1,0 1,0 0,1-1,-2 1,1 0,0 0,-1-1,1 1,-1 0,1 0,-1 0,1 0,-1 0,1 0,-1 0,0 0,1 0,-1 2,7 32,-7-31,3 24,-2 0,-1 0,-1 0,-6 32,-27 110,31-157,-28 103,24-92</inkml:trace>
  <inkml:trace contextRef="#ctx0" brushRef="#br0" timeOffset="6">7726 6558,'0'3,"0"4,0 4,0 3,0 8,0 4,0-1,0 0,-3-3,-1 5,-3 1,0-2,0-2,3-5</inkml:trace>
  <inkml:trace contextRef="#ctx0" brushRef="#br0" timeOffset="7">8243 6240,'-39'-1,"-32"1,63 0,1 1,0 0,0 1,1-1,-1 1,0 0,-10 5,15-5,-1 0,1-1,0 1,0 0,0 0,0 1,0-1,1 0,-1 1,1-1,-2 1,2-1,0 1,0 0,0-1,0 1,1 0,-1 0,1 0,0 0,-1-1,1 1,1 0,-1 3,0-1,1 0,0-1,-1 1,2 0,-1 0,0-1,2 1,-1-1,0 1,0-1,1 0,0 0,4 6,4 0,1-1,-1-1,1 0,0-1,1 0,0-1,0 0,1-1,13 3,-24-7,-1-1,0 0,0 1,2-1,-2 0,0 0,1-1,-1 1,0 0,0-1,1 0,-1 1,0-1,0 0,0 0,0 0,0 0,0-1,0 1,0 0,0-1,1-2,5-4,-1 0,-1 0,10-17,2-1,11-10,12-15,-41 51,0-1,0 1,0 0,0 0,0 0,1 0,-1 0,0-1,0 1,0 0,0 0,0 0,0 0,0 0,0 0,0-1,0 1,0 0,0 0,1 0,-1 0,0 0,0 0,0 0,0 0,0 0,0-1,1 1,-1 0,0 0,0 0,0 0,0 0,0 0,1 0,-1 0,0 0,0 0,0 0,0 0,0 0,1 0,-1 0,0 0,0 0,0 0,0 0,0 1,2-1,-2 0,0 0,0 0,0 0,0 0,0 0,0 0,3 14,-3 25,0-34,-12 171,5-82,6-78,2 0,0-1,0 1,2 0,0-1,0 1,3-1,-1 0,11 23,-4-15</inkml:trace>
  <inkml:trace contextRef="#ctx0" brushRef="#br0" timeOffset="8">8947 6442,'-7'-5,"0"1,0 0,0 1,0 0,-1 0,0 0,0 1,1 0,-15-1,19 3,-1-1,1 1,0 0,-1 0,1 1,0-1,0 0,0 1,0 0,0 0,0 0,0 0,0 0,-1 1,1-1,1 1,-1 0,0 0,-2 3,-4 4,0 0,0 1,-10 18,-1-1,15-21,1-1,0 1,0 0,1 0,0 0,-3 10,5-15,1 1,-1-1,1 0,0 0,0 0,0 1,0-1,0 0,0 0,0 0,0 1,0-1,0 0,1 0,-1 0,1 0,-1 1,0-1,1 0,0 0,-1 0,1 0,0 0,0 0,-1 0,1 0,0-1,0 1,0 0,0 0,0-1,0 1,0-1,0 1,0-1,0 1,1-1,-1 1,0-1,0 0,0 0,1 0,2 0,19 3,2-2,-1-1,24-2,6-1,-50 3,1 0,-1 0,0-1,0 1,-1-1,1 0,0 0,0-1,1 1,-2-1,1 0,0 0,-1 0,0 0,6-5,-6 3,1 0,-1-1,2 1,-2-1,0 0,-1 0,1 0,-1 0,0 0,2-9,-3 9,10-27,-11 32,1-1,-1 0,0 1,1-1,-1 1,0-1,1 1,-1-1,1 1,-1-1,1 1,-1 0,1-1,-1 1,1 0,-1-1,1 1,-1 0,1-1,0 1,-1 0,2 0,-2 0,1 0,0 0,-1 0,1 0,0 0,-1 0,1 0,-1 0,1 0,0 0,-1 0,1 1,0-1,-1 0,1 0,-1 1,1-1,-1 0,1 1,-1-1,1 1,-1-1,1 1,4 4,-1 0,0-1,-1 2,1-1,-1 0,0 1,0 0,0-1,-1 1,3 12,1 10,4 30,-8-41,10 112,-9-100</inkml:trace>
  <inkml:trace contextRef="#ctx0" brushRef="#br0" timeOffset="9">1856 5367,'0'3,"0"7,0 8,0 9,0 7,0 6,0 3,0 0,0-2,0 1,0 0,0-1,0-2,0-5,0-4,4-8,0-8</inkml:trace>
  <inkml:trace contextRef="#ctx0" brushRef="#br0" timeOffset="10">869 6311,'0'1,"0"0,1 0,-1-1,1 1,-1 0,1 0,-1-1,1 1,-1 0,1-1,-1 1,1-1,1 1,-2-1,1 1,0-1,-1 1,1-1,0 0,0 1,0-1,-1 0,1 1,0-1,0 0,0 0,1 0,28 3,-27-3,205 2,-106-3,-87 1</inkml:trace>
  <inkml:trace contextRef="#ctx0" brushRef="#br0" timeOffset="11">1520 6273,'8'-8,"0"-1,11-18,-10 16,-2 0,14-13,13-7,1 0,79-50,-113 80,1 0,-1-1,1 1,0 0,-1 0,1 1,0-1,0 0,0 1,0-1,0 1,0-1,0 1,0 0,0 0,0 0,0 0,-1 0,6 1,-6 0,1 0,-1 1,0-1,1 0,-1 1,0-1,0 1,0 0,0-1,0 1,0 0,-1 0,1-1,-1 1,1 0,-1 0,0 0,1 0,-1 0,0 0,-1 2,4 69,-9 86,6-153,-2 18,-2 0,-11 41,8-40</inkml:trace>
  <inkml:trace contextRef="#ctx0" brushRef="#br0" timeOffset="12">2011 6404,'3'6,"1"4,0 5,-1 2,-1 4,0 2,-1 0,-1-2,0 0,0-4</inkml:trace>
  <inkml:trace contextRef="#ctx0" brushRef="#br0" timeOffset="13">2543 6135,'-7'-4,"2"1,-1 0,0 0,0 0,0 1,0 0,-1 0,1 0,-11 0,8 0,-1 0,0 0,1 0,-1 1,1 1,-2-1,-10 2,18 0,1-1,-1 1,0 0,0 0,1-1,-1 2,1-1,-1 0,1 0,0 1,0-1,0 1,0 0,0 0,0 0,1 0,-1 0,0 0,1 0,0 0,-1 0,1 1,0-1,0 1,0-1,1 1,-2 2,1 1,-1 0,1 0,0 0,0-1,1 1,0 0,0 0,1 0,0 0,0 0,1 0,1 6,-1-9,-1 0,1-1,-1 1,1 0,0-1,0 1,0-1,0 1,1-1,-1 0,1 0,-1 0,1 0,0-1,-1 1,1-1,1 0,-1 1,0-1,0-1,0 1,0 0,6 0,-3-1,0 1,1-1,-2 0,1-1,0 1,0-1,0 0,-1 0,2-1,-2 0,7-3,1-2,2-1,20-17,-16 12,-6 4,46-29,-58 37,-1 1,0 0,1-1,-1 1,0 0,1-1,-1 1,1 0,-1 0,1 0,-1-1,0 1,1 0,-1 0,1 0,-1 0,1 0,-1 0,1 0,-1 0,1 0,-1 0,0 0,1 0,-1 0,1 0,-1 0,1 1,-1-1,1 0,-1 0,0 0,1 1,-1-1,0 0,1 1,-1-1,0 0,1 1,-1-1,0 0,1 1,-1-1,0 1,0-1,0 0,1 1,-1-1,0 1,0-1,0 1,0-1,0 1,0-1,0 1,0 3,0 1,0-1,-1 0,0 0,-1 7,-51 124,19-52,20-46</inkml:trace>
  <inkml:trace contextRef="#ctx0" brushRef="#br0" timeOffset="14">3138 6181,'-37'-13,"32"12,-1 0,2 1,-1-1,0 1,1 0,-1 0,0 1,1-1,-1 1,0 0,0 1,1-1,-1 1,1-1,0 1,-1 1,-5 3,6-3,0 0,1 0,1 1,-1-1,0 1,1-1,0 1,0 0,0 0,0 0,1 0,-1 0,1 0,0 0,0 0,1 1,-1-1,1 0,0 7,1-7,-1-1,1 0,-1 1,1-1,0 0,1 1,-1-1,0 0,1 0,0 0,0 0,0-1,0 1,0 0,0-1,1 1,-1-1,1 0,0 0,1 0,-1 0,-1 0,2-1,-1 1,0-1,0 0,0 0,1 0,5 0,-4 1,1-1,0-1,-1 1,1-1,-1 0,1 0,-1 0,1-1,0 0,-1 0,0 0,0-1,1 0,-1 0,0 0,0 0,0-1,7-5,16-16,-1-1,-1-2,31-42,-56 68,0-1,0 1,-1 0,1 0,0-1,0 1,0 0,0 0,0 0,0 0,1 0,-1 1,0-1,1 0,0 1,2-2,-4 2,1 0,0 0,-1 0,1 1,0-1,-1 0,1 0,-1 0,1 1,-1-1,1 0,-1 1,1-1,-1 0,1 1,-1-1,1 1,-1-1,1 1,-1-1,0 1,1-1,-1 1,0 0,1-1,-1 1,2 5,0 1,0-1,-1 0,0 0,0 1,0 7,-1 259,-1-123,1-135</inkml:trace>
  <inkml:trace contextRef="#ctx0" brushRef="#br0" timeOffset="15">1874 4777,'0'7,"-1"0,0 0,-4 13,-2 8,7-27,-17 95,-7 195,25-218,-1-58</inkml:trace>
  <inkml:trace contextRef="#ctx0" brushRef="#br0" timeOffset="16">1682 5155,'0'3,"0"4,-3 4,-7 3,-5 2,-6 4,-5 2,-6 4,-2-1,-2 5,-1 1,-1-3,5 1,3-5,7-7</inkml:trace>
  <inkml:trace contextRef="#ctx0" brushRef="#br0" timeOffset="17">1267 5169,'-3'0,"-8"3,-3 4,-7 4,-3 3,-4 5,2 2,0-2,-4 1,1 1,0-1,4-3,2-2,2-3,6-1,1-3,2-1</inkml:trace>
  <inkml:trace contextRef="#ctx0" brushRef="#br0" timeOffset="18">515 5288,'-6'3,"-12"4,-10 7,-9 4,-3 2,2 0,5-2,2 0,5 2,5-4,5-4</inkml:trace>
  <inkml:trace contextRef="#ctx0" brushRef="#br0" timeOffset="19">711 3648,'-1'7,"-1"0,0 1,-1-1,1-1,0 1,-1 0,-1 0,-5 9,0 0,-6 9,0-1,-1 0,-2-1,0-1,-2-1,-33 30,25-29,1-1,-3-1,0-1,0-2,-37 15,45-22,-1-2,0 0,-1-1,-1-2,1 0,0-2,0 0,-36-1,58-3,-1 1,1-1,-1 1,1-1,0 0,-1 0,1 0,0 0,-1 0,1 0,0-1,0 1,0-1,0 0,-1 1,1-1,1 0,-1 0,1 0,-1 0,1-1,0 1,-2-4,2 2,-1 1,1-1,0 1,0-1,1 1,-1-1,1 0,0 0,0 1,0-1,0 0,1 1,-1-1,1 0,2-6,-2 8,1 0,-1 1,0-1,1 0,-1 0,1 0,0 1,-1-1,1 1,1 0,-1-1,0 1,0 0,0 0,0 0,0 0,1 0,-1 1,0-1,0 1,1 0,-1-1,0 1,1 0,-1 0,0 0,1 1,-1-1,3 1,9 1,0 1,0 1,18 7,-30-11,35 14,-2 0,0 3,35 21,-51-26,-1 1,0 1,-1 0,0 1,-2 1,24 29,-15-11,-13-22</inkml:trace>
  <inkml:trace contextRef="#ctx0" brushRef="#br0" timeOffset="20">1058 3711,'0'4,"0"6,0 8,-3 6,-4 6,-8 10,-3 3,-6 4,-7 9,-4 10,-1-4,1 1,3-6,4-5,6-10,8-11</inkml:trace>
  <inkml:trace contextRef="#ctx0" brushRef="#br0" timeOffset="21">1094 4018,'0'-1,"0"-1,0 1,1 0,-1 0,1-1,-1 1,1 0,-1 0,1 0,0 0,-1 0,1 0,0 0,0 0,0 0,0 0,0 0,0 0,0 1,0-1,0 0,0 1,1-1,1 0,34-10,-31 10,48-7,1 2,-1 2,82 5,-106 0,64 4,-82-4,2 1,-2 1,0 0,-1 0,18 8,-26-9,1 1,0 0,-1 0,2 0,-2 0,0 0,0 1,0 0,0-1,-1 1,0 0,0 0,0 0,0 1,0-1,-1 0,0 1,0-1,0 1,0 4,1 8,-1 0,0 0,-1 0,-3 18,2-27,-1 1,0-1,-1 1,1-1,-1 0,-1 0,0 0,0-1,-1 1,1-1,-3 0,2 0,-10 9,-2 2</inkml:trace>
  <inkml:trace contextRef="#ctx0" brushRef="#br0" timeOffset="22">7794 4358,'0'660,"-1"-639,-8 38,0 13,9-57</inkml:trace>
  <inkml:trace contextRef="#ctx0" brushRef="#br0" timeOffset="23">8299 4855,'1'13,"-2"0,1-1,-2 1,0-1,0 1,-1-1,-1 0,0 0,-1 0,0 0,-1-1,0 0,-1 0,-13 16,-169 185,142-162,35-38,20-20</inkml:trace>
  <inkml:trace contextRef="#ctx0" brushRef="#br0" timeOffset="25">9683 4974,'-1'4,"0"0,0 0,-1 0,0 0,1 0,-1-1,-1 1,-4 4,1 2,-5 6,0-1,-2 0,0-1,-16 13,10-8,-20 23,34-36,0-1,0 0,-1 0,-9 6,-8 7,16-11</inkml:trace>
  <inkml:trace contextRef="#ctx0" brushRef="#br0" timeOffset="27">9470 3303,'-6'130,"4"-111,-2-1,0 1,-2-1,-13 34,2-19,-2 0,0-2,-2 0,-1-1,-2-1,-32 30,23-29,-1 0,-2-2,0-2,-74 40,89-55,1-1,-2-2,1 0,-1-1,0-1,-1-1,1-1,-1-1,0 0,0-2,-36-3,54 1,1 0,-1 0,0-1,1 1,-1-1,1 0,0 0,0-1,0 0,0 1,1-1,-1 0,1-1,-2 1,2 0,-3-6,-5-7,0 0,-13-26,23 39,-10-20,0 0,-8-30,15 41,1-1,0 0,1-1,1 1,0 0,1-14,0 24,1-1,-1 1,1 0,0 0,0 0,0 0,1 0,-1 1,1-1,-1 0,1 0,0 1,0-1,0 1,1 0,-1 0,0 0,1 0,0 0,0 0,0 0,0 1,0 0,5-3,7-1,2 1,-1 0,28-3,-24 4,23-4,0 1,1 3,79 3,-117 1,0 0,0 0,0 1,-1 0,1 0,0 1,0-1,-1 1,0 0,0 1,0-1,7 8,5 5,-3 0,16 21,-21-26,72 97,-37-47,2-2,85 83,-124-135,2 0,0-1,-1 0,14 7,-2-4</inkml:trace>
  <inkml:trace contextRef="#ctx0" brushRef="#br0" timeOffset="28">10309 3542,'0'3,"0"7,0 8,0 3,-10 26,-8 14,-9 5,-4 6,-10 1,-4 2,-14 13,2-9,7-12,8-14,12-16</inkml:trace>
  <inkml:trace contextRef="#ctx0" brushRef="#br0" timeOffset="29">10586 4029,'39'-13,"-35"13,1 0,-1 1,1-1,-1 1,2 0,-2 0,0 1,0-1,1 1,-1 0,0 0,0 0,-1 1,7 3,5 6,29 30,-19-17,-17-19,-1 1,0 1,-1-1,0 1,10 14,-14-17,1 1,-1 0,0 0,0 0,-1 0,0 0,0 0,0 0,-1 0,0 7,-4 21,3-28,0 1,1-1,-1 0,2 12,-1-15,1 0,-1-1,1 1,0 0,0-1,0 1,0-1,1 1,-1-1,1 0,0 1,-1-1,1 0,4 4,9 4,-1 0,0-1,2 0,-1-1,1-1,0 0,0-1,32 7,-1-3,-1-3,52 2,-50-7,-9-1</inkml:trace>
  <inkml:trace contextRef="#ctx0" brushRef="#br0" timeOffset="30">1667 4212,'3'0,"4"0,5 0,2 0,2 0,2 0,0-3,2-1,1-3,2 0,-4-1,-2-1,-2 0,-6 0</inkml:trace>
  <inkml:trace contextRef="#ctx0" brushRef="#br0" timeOffset="31">3542 4100,'1'-2,"0"1,0-1,0 1,1-1,-1 1,0 0,1 0,-1-1,1 1,-1 0,1 0,-1 0,1 1,0-1,0 0,0 1,3-2,1 0,2-3,0 1,-1-1,1-1,-2 1,9-9,11-9,208-145,-224 161,-6 3,1 1,-1 0,0 0,1 0,-1 1,0 0,1 0,0 0,0 0,1 0,-2 1,1 0,7 0,-11 1,0 0,0 0,0 1,0-1,0 0,0 1,0-1,0 1,0 0,0-1,0 1,0 0,0-1,-1 1,1 0,0 0,0 0,-1-1,1 1,-1 0,2 0,-2 0,1 0,-1 0,1 0,-1 2,5 33,-5-31,1 47,-2 0,-2 0,-3-1,-2 0,-23 83,18-83,12-45</inkml:trace>
  <inkml:trace contextRef="#ctx0" brushRef="#br0" timeOffset="32">4146 4029,'3'0,"4"0,4 0,3 0,2 0,3 0,2 0,5 0,4 0,5 3,11 4,0 1,0 2,-3-1,-10-7,-10-5</inkml:trace>
  <inkml:trace contextRef="#ctx0" brushRef="#br0" timeOffset="33">6009 3833,'-1'13,"-1"1,-1 0,0-1,-2 1,0-1,-8 18,6-15,-13 28,-2 0,-2-1,-1-1,-40 48,54-78,-1 1,-1-2,1 1,-1-2,-2 1,1-2,-24 13,-7-1,-60 20,100-39,-1-1,2 0,-1 1,0-1,0-1,-9 1,12-1,1 0,-1 0,0-1,-1 1,2 0,-1-1,0 0,1 1,-1-1,0 0,1 0,-1 0,1 0,-1 0,1 0,0 0,-1 0,1-1,0 1,0 0,0-1,-1-1,-3-7,1 0,0 0,0 0,1-1,0 1,1-1,0-13,0 8,2 0,0 1,1-1,3-22,-3 35,-1-1,1 1,0 0,0 0,0 1,0-1,0 0,1 0,1 0,-2 1,1-1,0 1,0 0,0-1,0 1,1 0,-1 0,5-2,-2 1,0 1,0 0,1 1,0-1,-1 1,1 0,0 0,-1 1,10 0,201 4,-209-3,0 0,0 0,0 1,0 0,1 1,-2 0,1 0,-1 0,13 8,3 5,26 24,-29-24,296 294,-292-284,-10-9</inkml:trace>
  <inkml:trace contextRef="#ctx0" brushRef="#br0" timeOffset="34">1682 4089,'3'0,"4"0,4 0,3 0,6 0,2 0,1 0,1 0,2 0,1 0,5-3,4-1,2-3,-3 0,-3-2,-9 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2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219 0,'-1'3,"1"-1,-1 1,0-1,0 0,0 0,0 1,-1-1,1 0,-3 3,-4 7,-91 200,95-202,0 0,0 0,1 0,1 0,-1 0,2 1,-2 13,3 1,3 48,-2-70,-1 1,1 0,0 0,0-1,0 1,1-1,-1 1,1-1,0 1,0-1,0 0,0 0,1 0,-1 0,1 0,0-1,5 5,4 0,-1 0,1-1,22 9,-6-3,-21-10,0 1,0-1,0 0,0-1,0 1,12-1,-5 0</inkml:trace>
  <inkml:trace contextRef="#ctx0" brushRef="#br0" timeOffset="1">0 152,'1'0,"-1"-1,0 0,0 0,1 1,-1-1,1 0,-1 1,1-1,-1 0,1 1,-1-1,1 0,0 1,-1-1,1 1,0-1,-1 1,1 0,0-1,0 1,0 0,-1-1,1 1,0 0,0 0,0 0,1 0,27-4,-26 4,12-1,0 0,0 0,0 2,0 0,-1 0,1 1,0 1,-1 1,27 10,-26-8,-1 0,1-1,0-1,0 0,21 2,4 1,-24-4,-1 0,20 1,-20-4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2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268 1,'-9'10,"0"0,-11 19,-13 16,-112 127,139-165,0 1,1 0,0 1,0-1,1 1,0 0,1 0,-1 0,2 1,0-1,0 1,0-1,1 1,1 0,0 13,0-5,0 7,1-1,1 0,8 34,-1-17,-4-17,9 27,-11-40,0 1,-1-1,0 1,-1 0,0 18,-1-15,1-1,4 25,-4-36,0 1,1-1,-1 0,1 0,0 0,0-1,0 1,0 0,0-1,1 1,-1-1,1 0,0 0,-1 0,1 0,0 0,0 0,5 1,-4-1,1 0,-1 1,0-1,0 1,0 0,0 1,-1-1,1 0,4 7,-2 2,-2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2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389 170,'-8'1,"1"0,0 0,-1 1,1 0,0 0,0 1,0 0,1 0,-1 1,1 0,-11 7,0 3,0 0,-26 28,-58 87,28-33,68-90,0 1,1-1,0 1,0 1,0-1,1 0,0 1,0 0,0-1,1 1,-1 13,2-15,1 0,0 0,1 0,-1 0,1 0,0-1,0 1,1 0,0 0,0-1,0 1,1-1,0 1,0-1,0 0,6 6,13 13,2-2,0-1,2-1,39 24,-21-14,-41-28,60 38,-56-36,0-1,0 1,0-1,0-1,1 0,-1 0,11 2,-16-4,-1 0,1 0,-1 0,1 0,-1-1,1 1,-1 0,1-1,-1 1,1-1,-1 1,0-1,1 0,-1 1,0-1,1 0,-1 0,0 0,0 0,1-1,1-1,-1 0,0 0,-1 0,1-1,0 1,-1 0,0 0,2-6,-1-5,1 0,-2 0,1-19,-2 32,0-11,0 1,-1-1,0 0,-5-22,4 27,-1-1,0 1,-1 0,1 0,-1 0,-1 0,1 1,-8-9,-14-11,-1 0,0 2,-2 1,-1 1,-37-21,62 40,0 1,-1-1,1 1,-1-1,-7-1,10 4,0-1,1 1,-1 0,1 0,-1 0,1 0,-1 0,1 1,-1-1,1 1,-1 0,1 0,-1-1,-3 3,-5 4</inkml:trace>
  <inkml:trace contextRef="#ctx0" brushRef="#br0" timeOffset="1">699 170,'0'13,"-2"0,1-1,-1 1,-1-1,0 1,-1-1,-9 20,-5 4,-25 37,9-18,33-52,-1-1,1 1,0 0,0-1,0 1,0 0,0 0,1-1,-1 1,1 0,0 0,0 0,0 0,0 0,0 0,1 0,-1-1,1 1,1 5,0-4,0 0,1 0,-1 0,1-1,0 1,0-1,0 1,1-1,-1 0,1 0,5 3,4 1,0 0,0 0,1-1,-1-1,2-1,25 6,-25-7,1-1,-1 0,0-1,1-1,-1 0,0-1,1-1,-1-1,0 0,0 0,0-2,-1 0,21-10,-24 8</inkml:trace>
  <inkml:trace contextRef="#ctx0" brushRef="#br0" timeOffset="2">876 410,'-1'0,"0"0,0 1,0-1,0 0,0 1,0-1,1 1,-1-1,0 1,0-1,1 1,-1 0,0-1,0 1,1 0,-1-1,1 1,-1 0,1 0,-1 1,-10 23,8-17,-8 17,0 0,2 1,2 1,0 0,2-1,0 2,0 38,6 18,-1-63</inkml:trace>
  <inkml:trace contextRef="#ctx0" brushRef="#br0" timeOffset="3">1275 1,'2'24,"1"0,1-1,1 1,1-1,17 41,-3-5,-2-3,-8-29,-1 0,-1 0,-2 1,4 33,-7 2,-7 97,3-155,0 0,0 0,0 0,-1 0,0 0,0-1,0 1,0-1,-1 1,0-1,0 0,-5 6,-5 3,-1 0,-15 12,19-18,-8 6,0 0,-24 10,21-12,2 1,-21 15,28-19,-1 0,0 0,-27 10,33-15,-7 3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25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950 143,'0'11,"-1"0,-1-1,1 1,-2 0,1-1,-2 0,-5 14,-6 7,-20 29,24-44,1 1,0 0,1 1,2 0,-1 0,2 1,-4 20,-6 28,8-40,3-8</inkml:trace>
  <inkml:trace contextRef="#ctx0" brushRef="#br0" timeOffset="1">1035 104,'0'0,"0"-1,1 0,-1 0,0 1,1-1,-1 0,1 0,-1 1,1-1,-1 1,1-1,0 0,-1 1,1-1,0 1,-1-1,1 1,0 0,0-1,0 1,-1 0,1-1,0 1,0 0,0 0,0 0,-1 0,3 0,24 0,-25 1,0 0,0 0,0 0,0 0,-1 0,1 1,0-1,-1 0,1 1,-1 0,0-1,1 1,-1 0,0-1,0 1,0 0,1 3,10 38,-7-22,0-2,-1-1,-1 1,-1-1,0 1,-2 0,-2 31,2-48,-1 0,1 0,0 0,-1-1,0 1,1 0,-1 0,0-1,0 1,0 0,0-1,0 1,0-1,-1 1,1-1,0 1,-1-1,1 0,-1 0,0 0,1 0,-1 0,0 0,0 0,0 0,1-1,-1 1,0-1,0 1,-3-1,-8 1,1 0,0-1,0 0,-13-3,-1 1,-63 1,74 1</inkml:trace>
  <inkml:trace contextRef="#ctx0" brushRef="#br0" timeOffset="2">483 733,'10'4,"1"-1,-1 0,0 0,1-1,0-1,16 1,23 5,0 0,0-3,0-1,63-5,-20 0,51 2,-128 0</inkml:trace>
  <inkml:trace contextRef="#ctx0" brushRef="#br0" timeOffset="3">681 1017,'26'0,"-12"-1,1 1,-1 1,0 0,26 5,-37-5,1 0,0 1,0-1,0 1,-1 0,1 0,-1 0,1 1,-1-1,0 1,0 0,0-1,-1 1,1 1,0-1,-1 0,0 1,0-1,0 1,0-1,1 7,-1-2,0 0,0 0,-1 1,0-1,0 1,-1-1,0 1,-1-1,0 1,-3 11,0-4,0-1,-2 0,0 0,-13 23,4-20,13-16,0 0,0 1,0-1,0 0,0 1,1-1,-1 1,-1 5,3-8,0 1,0 0,0-1,0 1,1 0,-1-1,0 1,0-1,1 1,-1 0,0-1,1 1,-1-1,1 1,-1-1,1 1,-1-1,1 1,-1-1,1 0,-1 1,1-1,-1 0,1 1,0-1,-1 0,1 0,0 0,-1 1,2-1,23 6,-21-5,34 4,0-2,76-2,-75-1,-23-1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26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431 36,'-2'3,"0"1,0-1,0 1,0 0,1 0,0-1,-1 1,2 0,-1 0,0 1,0 6,-2 11,-8 12,-1 0,-1 0,-3-1,-23 39,29-55,-4 9,2 0,-12 33,20-45</inkml:trace>
  <inkml:trace contextRef="#ctx0" brushRef="#br0" timeOffset="1">470 28,'5'0,"-1"-1,1 0,-1 0,0 0,1-1,-1 1,0-1,6-3,-6 2,1 1,-1 0,1 0,0 1,7-2,-10 2,0 1,0 0,0 0,0 1,-1-1,1 0,0 0,0 1,0-1,-1 1,1 0,0 0,-1-1,1 1,-1 0,1 0,-1 0,1 1,2 1,0 2,1 1,-1-1,0 1,0 0,0 0,-1 0,0 1,0-1,-1 1,0-1,0 1,0 0,-1 0,0 0,-1 0,1 0,-1 0,-1 0,0 9,0-14,1 0,-1 0,0 0,1 0,-1 0,0 0,0 0,0 0,0 0,-1 0,1-1,-1 1,1-1,-1 1,1-1,-1 1,0-1,1 0,-1 0,0 0,0 0,0 0,0 0,-2 0,-9 3,0 0,1-1,-15 1,-14 4,12 5,17-8</inkml:trace>
  <inkml:trace contextRef="#ctx0" brushRef="#br0" timeOffset="2">0 656,'56'1,"85"13,-16-2,-5-1,-59-2,-38-5</inkml:trace>
  <inkml:trace contextRef="#ctx0" brushRef="#br0" timeOffset="3">0 988,'31'0,"-15"-1,0 0,-1 2,1 0,0 1,-1 0,1 1,21 8,-32-10,0 1,0 0,0 1,0-1,-1 1,1 0,-1 0,1 0,-1 1,0 0,-1-1,1 1,-1 1,1-1,-1 0,-1 1,1 0,0 0,-1-1,0 1,0 1,-1-1,0 0,2 9,-2-4,0-1,0 0,-1 0,0 0,-3 17,2-21,0 0,-1-1,1 1,-1 0,0-1,-1 0,1 1,-1-1,0 0,0 0,0-1,-6 6,-11 8,0-1,-41 23,10-7,50-31,0-1,0 1,-1 0,1 0,0 0,0 0,0 0,1 0,-1 0,0 0,-1 2,2-2,0-1,0 1,0-1,0 0,0 1,0-1,-1 1,2-1,-1 1,0-1,0 0,0 1,0-1,0 1,0-1,0 0,0 1,1-1,-1 1,0-1,0 0,0 1,1-1,-1 1,3 1,0 0,0 0,1 0,-1 0,0-1,7 3,3 1,5 3,0-1,1-1,-1-1,2 0,26 2,-30-6</inkml:trace>
  <inkml:trace contextRef="#ctx0" brushRef="#br0" timeOffset="4">1052 536,'4'0,"1"1,-1-1,1 1,-1 0,1 0,-1 1,0-1,0 1,0 0,5 3,38 29,-9-5,-28-24,0 0,0-1,21 6,-24-9,-1 1,1 0,-1 0,1 1,-1 0,0 0,0 0,0 1,0 0,0 0,6 7,-11-11,-1 1,1 0,-1 0,0 0,1-1,-1 1,0 0,1 0,-1 0,0 0,0 0,0 0,0 0,1 0,-2 0,1 0,0-1,0 1,0 0,0 0,0 0,-1 0,1 0,0 0,-1 0,1 0,-1-1,1 1,-1 0,0 0,1-1,-1 1,1 0,-1-1,0 1,-1 0,-30 19,32-20,-61 27,-2-3,-108 26,157-47,-14 5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26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673 1,'2'0,"-1"1,1-1,-1 1,1-1,-1 1,1-1,-1 1,0 0,1 0,-1 0,0 0,0 0,1 0,-1 0,0 1,0-1,0 0,0 0,-1 1,1-1,0 1,0-1,-1 1,1-1,-1 1,0-1,1 1,-1-1,0 4,2 8,0 0,0 20,-2-23,0 8,-1 1,-1-1,0 0,-1 0,-1 0,-1 0,-1-1,0 1,-1-1,-1-1,0 0,-1 0,-1 0,-1-1,0-1,-13 14,5-8,0-1,-1-1,-1 0,-1-2,0 0,-1-2,-35 17,38-22,0-1,0-1,-1-1,0 0,0-2,0 0,-1-2,1 0,-39-3,54 0,-1 0,1 0,0-1,1 0,-1 0,0-1,1 0,-1 0,1 0,0 0,0-1,0 0,0 0,1 0,-1-1,1 1,0-1,1 0,-5-8,3 5,0 0,1-1,0 0,1 0,0 0,0 0,1 0,0-1,0 1,1-1,1 1,0-11,1 15,0 0,0 0,0 0,1 1,0-1,0 0,0 1,0 0,1-1,-1 1,1 0,1 0,-1 0,0 1,1-1,7-5,5-2,0 0,33-16,-48 27,31-16,0 3,40-13,-67 25,0 1,-1-1,1 1,0 0,0 0,0 0,0 0,0 1,0 0,0 0,-1 1,1-1,0 1,-1 0,1 0,-1 0,0 1,0-1,0 1,0 0,4 4,9 10,0 0,0 1,14 21,-13-15,9 10,2 3,63 62,-84-93,0-1,0 1,1-1,17 7,-20-10,5 3</inkml:trace>
  <inkml:trace contextRef="#ctx0" brushRef="#br0" timeOffset="1">21 819,'430'23,"-329"-14,112-5,-199-4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26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18,'18'-1,"31"-5,2 0,-49 5,56-3,73 5,-113 0,-1 1,0 1,-1 0,1 1,0 1,-1 0,0 2,30 15,-45-21,0-1,1 1,-1 0,0 0,1 0,-1 0,0 0,0 0,0 1,0-1,0 0,0 0,0 1,0-1,0 1,-1-1,1 0,-1 1,1 0,-1-1,1 1,-1-1,0 1,0-1,0 1,0 0,0-1,0 1,0-1,-1 1,1 0,0-1,-1 1,1-1,-1 1,0-1,1 0,-1 1,0-1,0 0,0 1,-2 1,-3 5,-1-1,-1 0,1 0,-1 0,-12 7,-19 10,-1-2,-60 23,8-4,87-38,-1-1,1 1,0 1,0-1,-8 8,12-10,0 0,1-1,-1 1,1 0,-1 0,0-1,1 1,-1 0,1 0,0 0,-1 0,1 0,0 0,-1 0,1 0,0 0,0-1,0 1,0 0,0 0,0 0,0 0,0 0,0 0,1 0,-1 0,0 0,1 0,-1 0,0 0,1 0,-1-1,1 1,0 0,-1 0,1-1,0 1,-1 0,1 0,0-1,0 1,-1-1,2 1,3 3,1-1,-1 0,1 0,-1 0,1-1,0 0,0 0,12 2,54 3,-39-5,93 11,88 5,-188-17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26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2177 1,'1'0,"0"0,-1 1,1-1,0 1,0-1,-1 0,1 1,0-1,-1 1,1-1,0 1,-1 0,1-1,-1 1,1 0,-1-1,1 1,-1 0,0 0,1-1,-1 1,0 0,1 0,-1 0,0-1,0 1,0 2,4 26,-4-26,0 10,0 1,-2-1,1 1,-1-1,-1 0,-1 0,0 0,0 0,-1-1,-1 1,0-1,0-1,-12 15,-1 0,-1-2,-1 0,-1-1,-39 30,53-46,0-1,-1 0,0-1,0 0,0 0,0-1,-1-1,-12 4,18-5,-1-2,0 1,0 0,1-1,-1 0,0 0,0 0,0-1,0 0,1 0,-1 0,0 0,1-1,-1 0,1 0,-1 0,1 0,0-1,-5-3,-4-5,0-1,0-1,1 1,1-2,-12-17,18 24,1 1,0-1,1 0,0 0,0-1,0 1,1 0,0-1,0 0,1 1,0-1,0 0,1 0,0-8,1 14,-1-1,1 1,0-1,0 1,0 0,0 0,1-1,-1 1,0 0,1 0,0 0,-1 1,1-1,0 0,0 0,0 1,0 0,0-1,1 1,-1 0,0 0,5-2,6-1,-1 0,1 1,15-1,-15 2,-10 1,15-2,-1 0,35 0,-47 4,1-1,-1 1,1 0,-1 0,0 0,0 1,1-1,-1 2,0-1,-1 0,1 1,0 0,7 6,34 35,20 16,-54-49,0 0,-1 1,0 1,-1 0,-1 0,10 17,-6-9,24 30,-24-37</inkml:trace>
  <inkml:trace contextRef="#ctx0" brushRef="#br0" timeOffset="1">162 189,'0'3,"0"4,0 9,0 9,-3 9,-7 7,-4 6,-4 7,-1 0,-1-3,4-4,1-7,0-10,3-8,3-4,3-8,3-9,2-5</inkml:trace>
  <inkml:trace contextRef="#ctx0" brushRef="#br0" timeOffset="2">121 83,'44'1,"1"3,-1 1,0 2,43 13,57 11,-142-31,0 1,0 0,1 0,-1 0,0 0,0 0,-1 1,1-1,0 1,0-1,0 1,-1-1,1 1,-1 0,0 0,1 0,-1 0,0 0,0 0,0 0,0 0,-1 0,1 0,0 1,-1-1,0 0,1 1,-1-1,0 0,0 0,0 1,-1-1,1 0,-1 3,0 1,0-1,0 1,-1-1,1 1,-1-1,-1 0,1 0,-1 1,0-2,0 1,0 0,-8 7,4-6,0-1,-1 0,0-1,0 0,0 0,0-1,-1 0,1 0,-10 1,8-2,0 1,1 0,-1 0,1 1,0 0,-17 11,19-9,-1 0,0 0,0-1,-1 0,1-1,-1 0,0 0,-1-1,1 0,0 0,-1-1,1-1,-1 0,-18 1,-112-5,125 3</inkml:trace>
  <inkml:trace contextRef="#ctx0" brushRef="#br0" timeOffset="3">801 217,'10'1,"0"1,0 1,0 0,-1 0,1 0,-1 2,0-1,13 9,7 2,181 80,-205-93,-1 1,1-1,0 1,-1 0,0 0,5 4,-8-6,0 0,-1-1,1 1,0 0,0 0,-1 0,1 0,-1 0,1 0,-1 0,1 0,-1 0,1 1,-1-1,0 0,0 0,0 0,0 0,0 0,0 1,0-1,0 0,0 0,0 0,0 0,-1 0,1 0,-1 1,1-1,-1 0,1 0,-1 0,1 0,-2 1,-5 6,-1 0,1-1,-1 0,-1 0,1-1,-1 0,-10 5,-72 33,76-38,-177 64,182-67,0 1,0 0,-16 10,10-3</inkml:trace>
  <inkml:trace contextRef="#ctx0" brushRef="#br0" timeOffset="4">2032 940,'-8'1,"-1"0,1 0,0 1,0 0,0 1,-15 6,-8 3,-6 0,3-3,0 2,1 1,1 2,-41 24,65-32,1 0,0 0,0 1,1 0,-1 0,2 1,-1 0,1 0,0 0,1 1,0-1,-4 13,4-10,1 0,0 0,0 0,1 0,1 0,0 0,1 1,0-1,0 0,3 13,-1-17,0-1,1 0,-1 0,1 0,0 0,1-1,0 1,-1-1,2 0,-1 0,1 0,-1-1,1 1,0-1,1-1,9 7,-4-4,1 0,0 0,0-1,1-1,0 0,-1 0,20 2,-26-6,-1-1,1 1,-1-1,0 0,1 0,-1 0,0-1,0 0,0 0,0 0,0-1,6-3,6-6,29-23,-37 27,-1-1,-1 1,1-1,-2-1,1 0,-1 0,-1 0,0 0,0-1,-1 0,0 0,-1 0,0 0,1-13,1-19,-1 0,-4-59,0 101,0-5,-1-1,1 0,-1 1,-1-1,1 0,-1 1,0-1,-1 1,0 0,0 0,0 0,0 0,-7-7,1 2</inkml:trace>
  <inkml:trace contextRef="#ctx0" brushRef="#br0" timeOffset="5">2063 1355,'0'3,"0"4,0 4,0 6,0 3,0 4,0 1,-3 3,-1-2,0-1,1-2,1-2,1-2,0-3</inkml:trace>
  <inkml:trace contextRef="#ctx0" brushRef="#br0" timeOffset="6">2445 1137,'-1'4,"1"-1,-1 1,0-1,0 1,0-1,0 1,-1-1,1 0,-1 0,-2 4,-10 22,11-17,1 0,0 0,1 0,0 0,1 1,1-1,0 0,3 19,-3-26,1 1,-1-1,1 0,0 1,0-1,0 0,1 0,0 0,0-1,0 1,0-1,1 1,0-1,0 0,0-1,0 1,0-1,1 1,0-1,9 4,-6-5,1 0,0 0,1-1,-1 0,0-1,0 0,0 0,0-1,1 0,-1-1,0 0,-1 0,1-1,0 0,-1-1,15-8,-17 7,0 0,-1-1,1 1,-1-1,-1-1,1 1,3-8,25-51,-26 52,-2-1,0 0,0 0,-1 0,2-15,-6 23,1 1,-1 0,0 0,0 0,-1 0,1 0,-1 0,0 0,-1 0,1 0,-1 0,0 1,0-1,0 1,-1-1,0 1,0 0,-4-5,-11-13,12 14,0 1,-1-1,0 1,-13-10,8 9</inkml:trace>
  <inkml:trace contextRef="#ctx0" brushRef="#br0" timeOffset="7">3024 894,'-1'4,"0"0,0 0,0 0,0 0,0 0,-1 0,-4 7,-1 5,-2 8,0 0,0 1,2 0,-5 29,12-53,0 1,-1-1,1 1,0-1,0 1,0 0,0-1,0 1,1-1,-1 1,0-1,1 1,-1-1,1 1,0-1,-1 0,1 1,0-1,0 0,0 1,0-1,0 0,0 0,0 0,0 0,0 0,1 0,-1 0,0-1,1 1,-1 0,0-1,4 2,3 0,1-1,-1 0,1 0,0-1,10 0,21 1,-35 0,0 1,0 0,0 0,0 0,0 0,-1 1,1 0,-1 0,0 0,0 0,0 1,0 0,0 0,-1 0,0 0,0 0,0 1,0-1,2 7,5 11,-1 0,11 45,-19-63,3 7,-2 1,1-1,-2 1,1 15,-1-25,-1 0,0 0,0 0,0 0,-1 0,1 0,0 0,-1 0,1 0,-1 0,0 0,0 0,1 0,-1 0,0-1,-1 1,1 0,0-1,0 1,-1-1,1 1,-1-1,1 0,-1 0,0 1,1-1,-1 0,0-1,0 1,0 0,0 0,-3 0,-1 0,-1 0,1-1,-1 1,0-1,1-1,-1 1,0-1,1 0,-1-1,1 0,-1 0,1 0,0-1,0 0,0 0,0 0,1-1,-1 0,1 0,0 0,0-1,-5-6,-4-4</inkml:trace>
  <inkml:trace contextRef="#ctx0" brushRef="#br0" timeOffset="8">2954 724,'352'0,"-336"0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28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1609 55,'21'1,"0"2,0 0,0 1,34 11,-26-7,38 7,-53-14,-5 0,0 0,0 1,0 0,-1 0,10 4,-16-5,-1 0,1 0,0 0,-1 0,1 0,-1 0,1 0,-1 0,1 1,-1-1,0 1,0-1,0 1,1-1,-2 1,1 0,0 0,0-1,-1 1,1 0,-1 0,1 0,-1-1,0 1,0 0,1 0,-2 0,1 2,-2 10,-1 0,-1 0,0-1,-1 0,0 0,-1 0,-1 0,0-1,-1 0,0 0,-15 16,12-18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289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0 2,'4'0,"0"1,-1-1,2 1,-2 0,1 0,-1 1,1-1,-1 1,0-1,5 3,33 27,-18-15,13 8,1-3,1-1,1-2,0 0,2-4,80 20,-113-32,-1 0,1 0,0 0,-1 1,0 0,8 5,-14-7,0-1,0 1,0 0,0 0,0 0,0 0,0 0,0 0,0 0,0 0,0 0,0 1,-1-1,1 0,-1 1,1-1,-1 0,2 1,-2-1,0 0,1 1,-1-1,0 0,0 1,0-1,0 1,0-1,0 0,-1 1,1-1,0 0,-2 1,2-1,-1 0,1 0,-1 1,0-1,1 0,-1 0,0 0,-2 2,-4 5,-1-1,0 0,-1-1,1 0,-2 0,2-1,-2 1,-15 4,-8 6,-23 13,-134 63,161-80</inkml:trace>
  <inkml:trace contextRef="#ctx0" brushRef="#br0" timeOffset="1">991 15,'-34'35,"6"-6,0-1,-26 40,35-38,-1 1,-24 54,38-69,0-1,1 1,1 0,1 0,-1 0,1 1,1 33,2-46,0-1,1 1,-1 0,1-1,0 1,0-1,0 1,2 0,-2 0,1-1,0 0,0 0,0 1,0-2,1 1,4 5,-2-4,1-1,-2 0,1 1,0-1,1 0,0-1,0 0,-1 0,1 0,6 0,1 0,0-1,1 0,-1 0,1-2,-1 0,1 0,-1-1,0 0,16-6,-18 3,0-1,1 0,-2 0,1-1,-1 0,0 0,0-2,-1 0,0 1,0-1,-2-1,1-1,-1 1,0 0,8-20,-11 15,-1 0,-1-1,0 1,0 0,-1-1,-1 1,-4-19,2-6,2 15,1 7,-1 2,-1-1,-5-24,5 37,1 0,-1 0,0 1,0 0,-1 0,1 0,-1 0,1 0,-1 0,0 0,0 0,0 0,-2 1,2-1,-1 1,1-1,-1 1,0 0,0 0,0 0,0 0,-5-1,-5 0</inkml:trace>
  <inkml:trace contextRef="#ctx0" brushRef="#br0" timeOffset="2">1152 460,'0'6,"0"6,0 2,0 6,-3 7,-5 6,-3 5,-3-6,0-3,4-4,1-7</inkml:trace>
  <inkml:trace contextRef="#ctx0" brushRef="#br0" timeOffset="3">1542 32,'-1'8,"0"0,0 0,-1 0,-1 1,1-2,-1 1,0-1,-7 12,5-10,1 0,0 1,0 0,-3 17,3-2,1-1,2 1,1-1,1 1,1-1,2 1,7 32,-7-38,2-1,0 0,3 1,-1-2,0 1,3-2,-1 0,1 1,24 25,-29-38,-1 1,1-1,0 0,1 0,-1 0,0-1,1 0,0-1,0 1,0-1,0 1,1-2,-1 0,0 0,8 0,8 0,2-2,-1-1,30-6,-41 6,0-1,-1 0,1 0,-2-2,1 1,0-1,21-15,-27 17,-1-1,1-1,-1 1,0-1,-1 0,1 0,-1 0,1-2,-2 2,1-1,-1 0,0 0,-1 0,1 0,-1-2,2-8,4-26,2-79,-10 103,-1-1,0-1,-2 1,0 0,-1 0,-10-26,11 38,-2 0,1 0,-1 1,-1 0,1 0,0 1,-1-1,0 1,-1 1,1-2,-10-4,-9-6,15 9,1 1,0 0,-2 0,2 1,-1 1,-2 0,2 0,0 1,-2 0,1 1,-1 0,2 1,-1 0,-20 2,11-1</inkml:trace>
  <inkml:trace contextRef="#ctx0" brushRef="#br0" timeOffset="4">2515 96,'-1'4,"1"0,-1 0,0-1,-1 2,1-1,-1-1,1 0,-1 1,-1-1,-1 3,1-3,2 0,-1 0,0 0,0 1,1 0,0-1,0 1,0-1,-1 4,2-6,1 1,-1-1,0 1,1-1,-1 0,1 1,-1-1,1 0,0 1,-1-1,1 0,0 0,0 0,0 0,0 0,0 0,0 0,0 0,0 0,0 0,1 1,-1-2,0 1,1-1,0 1,-1-1,3 1,143 47,-108-38,2 2,-3 2,1 2,50 28,-86-42,0 0,0 0,0 0,-1 1,1-1,-1 1,0-1,0 1,0 0,0 0,-1-1,1 2,-1 0,0-1,0 0,0 0,0 0,1 4,-1 3,0 1,-1-1,0 0,-4 19,2-24,1 0,-1 0,0 0,0 0,0 0,-1-1,0 2,1-2,-2 0,1 1,-8 5,0 1,-2 1,-22 14,15-14,0 0,-1-1,0-2,0 0,-1 0,-1-2,0-1,0-1,1-1,-1-1,-1-1,-37-2,59 0,0 0,-1 0,1 0,-1-1,0 0,1 1,-1-1,1 0,0 0,0 0,0 0,0 0,0-1,0 1,0-1,0 1,0-1,-1 0,2 1,-1-1,1 0,0 0,-1 0,1-1,0 0,0 1,-1-4,-2-11</inkml:trace>
  <inkml:trace contextRef="#ctx0" brushRef="#br0" timeOffset="5">2504 39,'3'0,"4"0,4 0,7-3,6-1,5 0,7-4,10 2,3 1,-3 1,-7 2,-1 0,-2 2,-6 0,-5 0,-3 0,-5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2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1 461,'1'-1,"1"0,-1-1,1 1,-1 0,1 0,-1-1,0 1,0-1,0 1,0-1,0 0,0 1,0 0,-1-1,2 1,-1-3,1-1,75-176,-36 81,13-41,-49 134,-2 14,-2 20,-1-22,-1 61,-2-22,8 58,-4-90,0-1,2 1,-1-1,1 0,1 0,0 0,1 0,0-1,1 0,8 11,-7-12,1-1,1 0,0 0,0-1,0 0,1 0,0-1,0-1,1 1,0-1,0-1,0 0,1 0,12 1,-18-4,-2-1,0 0,1 0,-1-1,1 1,-1-1,0 0,1 0,0-1,-1 1,0-1,0 0,0 0,0 0,0-1,-1 1,1-1,0 0,3-4,6-6,0-1,0-1,12-20,-2 2,-10 17</inkml:trace>
  <inkml:trace contextRef="#ctx0" brushRef="#br0" timeOffset="1">1089 100,'0'4,"-3"85,1-77,0-1,0 1,-1-2,-1 1,-8 19,-12 13,10-18,1 1,-13 35,23-54,1 0,0 0,1 1,-1 0,2 0,-1-2,1 2,0 0,1 0,0 0,0 0,0-2,4 12,-3-15,-1-1,0 0,0 1,1-1,0 0,-1 0,1 0,0 0,0-2,0 2,1 0,-1-1,0 1,1-1,-1 0,0 0,1 0,-1 0,1 0,-1 0,1-1,4 1,8 1,-1-2,1 1,15-3,-7 1,-1 1,-8 0,0 0,2-1,-2 0,1-2,-1 1,22-7,-34 8,0 0,0 1,-1-1,1 0,0-1,-1 1,1 0,-1 0,0-1,2 1,-2-1,0 1,0-1,0 0,0 1,0-1,0 0,0 0,0-3,0 1,0-1,0 2,-1-2,0 0,0 0,-1-8,-3-8</inkml:trace>
  <inkml:trace contextRef="#ctx0" brushRef="#br0" timeOffset="2">1146 293,'4'0,"3"0,4 0,3 0,6 0,3 0,-4 0</inkml:trace>
  <inkml:trace contextRef="#ctx0" brushRef="#br0" timeOffset="3">1103 86,'3'0,"8"0,3 0,5 0,0 0,2 0,-5 0</inkml:trace>
  <inkml:trace contextRef="#ctx0" brushRef="#br0" timeOffset="4">1445 86,'24'2,"1"0,0 1,24 8,-18-6,34 5,-55-10,-1 1,0 0,2 1,-2 0,0 1,1 0,16 8,-23-9,1 0,0 0,-1 0,1 1,-1 0,0 0,-1 0,1 1,-1-1,1 1,-1-1,0 1,0 0,-1 0,1-1,-1 1,1 0,-1 0,0 0,0 6,0-4,0 1,-1-2,0 2,0-1,-1 1,0-1,0 1,-1-1,0-1,0 2,-5 9,1-5,0-2,-1 1,-2 0,2 0,-14 10,-88 75,32-32,76-62,-2 1,1-1,0 1,1 0,-1 0,1 0,-1 0,1 0,0 0,0 0,0 0,0 1,0-1,0 0,0 4,1-5,1 0,-1 1,0-2,1 2,-1-1,1 0,-1 0,1 1,0-1,-1 0,1 0,0 0,0 0,0 0,0 0,0 0,0 0,0 0,0 0,1 0,-1-1,0 1,0 0,2-1,-2 1,0-1,3 1,9 3,0-1,2 0,-2 0,2-2,-1 1,19-2,5-2,42-7,-42 2,-6 0</inkml:trace>
  <inkml:trace contextRef="#ctx0" brushRef="#br0" timeOffset="5">2069 540,'2'-1,"-1"0,1-1,-1 0,1 1,-1-1,1 0,-1 0,0 1,0-1,0 0,0 0,0 0,0-3,2-3,123-252,-89 177,-37 82,0 1,0 0,0-1,1 1,-1-1,0 1,0-1,0 1,0 0,1-1,-1 1,0 0,0-1,1 1,-1 0,0-1,1 1,-1 0,0-1,1 1,-1 0,1 0,-1 0,0-1,1 1,-1 0,1 0,-1 0,1 0,-1 0,0 0,1 0,-1 0,1 0,-1 0,1 0,-1 0,1 0,-1 0,0 0,1 0,-1 0,1 1,-1-1,0 0,1 0,-1 0,1 1,-1-1,0 0,1 1,-1-1,0 0,0 1,1-1,-1 0,0 1,0-1,1 0,-1 1,0 0,14 29,-13-28,86 210,-65-160,23 91,-33-97,-4-30,-5-12,-3-11,-3-4</inkml:trace>
  <inkml:trace contextRef="#ctx0" brushRef="#br0" timeOffset="6">2111 533,'3'0,"4"0,5 0,8 0,5 0,7 0,1 0,2 0,0 0,1-3,6-2,2-6,-5-3,-11 1</inkml:trace>
  <inkml:trace contextRef="#ctx0" brushRef="#br0" timeOffset="7">2968 190,'0'2,"0"5,0 10,0 9,-4 14,-2 11,-5 3,-10-2,0-7,2-8,5-8,5-6,3-5</inkml:trace>
  <inkml:trace contextRef="#ctx0" brushRef="#br0" timeOffset="8">2907 179,'34'0,"-1"2,51 7,-49-6,1-1,-1-1,1-1,0-3,42-6,-15 2,-29 3,84-6,-116 10,0 0,1 0,-1 0,0 0,0 0,0 1,0-1,0 1,1-1,-1 1,0 0,0 0,0 0,4 2,-5-2,0 1,0-1,-1 0,1 0,0 0,0 1,-1-1,1 0,-1 1,1-1,-1 1,0-1,1 0,-1 0,0 1,0-1,0 1,0-1,0 0,-1 1,1-1,-1 3,-4 11,0-2,-1 1,-2-1,1 0,-1-1,-1 1,-14 14,-7 13,4-2,-41 61,54-78</inkml:trace>
  <inkml:trace contextRef="#ctx0" brushRef="#br0" timeOffset="9">3761 175,'3'0,"3"3,-3 4,1 9,-2 6,-1 3,0 11,-1 4,0-1,0-1,-3 0,-1-2,0-4,-4-9,2-4,1-2,1-6</inkml:trace>
  <inkml:trace contextRef="#ctx0" brushRef="#br0" timeOffset="10">4285 216,'-15'26,"-89"193,72-147,19-49,3 0,-9 26,19-48,-1 0,1 1,-1-1,1 0,0 0,0 1,0-1,-1 0,1 1,0-1,1 0,-1 1,0-1,0 0,1 0,-1 1,0-1,1 0,-1 0,1-1,0 1,-1 1,2-1,-1 0,0 0,0 0,-1 0,1-1,0 1,0 0,1 0,-1 0,0-1,0 1,0-1,0 1,0-1,1 1,-1-1,0 0,0 1,3-1,6 1,2 0,-2-1,1 0,16-3,-6 1,28-3,-29 1</inkml:trace>
  <inkml:trace contextRef="#ctx0" brushRef="#br0" timeOffset="11">4194 454,'3'0,"5"0,3 0,3 0,3 0,0 0,2 0,0 0,0 0,-4 0</inkml:trace>
  <inkml:trace contextRef="#ctx0" brushRef="#br0" timeOffset="12">4245 190,'3'0,"4"0,7 2,5 5,1 1,4 1,1 1,2-4,6-1,-2-2</inkml:trace>
  <inkml:trace contextRef="#ctx0" brushRef="#br0" timeOffset="13">4694 202,'167'-1,"175"3,-274 7,-42-5,-10-2</inkml:trace>
  <inkml:trace contextRef="#ctx0" brushRef="#br0" timeOffset="14">5111 293,'0'3,"-3"4,-1 3,-3 3,-6 9,-5 6,-11 12,-4 6,-1 2,-3 3,0-4,2-3,5-8,7-9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3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99 1,'0'564,"-3"-517,-1-1,-15 65,13-81,-5 13,7-29</inkml:trace>
  <inkml:trace contextRef="#ctx0" brushRef="#br0" timeOffset="1">423 120,'-2'38,"-2"0,-1-1,-18 62,11-50,-8 62,11-3,-19 123,7-97,20-114</inkml:trace>
  <inkml:trace contextRef="#ctx0" brushRef="#br0" timeOffset="2">0 646,'3'0,"4"0,4 0,2 0,3 0,5 0,1 0,6 0,2 0,-2 0,-3 0,-5 0</inkml:trace>
  <inkml:trace contextRef="#ctx0" brushRef="#br0" timeOffset="3">858 572,'-6'0,"1"1,0 0,0 0,-1 1,1 0,0 0,0 0,1 0,-1 1,0-1,1 1,-1 1,1-1,0 1,0-1,1 1,-1 0,1 0,-1 1,-1 4,-4 4,2 0,-1 0,2 1,0 0,-8 29,11-31,-5 16,2 1,-5 57,10-79,1 0,0-1,0 1,1 0,-1 0,2 0,-1-1,1 1,0-1,0 1,1-1,0 0,0 0,0 0,1 0,0 0,0-1,8 9,-9-12,0 1,1 0,-1-1,0 0,1 1,0-2,0 1,-1 0,1-1,0 1,0-1,1 0,-1-1,0 1,0-1,0 1,0-1,1-1,-1 1,0 0,5-2,-1-1,0 0,-1 0,1-1,0 0,-1 0,0 0,0-1,0 0,9-10,-12 12,97-97,-84 82,-1 0,-1-1,22-40,-35 56,0-1,0 1,-1-1,0 0,1 1,-1-1,0 0,-1 0,1 0,-1 0,0 0,0 0,0 0,0 0,-1 0,0 0,-1-5,0 4,-1 0,1 0,-1 0,0 0,0 1,-1-1,1 1,-1 0,0 0,0 0,-6-3,-6-4,-1 1,-1 0,0 1,0 1,-35-10,37 14,0 0,-18-2,14 4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3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367 1,'-5'7,"-2"1,2 0,0 0,1 1,-5 11,-5 9,-122 186,103-171,-2-2,-66 62,88-92</inkml:trace>
  <inkml:trace contextRef="#ctx0" brushRef="#br0" timeOffset="1">587 65,'0'3,"0"4,0 7,0 7,-3 5,-1 5,-6 6,-4 3,-1 3,1-2,-1-3,1-8</inkml:trace>
  <inkml:trace contextRef="#ctx0" brushRef="#br0" timeOffset="2">516 65,'3'1,"0"0,0 0,1 1,-1-1,0 1,0 0,0 0,0 0,2 3,3 0,0-1,0 1,-1-1,1-1,1 0,0 0,0 0,-1-1,1-1,-1 1,13-1,10 0,49-5,-57 3,95-12,-60 6,72-1,-125 8,0 1,0-1,0 1,0 0,1 0,-1 0,0 1,0-1,0 1,0 0,-1 1,8 4,-9-4,1-1,-2 1,0-1,1 1,-1 0,0 0,0 0,0-1,-1 1,1 0,-1 0,0 1,0-1,0 1,0-1,0 0,-1 1,1 6,-2 4,0 1,0-1,-2 0,0 0,0 0,-1-1,-1 1,-1-1,-8 16,-11 15,-38 49,49-74,-1 4</inkml:trace>
  <inkml:trace contextRef="#ctx0" brushRef="#br0" timeOffset="3">1102 486,'2'0,"1"0,0-1,0 1,-1-1,1 0,-1 0,1 0,-1 0,1 0,-1 0,2-1,-2 1,0-1,0 0,0 0,0 1,3-5,3-4,-1 0,11-18,-9 13,0 2,67-101,-63 96,1 2,0 0,2 0,23-17,-38 32,1-1,-1 1,0 0,1 0,-1 0,1 0,-1 1,1-1,-1 0,1 1,0-1,-1 1,1-1,0 1,-1 0,1 0,0 0,0 0,-1 0,1 0,0 0,-1 0,3 1,-2 1,0-1,2 1,-2-1,0 1,0 0,-1 0,1 0,0 0,-1 0,1 1,-1-1,1 0,-1 1,1 4,11 28,-2 0,-1 1,6 46,-7-35,-9-45,2 8,0 0,0 0,-1 0,-1 21,-4-12</inkml:trace>
  <inkml:trace contextRef="#ctx0" brushRef="#br0" timeOffset="4">1224 405,'0'-1,"0"0,1 1,-1-1,0 1,0-1,1 0,-1 1,0-1,2 1,-2-1,1 1,-1-1,0 1,1-1,-1 1,1-1,-1 1,1 0,0-1,-1 1,1 0,-1 0,1 0,0 0,-1 0,1 0,1 0,20-4,-20 4,67-4,-46 4,1-2,-1 0,1-1,29-9,-43 9,0-2,0 1,1-1,16-11,-9 3</inkml:trace>
  <inkml:trace contextRef="#ctx0" brushRef="#br0" timeOffset="5">1902 93,'0'3,"0"4,0 4,0 6,0 5,-7 9,-4 5,-3 5,-3 5,-2 1,0-9,2-10</inkml:trace>
  <inkml:trace contextRef="#ctx0" brushRef="#br0" timeOffset="6">1873 163,'14'-1,"0"-1,-1 0,1-1,-1-1,23-8,26-6,6 6,-2 3,2 3,126 4,-185 2,1 1,-1 0,1 0,0 1,13 4,-21-5,0 0,1 0,-1 0,0 0,1 1,-1-1,0 1,1 0,-1-1,0 1,-1 0,1 0,0 0,-1 1,1-1,-1 0,0-1,0 2,0-1,0 1,0-1,0 1,-1-1,1 5,1 19,-2-1,0 1,-2 0,0-1,-2 1,-1-1,-1 0,-2-1,-1 0,0 0,-1-1,-15 24,15-30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4:39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57 48,'-5'96,"-18"103,-4 43,25-182,8-96,2-52,-7 75,3-30</inkml:trace>
  <inkml:trace contextRef="#ctx0" brushRef="#br0" timeOffset="1">107 0,'61'3,"-1"3,62 13,-58-8,-58-11,0 2,1-1,-1 1,0-1,0 1,0 0,8 5,-12-6,0 0,0 1,-1-1,1 1,0-1,-1 1,0 0,1 0,-1-1,0 1,0 0,0 0,0 0,0 0,-1 0,2 1,-2-1,1 0,-1 0,0 0,0 1,1-1,-2 0,1 4,-1 0,-2 0,2 0,-1 0,0 0,-1-2,0 2,1-1,-2 0,1 1,0-1,-1-1,-1 1,1-1,-1 1,1-1,-1 0,0-1,0 1,-1-1,-5 3,-8 3,0 0,-1-2,1 0,-36 7,-154 22,177-31</inkml:trace>
  <inkml:trace contextRef="#ctx0" brushRef="#br0" timeOffset="2">818 105,'-1'4,"1"0,-1 1,-1-1,1 0,0 0,-2 0,-3 6,-2 6,-99 226,22-53,74-169,4-13,7-7,0 0,-1 0,1 0,0 0,0 0,0 0,0 0,-1 0,1 0,0 0,0 0,0 0,0-1,0 1,-1 0,1 0,0 0,0 0,0 0,0 0,0-1,0 1,-1 0,1 0,0 0,0 0,0-1,0 1,0 0,0 0,0 0,0-1,0 1,0 0,0 0,0 0,0 0,0-1,0 1,0 0,0 0,1-18,2-3</inkml:trace>
  <inkml:trace contextRef="#ctx0" brushRef="#br0" timeOffset="3">847 22,'41'-7,"-8"0,-13 5,59-3,-73 5,0 0,2 1,-2 0,0 0,0 0,0 1,1 0,-1 0,9 5,-11-4,1 0,-2 0,0 1,0-1,0 1,0 0,0 0,-1-1,1 1,-1 0,0 0,0 1,0-1,-1 1,0 0,0-1,1 7,-1 0,0 0,-1-1,0 0,0 1,-1 0,-3 15,2-20,0 0,-1 0,1 0,-1 0,0 0,0-1,0 0,-1 0,0 0,0 0,-1-1,-7 8,4-6,0 0,-1-1,0 0,1-1,-2 0,1 0,-15 4,-6-2,1 0,-1-3,-1-1,-42-1,25-2,30 0,0 1,0 0,-28 3,45-3,1 0,-1 0,0 0,0 0,1 0,-1 0,-1 1,1-1,1 0,-1 1,0-1,1 0,-1 1,0-1,1 1,-1-1,1 1,-1-1,1 1,-1 0,0 1,1-2,0 1,0 0,0-1,0 1,0 0,0-1,0 1,0 0,0-1,1 1,-1 0,0-1,0 1,1-1,-1 1,0 0,1-1,-1 1,1 0,30 24,-29-24,56 35,2-3,2-2,104 36,-150-61,0-1,0-1,0 0,1 0,-1-2,28 1,-26-3</inkml:trace>
  <inkml:trace contextRef="#ctx0" brushRef="#br0" timeOffset="4">1538 196,'0'3,"0"4,0 7,0 6,0 7,0 7,-3 6,-4 3,-4 0,-3-1,-2-3,-3-4,4-5,0-6,3-5</inkml:trace>
  <inkml:trace contextRef="#ctx0" brushRef="#br0" timeOffset="5">1805 321,'86'1,"92"-2,-168 0,1-1,-1 0,0 0,1-1,-2 0,20-10,-1 2,-28 10,1 1,0 0,0-1,0 1,-1 0,1 0,0 0,0-1,0 1,0 0,0 0,0 0,-1 0,1 1,0-1,0 0,0 0,0 0,0 1,-1-1,1 0,0 1,0-1,-1 1,1-1,0 1,0 0,2 1,-2 0,0 0,0 0,1 0,-2 0,1 0,0 0,0 0,0 0,0 4,0 6,1 1,-2 26,-1-36,-1 27,-1-2,-2 2,-2-1,-1-1,-18 46,8-31,-3-1,-50 75,63-106,-1 0,1-1,-1 0,0 0,-2-1,1-1,-18 12,23-17,-1 1,-1-1,1 0,0-1,-1 0,1 0,-1 0,0-1,0 1,1-2,-1 1,-1-1,2 0,-1 0,0-1,-12-2,8 0,0-1,0 0,1-1,-1 0,1-1,1 0,-2-1,3 2,-1-3,1 1,-1-1,-11-16,-1-2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6:11.9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6:12.4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7,'0'-3,"0"-1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33:38.20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286 232,'-9'-7,"0"1,0 0,-1 1,0 0,0 0,0 1,0 1,-1-1,0 2,1 0,-18-2,24 3,0 1,1 0,-1 0,0 0,0 0,0 0,1 1,-1 0,0 0,1 0,-5 2,6-2,0 0,0 0,0 1,1-1,-1 1,1-1,-1 1,1 0,-1 0,1-1,0 1,0 0,0 0,0 0,0 0,1 0,-1 1,0-1,1 0,0 0,-1 3,0 15,1-1,1 1,0-1,1 0,1 0,1 0,1 0,14 35,8 8,40 71,-31-70,35 68,-68-125,-1 0,0 0,0 1,0-1,0 1,0 6,-2-11,0-1,0 1,0-1,0 1,0-1,0 1,0-1,0 1,0-1,-1 1,1-1,-1 1,1-1,-1 1,0-1,1 0,-1 1,0-1,0 0,0 0,0 1,0-1,0 0,0 0,-1 0,1 0,0 0,0-1,-1 1,1 0,-3 0,-11 2,0-1,0 0,0-1,0-1,0-1,0 0,0-1,1 0,-1-1,0-1,-20-8,29 10,0 0,1-1,-1 1,0-1,1-1,0 1,0-1,0 0,0 0,0-1,1 1,0-1,0 0,0 0,1-1,-1 1,1-1,1 1,-1-1,1 0,0 0,0 0,1-1,-1 1,1 0,1 0,-1-8,1 7,0-7,1 0,0 0,0 0,5-15,-5 25,0 0,1 0,-1 1,1-1,0 0,0 1,0-1,1 1,-1 0,1 0,0 0,0 0,0 0,0 0,0 1,1-1,-1 1,6-2,63-26,-49 21,-1 0,0-2,0 0,28-20,-30 16,-9 7,0 0,0-1,12-14,-20 20,0-1,0 0,0 0,-1 0,0 0,0-1,0 1,0 0,-1-1,0 0,1 1,-2-1,2-8,-5-182,2 187,-1 0,0 0,0 0,0 0,-1 1,0-1,-1 1,0 0,0 0,0 0,-1 1,0 0,0 0,-1 0,-9-8,8 7,-1 1,0 1,0-1,-1 1,1 1,-1 0,0 0,0 0,-1 1,1 1,-1 0,-13-2,8 3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33:43.47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257 47,'-6'0,"0"1,0 0,0 0,-1 1,2-1,-1 1,1 2,-1-2,0 1,1-1,-1 2,1-1,-4 5,-10 8,-32 35,41-40,2-3,1 2,0 0,0 0,1 0,1 1,-1-1,-4 16,-1 10,-7 36,13-48,5-20,-1 1,0 0,1-1,0 0,0 1,0 0,1-1,-1 1,1-1,0 0,0 1,1-1,1 6,2-3,-1-1,0 1,0-1,1 1,0-2,0 1,8 6,7 4,2-1,0 0,36 16,-57-30,11 6,0-2,1 0,1-1,-2 0,2 0,0-1,-1-1,1-1,0 0,-1 0,1-2,20-2,-29 2,1 0,0-1,-1-1,0 1,0-1,1 1,-1-1,-1 0,1 0,0-1,0 0,-1 0,7-8,-2 1,0 1,-2-1,0 0,11-23,-13 21,0 0,-2 1,1-2,-2 0,0 1,1-22,-3 2,-5-51,3 74,0 2,0-1,-1-1,0 2,-2-2,1 2,0 0,-8-10,-47-61,57 76,-1-1,-1-1,1 1,-2-1,1 1,0 1,0-1,0 1,-2 0,2 0,-9-5,0 4</inkml:trace>
  <inkml:trace contextRef="#ctx0" brushRef="#br0" timeOffset="1780">1138 40,'0'1,"0"-1,1 0,-1 0,0 0,0 0,1 0,-1 0,0 0,0 0,1 0,-1 0,0 0,0 0,0 0,1 0,-1 0,0 0,0-1,1 1,-1 0,0 0,0 0,0 0,1 0,-1 0,0-1,0 1,0 0,0 0,1 0,-1-1,0 1,0 0,0 0,0 0,0-1,0 1,-5-10,-16-4,8 10,-1 1,1 1,-1 0,1 1,0 0,-1 1,-22 3,34-3,0 0,1 0,-1 1,0-1,1 0,-2 1,2-1,-1 1,0 0,1-1,-1 1,1 0,0 0,-1 1,1-1,0 0,-1 0,1 0,-1 1,1-1,0 0,0 1,0-1,0 1,1-1,-1 1,0-1,1 1,-1-1,1 2,0-1,-1-1,1 1,0 0,0-1,0 1,0 0,0-1,1 3,-1 1,1-2,0 1,0-1,0 1,1-1,-1 2,2-2,-1 0,0 0,0 0,0 0,0 0,1 0,-1 1,1-2,1 1,2 1,0 0,2-1,-2 1,1-1,1-1,-1 0,0 0,1 0,-1-1,1 0,-1-1,1 0,0 0,-1 0,13-3,-10 2,-1-2,1 1,-2-1,1-2,0 1,0 0,0 0,-2-1,2-1,13-11,-17 11,0 2,1-1,-2 0,0-1,0 1,0-1,1 1,-2-2,3-6,-6 12,1 1,-1-1,0 0,0 0,1 1,-1-1,0 0,1-1,-1 2,1-1,-1 0,1 1,0-1,-1 1,1-1,-1 0,2 1,-1 0,1-2,-2 3,1-1,-1 0,0 0,1 0,-1 0,1 0,-1 0,1 0,-1 1,1-1,-1 0,0 0,1 1,-1-1,0 0,1 0,-1 1,0-1,1 0,-1 1,0-1,1 1,-1-1,0 1,2 4,0-1,0-1,0 1,0 0,-1 2,1 3,3 37,-3 74,3 26,24 93,-28-222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34:01.345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53 557,'0'3,"0"4,0 4,0 3,0 2,-3 5,-1 4,-3 1,0 2,-2 0,1-3,1-8,3-13,1-7</inkml:trace>
  <inkml:trace contextRef="#ctx0" brushRef="#br0" timeOffset="511.65">272 0,'-4'8,"-25"46,2 2,-30 89,55-140,1-1,0 1,0-1,1 1,-1-1,1 1,0-1,0 1,1-1,-1 1,1 0,0-1,0 0,1 1,-1-1,1 0,0 0,0 0,0 0,1 0,0 0,-1 0,1-1,0 0,1 1,-1-1,1 0,-1 0,8 3,-1 2,1-2,0 1,1-1,0-1,0 0,0-1,0 0,0-1,1 0,0-1,0-1,-1 0,19-1,-12 0</inkml:trace>
  <inkml:trace contextRef="#ctx0" brushRef="#br0" timeOffset="926.72">382 198,'-7'28,"0"-5,-1 90,1 1,5-104,0 0,1 0,0 0,1 13,0-21,0 1,0-1,0 0,1 0,-1 0,1 0,-1 0,1 0,0 0,0 0,0 0,0 0,0-1,0 1,1 0,-1-1,0 1,1-1,-1 1,1-1,2 2,7 2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34:00.133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228 298,'-66'78,"5"-22,41-39,1 0,-25 29,42-43,0-1,0 0,1 1,-1 0,0-1,1 1,0 0,0 0,0 0,0 0,-1 6,2-8,0 0,0 0,1 1,-1-1,0 0,1 0,-1 0,1 0,-1 1,1-1,-1 0,1 0,0 0,0 0,-1 0,1 0,0 0,0-1,0 1,0 0,0 0,0-1,0 1,0 0,1-1,-1 1,0-1,0 0,0 1,3-1,31 8,1-1,0-2,40 0,7 1,-6-1,-50-5,0 2,30 5,-41-3</inkml:trace>
  <inkml:trace contextRef="#ctx0" brushRef="#br0" timeOffset="842.99">1149 68,'-12'1,"-1"0,1 1,0 0,0 1,0 0,0 1,1 1,-1 0,1 0,-16 11,13-7,0 1,1 0,1 1,0 0,0 1,1 0,-14 21,18-21,0 0,1 0,1 1,0 0,1 0,0 0,1 0,1 1,0-1,0 1,2 0,-1-1,2 1,0 0,1-1,3 15,-3-21,1 0,0-1,0 1,1-1,0 0,0 0,0 0,1-1,-1 0,1 0,1 0,-1 0,1-1,0 1,0-2,8 5,-6-3,0-2,0 1,0-1,0 0,1-1,-1 0,1 0,0-1,-1 0,1 0,0-1,0-1,9 0,-14-1,1 1,-1-1,1 0,-1 0,0 0,0 0,0-1,0 0,-1 0,1 0,-1 0,1 0,3-6,5-7,18-29,-27 39,18-28,-2-1,-1-1,25-73,-40 95,-1 1,0-1,-1 0,0 0,-1 0,-1 0,0 0,-1 1,-1-1,0 0,0 1,-2 0,1 0,-2 0,0 0,-8-12,3 7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33:57.085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159 144,'-1'12,"-1"0,0-1,0 1,-1-1,-1 1,-9 19,8-18,0-1,1 0,0 1,1 0,-3 19,6-26,0 0,0 0,1 0,0-1,0 1,0 0,1 0,-1-1,1 1,1-1,-1 1,1-1,0 0,0 0,1 0,-1 0,1-1,8 8,4 6,-2-1,1 0,25 20,-36-34,0 0,0 0,0 0,0-1,1 1,-1-1,1 0,-1 0,1 0,0-1,0 0,0 0,0 0,0-1,0 1,8-1,-9-1,1-1,-1 1,0 0,0-1,0 0,0 0,-1 0,1-1,0 1,-1-1,0 0,0 0,0 0,0 0,0 0,4-7,3-6,0-2,11-24,-9 16,-9 19,0 0,0 0,0-1,-1 1,0-1,-1 0,0 1,0-1,0 0,-1 0,0 0,-3-14,1 12,-1-1,0 1,-1 0,0 0,0 1,-1-1,-1 1,-9-13,-2 1,-1 1,-2 0,0 2,0 0,-2 2,-38-24,45 31,0 1,-1 1,0 0,-27-8,34 13,0 0,0 0,0 1,-1 1,1-1,0 1,0 1,0 0,0 0,-14 4,8 0</inkml:trace>
  <inkml:trace contextRef="#ctx0" brushRef="#br0" timeOffset="435.97">728 239,'0'3,"0"4,0 7,0 7,0 2,0 2,0-2,0-1,0-2,0-3</inkml:trace>
  <inkml:trace contextRef="#ctx0" brushRef="#br0" timeOffset="1187.99">949 14,'-2'0,"0"1,1-1,-1 1,0-1,1 1,-1 0,0 0,1 0,-1 0,1 0,0 0,-1 0,1 0,0 1,-2 1,-19 26,19-24,-2 4,0-1,1 0,0 1,1 0,0 0,0 0,1 0,0 0,0 0,1 1,1-1,-1 1,1-1,1 0,0 1,1-1,-1 0,6 17,4 5,1 0,2 0,34 56,-17-38,2-1,66 74,-95-118,-1 0,1-1,0 1,0 0,0-1,1 0,-1 0,1 0,6 2,-9-5,0 1,-1-1,1 0,0 0,0 0,0 0,0 0,-1 0,1 0,0-1,0 1,0-1,-1 1,1-1,0 0,-1 0,1 1,0-1,-1 0,1-1,-1 1,0 0,1 0,-1-1,0 1,0 0,0-1,0 1,2-3,5-10,1-1,-2 0,0 0,-1 0,0-1,4-22,15-102,-24 132,0-1,0 1,-1 0,1 0,-2 0,1 0,-1 0,-1-1,1 1,-1 0,-1 1,1-1,-1 0,-1 1,0 0,0-1,0 2,-9-12,-9-7,-1 2,-2 0,0 2,-46-31,62 46</inkml:trace>
  <inkml:trace contextRef="#ctx0" brushRef="#br0" timeOffset="1941">1750 27,'0'4,"-1"-1,1 1,-1-1,0 1,0-1,0 0,-1 0,1 1,-1-1,0 0,-2 3,-25 30,-47 38,75-73,0 0,0 0,0 1,0-1,0 0,0 0,0 1,1-1,-1 0,0 1,1-1,-1 0,1 1,0-1,-1 1,1-1,0 1,0-1,0 1,0 2,1-3,-1 0,1 0,0 1,0-1,-1 0,1 0,0 0,0 0,0 0,0 0,0 0,0-1,0 1,1 0,-1 0,0-1,3 2,6 1,-1 0,1-1,1 0,15 1,-21-3,7 1,0 1,-1 0,0 0,1 1,-1 1,14 6,-23-9,1 0,-1 0,0 1,1-1,-1 1,0 0,0 0,0-1,0 1,0 1,-1-1,1 0,-1 0,1 1,-1-1,0 0,0 1,0 0,0-1,0 1,0-1,-1 1,1 0,-1 0,0-1,0 1,0 0,0 0,-1-1,1 1,-1 0,0 3,-2 1,1-1,-1 1,0-1,-1 1,1-1,-1 0,-9 9,-38 38,34-37,12-10,-1-1,0 0,0 0,-1 0,1-1,-15 8,19-12,0 1,0 0,0-1,0 1,0-1,0 0,-1 1,1-1,0 0,0 0,0-1,0 1,-1 0,1-1,0 1,0-1,0 0,0 0,0 1,0-2,0 1,1 0,-1 0,0 0,0-1,1 1,-1-1,1 1,-3-4,-1-2,0-1,0 0,0 1,1-2,1 1,-6-15,4 3</inkml:trace>
  <inkml:trace contextRef="#ctx0" brushRef="#br0" timeOffset="2346.01">1648 77,'350'0,"-333"0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34:02.982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197 257,'-50'-8,"40"5,-1 1,0 0,-21 0,30 2,-1 0,1 1,-1-1,1 0,-1 1,1 0,-1-1,1 1,0 0,-1 0,1 1,0-1,0 0,0 1,0-1,0 1,0 0,0 0,1 0,-1 0,-2 2,0 5,-1 1,1-1,0 1,1-1,0 1,1 0,0 0,0 11,-1 10,3 42,1-63,0 0,1 0,1 0,-1-1,1 1,1-1,0 0,0 0,1 0,0 0,1-1,-1 0,2 0,9 10,-10-12,0 1,1-2,0 1,0-1,0 0,0 0,1-1,0 0,0 0,0-1,0 0,1-1,-1 0,1 0,0 0,15-1,-20-1,-1 0,1-1,0 0,0 0,-1 0,1-1,-1 1,1-1,-1 0,1 1,-1-2,0 1,0 0,0-1,0 1,-1-1,1 0,-1 0,5-6,1-5,0 0,0-1,6-19,-10 25,6-19,-1-1,-1 1,-2-1,4-31,-5 2,-2-62,-3 115,0 0,-1 0,1 0,-1 0,0 0,0 0,-1 1,1-1,-1 0,0 1,-1-1,1 1,-1 0,0 0,0 0,-7-7,3 5,0 0,0 1,-1 0,1 1,-1 0,-1 0,1 0,-13-3,1 1</inkml:trace>
  <inkml:trace contextRef="#ctx0" brushRef="#br0" timeOffset="1018.4">1068 200,'0'-5,"-1"1,0 0,1-1,-2 1,1 0,0 0,-1 0,0 0,0 0,0 0,0 0,-1 1,0-1,1 1,-1-1,0 1,-1 0,1 0,0 1,-1-1,0 1,-6-4,-9-4,-1 1,-1 1,-27-8,26 9,-31-10,0 3,-76-9,92 18,-1 2,-1 2,1 1,-50 8,78-7,-1 1,0 0,1 1,-16 6,24-8,0 0,0 0,0 0,0 0,0 0,0 1,1-1,-1 0,0 1,1 0,-1-1,1 1,0 0,-1 0,1 0,0-1,0 1,0 0,0 1,1-1,-1 0,0 0,1 0,0 0,-1 1,1-1,0 0,0 4,2 1,-1-1,1 1,0-1,0 0,1 0,0 0,0 0,0 0,1-1,-1 1,1-1,6 6,8 7,37 29,-44-39,7 6,0-2,1 0,0-2,1 0,1-1,-1-1,1-1,39 8,-25-8,1-3,0-1,0-1,58-5,-89 2,0 1,0 0,0-1,0 0,-1 0,1 0,0-1,-1 0,1 1,-1-2,1 1,-1 0,0-1,0 0,0 0,-1 0,1-1,-1 1,1-1,-1 1,0-1,0 0,-1-1,1 1,-1 0,0-1,2-8,-4 13,0 0,0 0,0-1,0 1,0 0,0 0,0 0,0 0,0-1,0 1,0 0,0 0,0 0,0 0,0-1,1 1,-1 0,0 0,0 0,0 0,0-1,0 1,0 0,0 0,0 0,0 0,1 0,-1 0,0 0,0-1,0 1,0 0,0 0,1 0,-1 0,0 0,0 0,0 0,0 0,1 0,-1 0,0 0,0 0,0 0,0 0,1 0,-1 0,0 0,0 0,2 11,-3 19,-29 204,27-198</inkml:trace>
  <inkml:trace contextRef="#ctx0" brushRef="#br0" timeOffset="2027.38">279 242,'-3'0,"-1"-3,-3-1,-3 0,-3 1,-2 1,-2 1,2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44:06.84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188 1,'-6'6,"-5"5,-4 1,-2 4,-1 2,-1 2,4-1,-3 4,2 0,4-1,1-4,-1-5,2-1,3-4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43:55.84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2602 1411,'0'411,"0"-394</inkml:trace>
  <inkml:trace contextRef="#ctx0" brushRef="#br0" timeOffset="606.99">2678 2008,'3'0,"4"0,4 0,4 0,1 0,2 0,1 0,-1 0,1 0,0 0,-4 0</inkml:trace>
  <inkml:trace contextRef="#ctx0" brushRef="#br0" timeOffset="1585.01">2984 1976,'1'-1,"-1"0,0 1,0-1,0 0,1 1,-1-1,0 1,1-1,-1 0,1 1,-1-1,1 1,-1-1,1 1,-1-1,1 1,-1 0,1-1,-1 1,1 0,0-1,-1 1,1 0,0 0,0-1,24-5,-14 4,-5-1,0 0,-1 0,1 0,-1-1,0 1,1-1,-1-1,0 1,4-7,23-17,-31 27,0 1,-1-1,1 0,0 1,0-1,-1 1,1-1,0 1,0 0,0-1,0 1,0 0,-1 0,1-1,0 1,0 0,0 0,0 0,0 0,0 0,0 0,0 0,0 1,0-1,0 0,1 1,-1 0,0 0,0 0,0 0,0 1,0-1,0 0,0 0,0 1,0-1,-1 1,1-1,-1 1,1-1,0 3,1 6,-1 2,1-2,-2 17,0-27,0 19,-2 0,-6 28,4-27,-2 34,6-39</inkml:trace>
  <inkml:trace contextRef="#ctx0" brushRef="#br0" timeOffset="2379.01">3293 2008,'0'3,"0"4,0 3,0 4,0 2,0 2,0 1,0 2,0 2,0-1,0 0,0-2,0-4</inkml:trace>
  <inkml:trace contextRef="#ctx0" brushRef="#br0" timeOffset="3394.09">3308 1871,'4'-4,"-2"1,1 1,-1-1,1 1,0 0,0 0,-1 0,1 0,0 0,0 1,0-1,0 1,0 0,0 0,0 0,1 0,3 0,7-2,-2 1,1 1,0 1,1 0,-1 1,0 1,-1 0,2 1,-2 0,1 1,-1 0,1 0,-1 2,18 10,-28-15,0 0,0 0,0 1,-1-1,1 1,-1 0,1 0,-1-1,0 1,1 0,-1 0,0 0,0 0,-1 0,1 0,0 0,0 4,-1-2,0 0,0 0,0 0,0-1,-1 1,0 0,1-1,-1 0,-1 1,-1 3,-4 7,-1 0,-1-1,0 1,-12 12,12-14,-40 44,28-37</inkml:trace>
  <inkml:trace contextRef="#ctx0" brushRef="#br0" timeOffset="3878.09">3434 2008,'3'0,"4"0,4 0,3 0,3 0,1 0,-3 0</inkml:trace>
  <inkml:trace contextRef="#ctx0" brushRef="#br0" timeOffset="4923.85">3952 1810,'1'1,"-1"-1,0 0,1 1,-1-1,0 0,0 1,0-1,1 1,-1-1,0 0,0 1,0-1,0 1,0-1,0 0,0 1,0-1,0 1,0-1,0 1,0-1,0 0,0 1,0-1,0 1,0-1,-1 0,1 1,0-1,0 0,-1 1,-6 20,6-18,-30 63,-8 24,35-78,1 0,0-1,1 1,0 0,1 0,0 15,2-21,-1 0,0 1,-1-1,0 1,0-1,0 0,0 0,-5 11,5-14,-1-1,0 1,1 0,-1-1,0 0,0 0,0 0,0 0,0 0,-2 0,2-1,-1 1,1-1,-1 1,1-1,-1 0,0 0,0-1,1 1,-1 0,-6 0,4-1,0 1,-1-1,0 0,1 0,0 0,0-1,-1 0,1 0,0 0,0-1,0 1,-7-4,10 3,-1 1,1-1,-1 0,1 0,-1 0,1 0,0-1,0 0,0 0,0 1,1-1,-1 0,1 1,-1-1,1 0,0 0,0 0,0 0,1 0,-1 0,0-6,1-2,-1 0,2 0,-1-1,2 1,-1 0,1 0,1 0,0 1,1-1,0 1,6-13,-7 18,0 0,0 0,0 0,1 1,0 0,0-1,1 1,-1 0,0 1,1-1,0 1,-1 0,2 0,-1 1,0-1,1 1,0 0,-1-1,1 2,-1 0,1 0,0 0,8 0,-7 2,1 0,-1 0,0 1,0 1,0-1,1 1,-2 0,1 0,6 4,-6-3,1 0,1 0,-1-1,0 0,12 2,-19-5,0 0,1 1,-1-1,0 0,0 0,0 0,1 0,-1 0,0 0,1 0,0-1,-1 1,0 0,0-1,0 1,0-1,0 1,0-1,1 1,-1-1,0 0,-1 0,1 1,0-1,0 0,0 0,0 0,-1 0,1 0,0 0,-1 0,1 0,-1 0,1-1,-1 1,0 0,1 0,-1 0,0-1,0 1,0-2,0-6,0-1,0 2,-2-1,-2-14,2 14,-1-8</inkml:trace>
  <inkml:trace contextRef="#ctx0" brushRef="#br0" timeOffset="7714.64">2520 1,'11'195,"14"150,-25-305,1 0,9 41,-2 3,1 7,10 4,-13-63,-3-21,-1-1,0 0,7 16,34 103,-23-75,-2-1,-2 3,8 57,-20-85</inkml:trace>
  <inkml:trace contextRef="#ctx0" brushRef="#br0" timeOffset="8531.65">2335 388,'-3'6,"-1"7,-2 9,-4 6,-1 8,0 3,1 5,-4 2,-3 2,2-3,4-2,3-3,3 2,3-2,1-3,1-6,1-8</inkml:trace>
  <inkml:trace contextRef="#ctx0" brushRef="#br0" timeOffset="9091.75">2382 990,'15'49,"-11"-15,-2-1,-1 39,-1-57,-2 1,1-1,-2 1,0-1,-1 0,-11 27,12-37,1-1,-2 2,1-1,0-1,-2 0,1 0,0 0,0 0,-1-1,1 1,-1-1,0 0,0-1,0 1,0-1,-1 0,1 0,-1 0,1-1,-7 1,-4 1</inkml:trace>
  <inkml:trace contextRef="#ctx0" brushRef="#br0" timeOffset="9465.75">1855 779,'-4'6,"-1"8,-2 5,0 8,1 5,-1 2,0 2,-1 6,-1 0,0 4,1-5,1-1,3-7,-2-7,1-9</inkml:trace>
  <inkml:trace contextRef="#ctx0" brushRef="#br0" timeOffset="9849.78">1426 1204,'-2'3,"-1"0,1 0,0 1,0-1,0 1,1-1,-2 5,-7 14,-115 170,121-187,1 0,-1 0,0 0,-1 0,1-1,-1 0,-1 0,1 0,0-1,0 2,-12 3,6-4,-2 0,1-1,0 0,0-1,-13 1,-6 0</inkml:trace>
  <inkml:trace contextRef="#ctx0" brushRef="#br0" timeOffset="10207.78">818 1247,'-3'0,"-4"6,0 5,-6 4,-5 2,0 4,-2 0,1-3,3 0,0 0,-1 3,-2 0,-2-3,2-4,3-2,-3-3,1-3,2-2</inkml:trace>
  <inkml:trace contextRef="#ctx0" brushRef="#br0" timeOffset="10629.58">243 1233,'-3'3,"-1"5,-3-1,-4 0,-5 1,0 3,-2 2,1 2,0-2,1 1,3 0,-1-2,-2 0,1 1,-4-2,-3 1,3-2</inkml:trace>
  <inkml:trace contextRef="#ctx0" brushRef="#br0" timeOffset="11417.62">55 1247,'0'6,"0"8,0 5,0 1,0 3,-3-5,-1-5</inkml:trace>
  <inkml:trace contextRef="#ctx0" brushRef="#br0" timeOffset="11745.62">794 1247,'0'3,"0"4,0 1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44:11.83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55,'3'0,"-1"-1,1 0,0 0,0 0,0 0,-1 0,1 0,4-3,4-3,10-1,0 1,0 1,0 1,1 1,0 1,0 1,0 0,35 3,-53 0,-1-1,0 0,0 1,0 0,0-1,-1 1,1 0,0 1,0-1,0 0,-1 1,1 0,-1-1,1 1,-1 0,0 0,0 1,0-1,0 0,0 1,0-1,-1 1,1-1,-1 1,1 0,-1 0,0 0,0 0,-1 0,1 0,0 4,1 9,-1 0,-1 0,0 0,-4 27,3-36,0 3,-1 0,0-1,-1 1,0-1,0 1,-1-1,0 0,-1 0,0 0,0-1,-1 0,0 0,0 0,-1-1,0 0,0 0,-11 7,12-9,1 0,0 0,-1 1,2 0,-6 7,9-12,0 0,1 0,-1 0,0-1,1 1,-1 0,1 0,-1 0,1 0,0 0,-1 0,1 0,0 0,0 0,0 0,0 0,0 0,0 0,0 0,0 1,0-1,0 0,0 0,1 0,-1 0,0 0,1 0,-1 0,1-1,-1 1,1 0,-1 0,1 0,0 0,-1 0,1-1,0 1,0 0,0-1,0 1,-1-1,1 1,0-1,0 1,0-1,2 1,9 2,0 0,1-1,-1-1,1 0,-1-1,1 0,12-2,-9 1,0 0,-1 1,1 1,17 3,-16-1,-2 1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44:09.17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378 94,'-18'388,"4"-236,-9 65,22-212,-4 25,5-29,0 0,0 0,-1 0,1 0,0 0,0 0,-1-1,1 1,0 0,-1 0,1 0,-1 0,1-1,-1 1,1 0,-1-1,0 1,1 0,-1-1,0 1,0-1,1 1,-1-1,-1 1,-4-4</inkml:trace>
  <inkml:trace contextRef="#ctx0" brushRef="#br0" timeOffset="912.23">414 1,'33'0,"-12"-1,1 1,30 5,-45-4,0 1,0-1,-1 1,1 1,-1-1,0 1,1 0,-1 1,-1 0,1 0,9 8,-6-4,-1 0,-1 0,1 0,-1 1,-1 0,0 1,0 0,-1 0,0 0,-1 0,0 1,0-1,-1 1,-1 0,0 0,1 22,-3-25,-1 1,0 0,0 0,-1-1,-1 1,1-1,-1 0,-1 1,1-1,-1-1,-5 9,5-11,0 0,0 0,-1 0,1 0,-1-1,0 1,0-1,-1 0,1-1,-1 0,0 1,1-2,-1 1,-1-1,-9 3,-7-2,0 0,0-2,-43-3,16 0,30 1</inkml:trace>
  <inkml:trace contextRef="#ctx0" brushRef="#br0" timeOffset="1562.22">1 1073,'30'2,"36"5,21 2,91 0,83 1,-245-10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44:17.59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132 1,'0'0,"-1"0,0 1,1-1,-1 0,1 1,-1-1,1 1,-1-1,0 1,1-1,0 1,-1-1,1 1,-1 0,1-1,0 1,-1 0,1-1,0 1,0 0,-1 0,-5 21,4-17,-98 432,87-353,13-83,0 0,0-1,0 1,0 0,0-1,0 1,0 0,0-1,0 1,0 0,0-1,1 1,-1 0,0-1,0 1,1 0,-1-1,0 1,1-1,-1 1,1-1,-1 1,0-1,2 2,18 5,-10-6,0-1,19-1,-18 1,159-16,-134 13,50 1,-67 3,-4-1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44:34.76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158 202,'-3'1,"0"0,1 1,0-1,-1 1,1 0,0 0,0 0,0 0,0 0,0 0,0 0,-1 3,-4 4,-13 11,0 1,-24 30,39-45,1 1,0-1,0 1,1 0,0 0,0 0,0 0,1 1,0-1,-1 9,3-14,0 0,0 0,0 0,0 0,1 0,-1 0,1 0,-1 0,1 0,0-1,-1 1,1 0,0 0,0-1,0 1,1 0,-1-1,0 1,1-1,-1 1,1-1,-1 0,1 0,0 0,-1 0,1 0,0 0,0 0,3 1,7 2,0-1,0 0,22 2,-17-3,16 2,0-2,0-1,44-4,-75 3,1 0,-1-1,1 0,-1 1,0-1,1 0,-1 0,0 0,0 0,1-1,-1 1,0 0,-1-1,1 0,0 1,2-3,-1 0,0-1,0 1,-1 0,1-1,-1 0,0 0,2-6,-1-4,0 0,0 0,-2 0,1-21,-2 34,0 0,0 0,0-1,0 1,0 0,-1 0,1-1,-1 1,1 0,-1 0,0 0,0 0,0 0,0 0,0 0,-3-3,1 3,-1-1,1 1,-1 0,0 0,1 0,-1 0,-6-1,5 1,-1-1,-1 1,1-1,0-1,0 1,0-1,1 0,-8-7,3 0</inkml:trace>
  <inkml:trace contextRef="#ctx0" brushRef="#br0" timeOffset="505.41">535 321,'0'3,"0"4,0 4,0 3,0 2,0 1,-3 4,-3 4,-2 2,1 1,-1-1,0-2,2-5</inkml:trace>
  <inkml:trace contextRef="#ctx0" brushRef="#br0" timeOffset="3008.45">705 96,'0'10,"-1"0,-1 0,0 0,0 0,-1 0,-4 10,-6 23,11-34,0 0,1 0,0 0,1 0,0 0,0 0,1 0,3 17,-3-22,-1-1,1 0,0 0,1 0,-1 0,0 0,1 0,0 0,-1-1,1 1,1-1,-1 1,0-1,0 1,1-1,-1 0,1 0,0-1,0 1,-1 0,1-1,0 0,0 1,1-1,-1-1,0 1,5 1,98 10,-105-12,0 0,1 0,-1 0,1 0,-1 0,0 0,0-1,1 1,-1 0,0-1,0 1,1-1,-1 0,0 1,0-1,0 0,0 0,0 1,0-1,0 0,0 0,0 0,1-2,-1 0,1 0,-1 0,0 0,0 0,0-1,0 1,0 0,-1 0,1-5,-1-3,0-1,-1 1,0 0,-1 0,-3-11,3 15,-2-1,1 0,-1 1,-7-11,7 11,0 0,0 0,1 0,-6-15,9 19,0 0,-1 1,0-1,0 1,0-1,0 1,0-1,0 1,-1 0,1 0,-1-1,1 1,-1 0,0 0,0 1,0-1,0 0,0 1,0-1,-1 1,1-1,0 1,-1 0,1 0,-1 0,1 1,-1-1,-2 0,3 1,0-1,0 1,0-1,0 0,1 0,-1 1,0-1,1 0,-1 0,0-1,1 1,-1 0,1 0,0-1,-1 1,1-1,0 1,-1-3,-3-6</inkml:trace>
  <inkml:trace contextRef="#ctx0" brushRef="#br0" timeOffset="4932.76">1065 14,'0'-1,"0"1,0-1,0 0,0 1,1-1,-1 0,0 1,0-1,1 1,-1-1,1 1,-1-1,0 0,1 1,-1-1,1 1,-1 0,1-1,0 1,-1-1,1 1,-1 0,1-1,0 1,-1 0,1 0,0 0,-1-1,1 1,0 0,-1 0,1 0,0 0,-1 0,1 0,0 0,0 0,-1 1,1-1,0 0,3 1,-1-1,0 1,0 0,0 0,0 0,-1 0,6 3,0 2,0 1,0 0,0 1,-1 0,-1 0,1 1,-1-1,-1 2,1-1,-2 0,1 1,-1 0,3 12,-6-15,-1 0,0 0,0 0,-1-1,1 1,-1 0,-1 0,0 0,1-1,-6 11,-4 6,-20 34,16-31,7-11</inkml:trace>
  <inkml:trace contextRef="#ctx0" brushRef="#br0" timeOffset="5585.48">991 195,'3'0,"4"0,4 0,3 0,2 0,-2 0</inkml:trace>
  <inkml:trace contextRef="#ctx0" brushRef="#br0" timeOffset="6849.5">1457 159,'-1'-1,"1"-1,-1 1,1 0,-1 0,0 0,0-1,0 1,1 0,-1 0,0 0,-1 0,1 1,0-1,0 0,0 0,-2 0,-1-2,-6-4,0 0,0 1,-1 0,0 1,0 0,-14-3,22 7,-1 0,0 0,1 0,-1 1,0 0,0 0,1 0,-1 0,0 1,-6 1,8-1,-1 0,1 0,0 0,0 0,1 0,-1 0,0 1,0-1,1 1,-1-1,0 1,1 0,0 0,-1-1,1 1,0 0,0 0,0 0,-1 4,2-5,0 0,-1 0,1 0,0 0,0 0,0 0,0 0,0 0,0 0,0 0,1 0,-1 0,0 0,1 0,-1 0,0 0,1 0,-1 0,1-1,-1 1,1 0,0 0,-1 0,1-1,0 1,0 0,-1-1,1 1,0 0,0-1,0 1,0-1,0 0,0 1,0-1,0 0,0 1,1-1,8 3,-1-1,1 0,12 1,-10-2,24 2,-28-3,0 0,0 1,-1 0,1 0,-1 0,14 5,-19-4,-1-1,1 0,0 1,-1 0,1-1,-1 1,1 0,-1 0,0 0,0 0,1 0,-2 0,1 0,0 0,0 0,-1 0,1 0,-1 1,1 3,1 48,-3-42,-3 243,4-229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44:47.504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129 266,'-3'1,"-1"-1,1 1,0 0,0-1,0 1,0 1,0-1,0 0,0 1,1-1,-1 1,0 0,1 0,-5 4,-31 39,27-31,7-9,1 0,-1 0,1 1,0 0,1 0,-1 0,1 0,1 0,-1 0,1 0,-1 10,1 1,1 1,4 33,-4-47,1 0,-1 0,1 0,0 0,1 0,-1 0,1-1,-1 1,1 0,0-1,1 0,-1 1,1-1,-1 0,1 0,0 0,0-1,0 1,0-1,0 1,1-1,-1 0,1 0,0-1,-1 1,1-1,8 2,6 0,1 0,0-2,-1 0,35-3,-14 1,-2 2,-26 0,0 0,-1-1,1 0,0-1,-1 0,1 0,20-7,-28 6,0 0,-1 0,1 0,-1 0,0 0,1-1,-1 1,0-1,0 0,-1 0,1 0,-1 1,1-1,-1-1,0 1,0 0,0 0,0 0,-1 0,1-5,0-4,0 1,0-1,-2 1,-1-17,-2 6,-1 1,-1 0,-1 0,0 1,-17-30,6 18,-1-1,-32-38,45 62,-1 1,-1 0,1 0,-10-7,14 13,0 0,0 0,-1 0,0 0,1 1,-1-1,0 1,1 0,-1 0,0 0,0 0,0 1,0 0,-4 0,-6 1</inkml:trace>
  <inkml:trace contextRef="#ctx0" brushRef="#br0" timeOffset="618">528 348,'0'3,"0"4,0 3,0 7,0 12,0 10,-3 8,-4 1,-4-1,1-2,1-4,2-5,3-9</inkml:trace>
  <inkml:trace contextRef="#ctx0" brushRef="#br0" timeOffset="1521">764 86,'-2'19,"0"-1,-1 1,-6 22,4-26,2 0,0 0,1 1,0-1,1 24,2-34,-1 0,1-1,1 1,-1 0,1-1,-1 1,1-1,1 1,-1-1,0 0,1 0,0 0,0 0,0 0,1-1,-1 1,1-1,0 0,0 0,0-1,8 5,7 2,1 0,0-2,0 0,0-1,30 4,-41-9,0 1,0-1,0-1,0 0,0 0,10-2,-17 1,0 1,1-1,-1 1,0-1,0 0,0 0,0 0,0 0,0-1,0 1,0 0,0-1,0 1,-1-1,1 0,-1 0,1 1,-1-1,0 0,0 0,1 0,-1-1,-1 1,1 0,0 0,0 0,0-5,1-10,0 0,-1 1,0-1,-1 0,-2 0,1 0,-2 1,0-1,-1 1,-1 0,0 0,-1 0,-1 0,0 1,-1 0,-1 1,0 0,-1 0,-1 1,-21-21,6 11,3 4</inkml:trace>
  <inkml:trace contextRef="#ctx0" brushRef="#br0" timeOffset="2236">1265 29,'36'0,"1"1,49 9,-72-8,-9-1,-1-1,0 1,1 0,-1 0,7 4,-9-4,0 0,-1 0,0 0,1 0,-1 0,0 1,0-1,1 0,-1 1,0-1,0 1,-1-1,1 1,0-1,0 1,-1 0,1-1,0 4,1 7,-1 0,0 1,-1-1,0 0,-1 1,0-1,-4 19,-3 0,-18 51,8-37,-2 0,-1-1,-3-1,-1-2,-2 0,-48 55,64-84</inkml:trace>
  <inkml:trace contextRef="#ctx0" brushRef="#br0" timeOffset="2658">1064 301,'0'4,"1"-1,-1 0,1 0,0 0,0-1,0 1,0 0,0 0,1 0,-1-1,1 1,0-1,0 1,0-1,0 0,0 0,1 0,-1 0,0 0,1 0,4 2,7 4,0-1,30 10,-32-13,20 7,1-1,0-1,0-2,1-2,0-1,49 0,-66-5</inkml:trace>
  <inkml:trace contextRef="#ctx0" brushRef="#br0" timeOffset="3657">2003 181,'-76'-1,"-83"3,155-2,0 0,0 1,0 0,0-1,0 2,0-1,1 0,-1 1,0-1,1 1,-1 0,1 1,0-1,-1 0,1 1,0 0,1 0,-1 0,-4 6,3-3,1 0,0 0,0 1,1-1,0 1,0-1,0 1,1 0,0 0,0 0,1 7,0-11,0 0,0 0,0 0,1 0,-1 0,1 0,0 0,0 0,0 0,0 0,1 0,-1 0,1-1,0 1,3 3,-2-2,1 0,0-1,0 0,1 0,-1 0,0-1,1 1,8 2,5 0,0 0,0-1,0-1,23 1,-24-2,3 0,1 0,-1-1,1-1,-1-1,40-7,-57 6,1 1,-1-1,1 0,-1 0,1 0,-1 0,0-1,0 1,5-7,7-5,-15 14,1 0,-1 0,0 0,0 0,0 0,0 0,0 0,0 0,1 0,-1 0,0 0,0 0,0 0,0 0,0 0,0 0,0 0,1 0,-1 0,0 0,0 0,0 0,0 1,0-1,0 0,0 0,1 0,-1 0,0 0,0 0,0 0,0 0,0 0,0 0,0 1,0-1,0 0,0 0,0 0,0 0,0 0,0 0,0 0,0 1,0-1,0 0,0 0,0 0,0 0,0 0,0 0,0 0,0 1,0-1,0 0,0 0,0 0,0 0,0 0,0 0,0 0,0 1,0-1,0 0,0 0,-1 0,-1 12,-45 159,-64 294,104-413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48: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161 1,'-24'544,"18"-490,-52 624,40-150,-20-43,25-317,10 204,5-209,-3 154,3 216,33 69,-25-473,36 374,-38-417,-1-25,10 190,-8-60,0 17,-10 160,2-356,0 1,1-1,1 0,0 0,9 24,-5-16,-3-9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48:49.4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62,'363'-1,"383"2,275 67,-837-52,692 27,2-41,-604-4,330-15,-227 3,107-8,105-2,364-30,-167 0,12 50,-140 65,-302-22,181-4,2-18,5 1,938 19,-1198-39,222 3,-407 6,-71-4,1 0,-1-2,0-1,53-5,-41-4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48:58.2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4282,'1'-21,"1"0,0 0,2 0,1 0,13-34,48-97,-52 123,42-90,-6-4,-4-1,29-134,9-279,-28 147,-30 267,5 0,72-177,-66 212,3 1,83-130,-65 126,72-101,25-11,-114 147,242-270,-251 292,67-89,-2 3,35-13,-57 60,-65 63,6-6,28-23,-39 35,1 0,-1 1,2-1,-1 1,0 1,0-1,0 1,1 0,13-3,30 2,89 4,-71 1,-46 0,1 0,0 2,-1 0,1 2,-1 0,0 1,-1 2,22 10,24 17,67 48,-31-19,-36-26,66 42,-111-65,1 1,-3 1,33 34,13 30,-2 3,63 112,-87-124,-3 2,44 132,113 247,-164-397,61 86,51 42,-99-132,-11-11,3-2,1-1,69 57,-18-24,-5 5,121 141,-176-189,0-2,57 45,71 36,37 28,-7 3,-152-116,169 121,-141-99,2-3,2-4,2-2,1-2,78 26,333 122,-223-96,54 19,-27 2,-198-80,122 21,-40-21,-34-7,176 51,-191-41,0-4,221 18,-321-42,550 75,-433-54,182 10,-73-11,220 41,-361-55,-77-8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49:19.0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3333 484,'1'21,"2"2,1-1,0-1,2 1,14 37,7 21,-23-54,0 0,-2 0,-1-1,-3 47,0-6,2 1454,0-1507,1 1,4 18,-1-13</inkml:trace>
  <inkml:trace contextRef="#ctx0" brushRef="#br0" timeOffset="1072.99">2995 3063,'15'-14,"0"0,20-13,-28 22,0 1,1 0,-1 0,1 0,0 1,1 0,15-3,-22 6,0-1,0 1,0 0,0 0,0 0,0 0,0 0,1 0,-1 1,0-1,0 1,0-1,1 1,-1 0,-1 0,1 0,0 0,0 0,2 2,-2-1,0 1,1 0,-1 0,0-1,0 1,0 1,-1-1,1 0,-1 0,2 6,0 6,0 0,-1 1,0-1,-1 18,-1-31,2 100,1-80</inkml:trace>
  <inkml:trace contextRef="#ctx0" brushRef="#br0" timeOffset="1650.56">3610 3067,'0'6,"0"5,0 7,0 6,0 1,0 3,0 3,0 0,0-4,0-3,0-2,0-5</inkml:trace>
  <inkml:trace contextRef="#ctx0" brushRef="#br0" timeOffset="8625.94">4005 2986,'0'0,"0"0,1 0,-1 0,0 0,0 0,1 0,-1 0,0 0,1 0,-1 0,0 0,0 0,1 0,-1-1,0 1,0 0,1 0,-1 0,0 0,0 0,0-1,1 1,-1 0,0 0,0 0,0-1,1 1,-1 0,0 0,0-1,0 1,0 0,0 0,0-1,0 1,1 0,-1-1,0 1,0 0,0 0,0-1,0 1,0 0,0 0,0-1,-1 1,1 0,0-1,0 1,0 0,0 0,0-1,0 1,0 0,-1 0,1-1,-12-12,11 11,-1 1,1 1,-1-1,1 0,-1 0,0 0,0 1,1-1,-1 1,0 0,0-1,-1 1,2 0,-1 0,0 0,0 0,0 0,1 1,-1-1,-2 1,2 0,1 0,-1 0,1 0,-1 1,1-1,0 0,0 1,-1-1,1 1,0-1,0 1,0-1,1 1,-1 0,0-1,0 4,-2 7,1 0,0 1,1-1,0 22,1-27,0-4,-1 11,0 0,2 0,0 1,0-1,1-1,1 0,0 1,1 0,6 15,-7-24,-1 0,0 0,0 1,-1-1,0 0,0 1,0 0,0-1,-1 1,0-1,0 1,0-1,-1 1,-2 9,2-12,0 0,0-1,0 1,-1 0,1 0,-1-1,0 1,1-1,-1 1,-1-1,1 0,0 1,0-1,-1-1,1 1,-1 0,1 0,-1-1,0 0,-1 1,1-1,0 0,0 0,0-1,0 1,0-1,-5 1,6-1,0 0,-1 0,1 0,0 0,0-1,0 1,0-1,0 1,0-1,0 0,-1 0,2 0,-1 0,0 0,0 0,1 0,-4-3,2 1,1 0,-1-1,1 1,0-1,-1 1,2-1,-1 0,-2-6,1 1,1-1,0 0,0 0,1 0,0 1,2-20,-1 26,0 1,0 0,1 0,-1 0,1-1,-1 1,1 0,0 0,0 0,0 0,0 0,0 0,0 0,1 0,-1 1,1-1,-1 0,1 1,0-1,-1 1,1 0,0 0,0-1,0 1,0 0,4-1,2 0,3 0,-2 1,0 0,0 0,14 1,-16 1,0-1,0 0,0-1,0 1,0-1,1-1,12-3,-18 3,1 1,0-1,-1 0,1 0,-1 0,1 0,-1 0,0 0,0-1,0 1,0 0,0 0,-1-1,4-4,-3 1,0 0,-1 0,0 0,0 0,0 0,0-9,-1-3</inkml:trace>
  <inkml:trace contextRef="#ctx0" brushRef="#br0" timeOffset="9011.94">4500 3063,'6'-1,"0"0,0 0,1-1,-1 0,0 0,0 0,-1-1,0 0,1 0,-1 0,0-1,1 1,5-7,29-19,-29 24,-8 3,1-1,0 1,0 1,0-1,-1 0,6 0,-8 2,-1 0,1 0,0 0,0 0,0 0,0 0,0 0,0 0,-1 0,1 0,0 1,0-1,0 0,0 1,-1-1,2 1,-1-1,0 1,-1-1,1 1,0-1,-1 1,1 0,-1-1,1 1,-1 0,1-1,-1 1,1 0,-1 0,0 0,1-1,-1 1,0 1,4 16,0-1,-2 1,0 0,-1-1,-1 1,-3 21,2 2,-21 248,21-284,-2 10,-1-3</inkml:trace>
  <inkml:trace contextRef="#ctx0" brushRef="#br0" timeOffset="9012.94">2883 3891,'0'3,"0"7,-3 8,-4 6,-4 6,-6 3,-7 3,-4 1,-2-4,5-1,3-2,7-4,1-6,7-10,4-6</inkml:trace>
  <inkml:trace contextRef="#ctx0" brushRef="#br0" timeOffset="9013.94">2794 4103,'31'-1,"-11"1,0 0,25 3,-39-2,0 1,0-1,0 1,0 0,-1 0,2 1,-1 0,-1 0,0 0,0 0,7 6,-7-5,-3-2,1 0,0 0,-1 1,0-1,1 1,-1-1,0 1,0 0,2 5,-35-39,10 8</inkml:trace>
  <inkml:trace contextRef="#ctx0" brushRef="#br0" timeOffset="9014.94">2883 4015,'3'-3,"4"-1,5 0,4 1,4 1,3 0,-5-2,-2 0,1 0,-1 1,0-2,5 0,3 0,5-1,2 0,-2 1</inkml:trace>
  <inkml:trace contextRef="#ctx0" brushRef="#br0" timeOffset="9015.94">3422 3908,'0'3,"0"4,0 4,0 3,0 5,-3 5,-4 5,-4 1,0 0,-2-1,2-9,3-7</inkml:trace>
  <inkml:trace contextRef="#ctx0" brushRef="#br0" timeOffset="9016.94">3368 3908,'0'-3,"1"-1,-1 1,1-1,0 1,0 0,0-1,1 1,-1 0,1 0,0 0,0 0,1 0,-1 0,0 0,1 1,-1-1,1 1,-1-1,1 1,0 0,0 0,0 1,6-3,-2 0,1 1,1 0,-2 1,1-1,0 1,0 1,0 0,1 0,11 1,-19 0,1 0,0 0,-1 0,1 0,0 1,-1-1,1 1,0-1,-1 1,1 0,-1-1,1 1,-1 0,0 0,1 0,-1 0,0 0,0 1,1-1,-1 0,2 2,-2 0,0-1,0 1,0-1,0 1,-1-1,1 1,-1 0,1-1,-1 1,0 0,0-1,-1 5,0-1,0 0,0 0,-1 1,-1-1,1 0,0-1,-1 1,0 0,0-1,-7 10,-1-5,-14 16,24-25,0 0,1 0,-1 0,1 0,-1 0,1 0,0 0,-1 0,1 0,0 0,0 0,-1 1,1-1,0 0,0 0,0 0,1 0,-1 0,0 1,0-1,1 0,-1 0,0 0,1 0,-1 0,2 1,14 17,0-2,1 0,2-1,-1-1,27 17,-38-28,0 1,0-2,15 7,-5-4</inkml:trace>
  <inkml:trace contextRef="#ctx0" brushRef="#br0" timeOffset="9017.94">3872 3820,'0'3,"0"4,0 7,0 7,0 6,0 4,0 0,0 1,0-2,0-1,0-1,0-3,0-6</inkml:trace>
  <inkml:trace contextRef="#ctx0" brushRef="#br0" timeOffset="9018.94">4140 3873,'4'0,"3"0,4 0,3 0,6 0,4 0,9 0,4 0,2 0,-2-3,-3-1,-2 0,-5 1,-3 1,-3 0,-5 2</inkml:trace>
  <inkml:trace contextRef="#ctx0" brushRef="#br0" timeOffset="9019.94">4338 3855,'0'3,"0"4,0 7,0 7,0 3,0 6,0 1,0 8,0 3,0 3,0-1,0 0,0-3,0-5,0-8</inkml:trace>
  <inkml:trace contextRef="#ctx0" brushRef="#br0" timeOffset="22550.71">5747 16,'0'0,"0"0,0 0,0 0,0 0,0 0,0-1,0 1,0 0,0 0,0 0,0 0,0 0,0 0,0 0,1-1,-1 1,0 0,0 0,0 0,0 0,0 0,0 0,0 0,1 0,-1 0,0 0,0 0,0 0,0 0,0 0,0 0,1 0,-1 0,0 0,0 0,0 0,0 0,0 0,0 0,1 0,-1 0,0 0,0 0,0 0,0 0,0 0,0 0,0 0,1 0,-1 1,0-1,0 0,0 0,0 0,0 0,-1 11,-7 15,-20 30,-3-2,-3-1,-1-1,-53 58,29-41,-76 67,98-103,-2-2,-2-1,-76 43,99-65,-1 0,-1-2,-37 9,11-4,44-10,0 0,0-1,0 1,0-1,0 1,-1-1,1 0,0 0,0 0,0 0,0 0,-1-1,1 1,0 0,0-1,0 0,0 1,0-1,-1 0,-2-2,3 1,0 0,0-1,1 1,-1-1,0 1,1-1,0 0,-1 0,1 0,0 0,0 1,1-1,-1-1,0-2,-3-20,1 0,2-1,0 1,1 0,2-1,1 1,1 0,1 0,1 1,2 0,21-49,-28 71,1 0,0 0,-1 1,1-1,0 0,1 1,-1 0,0-1,1 1,-1 0,1 0,0 0,0 1,0-1,6-2,-4 3,0-1,0 1,0 1,0-1,0 1,0-1,1 1,0 1,5 0,9 4,0 0,0 1,0 1,19 10,-29-13,27 14,-1 2,-1 1,0 1,-2 2,-1 1,0 2,-3 1,0 1,-2 2,24 34,83 112,-104-137</inkml:trace>
  <inkml:trace contextRef="#ctx0" brushRef="#br0" timeOffset="23291.39">4101 1138,'-3'0,"-4"3,-2 7,0 7,-4 8,-1 11,-6 5,-1 2,0 3,-7 8,-1 1,1-7,6-4,6-10</inkml:trace>
  <inkml:trace contextRef="#ctx0" brushRef="#br0" timeOffset="23825.37">4352 1427,'0'3,"0"4,0 4,0 6,-6 14,-5 12,-10 11,-5 4,-2 2,-2 0,6-9,3-8,5-10,6-6,2-9,1-4,1-4</inkml:trace>
  <inkml:trace contextRef="#ctx0" brushRef="#br0" timeOffset="24204.37">5107 1610,'0'6,"0"8,0 7,-3 7,-10 13,-6 3,0-1,1-4,3-6,4-5,3-8</inkml:trace>
  <inkml:trace contextRef="#ctx0" brushRef="#br0" timeOffset="24651.37">5912 1729,'0'3,"0"4,0 4,-3 6,-1 6,-6 5,-4 0,-7 6,2-1,0-3,0-1,4-4</inkml:trace>
  <inkml:trace contextRef="#ctx0" brushRef="#br0" timeOffset="25012.37">6477 2000,'0'3,"0"4,0 7,0 4,0 1,3 5,1 3,0 1,-1-3,-1-1,-1-6</inkml:trace>
  <inkml:trace contextRef="#ctx0" brushRef="#br0" timeOffset="25872.9">0 273,'8'-1,"-1"-1,0 1,1-2,-1 1,0-1,0 0,0 0,-1-1,0 0,1 0,7-6,-3 2,51-35,3 4,87-42,-132 72,100-39,-119 47,0 1,0-1,0 1,0-1,1 1,-1-1,0 1,0 0,0 0,0 0,1-1,-1 1,0 0,0 0,0 1,0-1,1 0,-1 0,0 1,0-1,0 0,0 1,0-1,0 1,0-1,0 1,0 0,0-1,0 1,0 0,0 0,0 0,0 0,-1 0,1 0,0 0,-1 0,1 0,0 1,0 5,1-1,-1 1,-1 0,1-1,-1 1,-1 7,1-14,-2 31,-1 0,-2-1,-1 0,-13 39,-3-10,-31 64,29-79,17-33,1 1,-1 0,2 0,-7 17,10-17</inkml:trace>
  <inkml:trace contextRef="#ctx0" brushRef="#br0" timeOffset="26328.9">877 354,'3'0,"4"0,5 0,1 0,6 0,4 0,-1 0,2 0,5 0,2 0,-1 0,4 0,-1 0,-3 0,-7 0</inkml:trace>
  <inkml:trace contextRef="#ctx0" brushRef="#br0" timeOffset="27351.97">1924 69,'0'38,"-2"59,0-86,0 0,0 0,0 0,-2 0,1 0,-8 15,0-5,-1 0,-2 0,0-1,-1-1,-1 0,-1-1,-25 21,39-36,0-1,1 0,-1 0,0 0,0 0,0-1,0 1,0-1,0 0,-1 0,1 0,0 0,0 0,-1-1,1 0,-2 0,2 0,0 0,-1 0,1 0,-1-1,1 0,0 0,-1 0,1 0,0 0,0 0,0-1,0 0,0 1,0-1,-5-4,2 0,1 0,-1 0,1 0,1-1,-1 1,1-1,0-1,0 1,1 0,-1-1,1 0,-2-12,1 0,1 0,0-39,3 54,0 0,0 0,0 0,1 0,0 0,0 0,0 1,1-1,-1 0,1 1,0-1,1 1,-1-1,1 1,1 0,-1 0,5-5,-5 7,1-1,0 1,0 0,0 1,0-1,1 1,-1 0,0 0,1 0,0 0,-1 1,1-1,-1 1,1 0,-1 1,0-1,1 1,-1 0,0 0,1 0,7 4,1 0,-1 1,1 0,0 1,-1 0,18 15,47 47,13 11,-77-70,0-1,0-1,1 0,0-1,25 9,-23-10,-1 0,0 1,0 0,0 1,17 14,-21-16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49:48.0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163 86,'-5'0,"0"1,0-1,0 1,0 0,0 0,0 0,0 1,0 0,0 0,1 0,-1 0,1 1,-1 0,-5 5,4-3,0 1,1 0,0 0,0 0,1 1,-1 0,1 0,-4 12,0 2,2 0,0 0,2 1,0-1,-1 43,4-41,-1-11,2 0,-1 0,2 1,0-1,4 20,-5-30,1-1,0 1,0 0,0-1,0 1,0 0,1-1,-1 0,0 1,1-1,-1 0,1 1,-1-1,1 0,-1 0,1 0,0-1,0 1,-1 0,1-1,0 1,0-1,0 1,0-1,3 0,6 1,1-1,-1 0,15-2,-3 0,46 1,50-3,-106 2,0 0,0 0,0-1,-1-1,0 0,23-11,-28 10,-1 1,0-1,-1 0,1 0,-1 0,0-1,0 0,0 0,-1 0,0 0,0-1,-1 0,0 1,0-1,-1-1,1 1,1-12,-1 0,0-2,-1 1,-1 0,-1 0,-3-27,2 41,0-1,-1 1,0 0,0 0,-1-1,1 1,-1 1,-1-1,1 0,-1 1,0 0,0 0,0 0,-1 0,0 1,-8-7,-8-4,0 1,-44-20,43 23,-8-4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49:49.4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131 1,'-3'6,"-1"9,-4 13,-3 15,0 5,-1 6,1-1,2-5,4-5,2-5,0-6,3-1,0-4,0-4,1-1,-1-2,2-2,-2-2</inkml:trace>
  <inkml:trace contextRef="#ctx0" brushRef="#br0" timeOffset="769.55">432 110,'0'10,"0"7,-3 13,-5 5,-4 11,-3 3,-3-1,3 1,0 2,1-2,2-3,3-7,1-6,2-9</inkml:trace>
  <inkml:trace contextRef="#ctx0" brushRef="#br0" timeOffset="1523.5">0 431,'3'0,"8"0,6-4,1 0,4 0,-1 1,1 1,-1 1,-2 0,5 1,0 0,-1 0,0 0,-1 0,-1 0,-5 0</inkml:trace>
  <inkml:trace contextRef="#ctx0" brushRef="#br0" timeOffset="2750.06">568 547,'-1'-1,"1"0,0 0,-2 0,2 0,-1 1,1-1,-1 0,0 0,1 1,-1-1,0 0,1 1,-1-1,0 1,0-1,0 1,1-1,-1 1,-1 0,1-1,0 1,0 0,0 0,0-1,0 1,0 0,-1 0,-30-2,22 3,0 0,0 0,0 1,1 0,-1 0,1 1,-18 8,22-10,2 2,-1 0,-1-1,1 0,1 1,-1 0,0 0,1 0,-1 0,2 0,-1 2,0-1,0-1,1 1,0 0,0 0,0 0,-2 6,-1 13,2-11,-1 0,2 0,0 0,1 0,0 15,1-24,0-1,0 0,1 1,-1-1,1 0,0 1,-1 0,1-1,0 0,0 0,1 0,0 0,-1 0,0 0,1 0,-1 0,1-1,1 1,-1-1,0 1,-1-1,1 2,0-2,2 0,-2 0,0 0,0 0,0-1,2 1,-2 0,4-1,8 3,-1-2,0 0,-1 0,1-1,0-1,0 0,0-1,-1 0,23-6,-34 6,2 1,-1 0,0 0,-1-1,1 1,-1 0,2-1,-2 1,0-1,0 0,1 1,-1-1,0 0,0 0,0-2,11-36,-2 4,-6 29,-1 0,0 0,-1-1,1 0,-2 1,1-1,-2 0,1 0,-1 1,0-1,0-1,-2-7,-3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49:52.9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49:53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49:56.8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296 847,'0'0,"2"-26,-2 26,0-1,0 1,0-1,0 1,0-1,0 1,0 0,0-1,0 1,0-1,0 1,0 0,1-1,-1 1,0-1,0 1,0 0,1-1,-1 1,0 0,0-1,1 1,-1 0,0-1,1 1,-1 0,0 0,1-1,-1 1,1 0,-1 0,0 0,1 0,-1-1,1 1,-1 0,0 0,1 0,-1 0,1 0,-1 0,1 0,-1 0,0 0,1 0,-1 0,1 1,-1-1,1 0,-1 0,0 0,1 1,0 0,1 0,-1 0,0 1,0-1,0 0,-1 1,1-1,0 1,0-1,-1 1,1-1,-1 1,0 0,1 2,2 29,-2-23,2 38,-3 49,-1-81,0 1,-1 0,-2-1,1 1,-2-1,-9 25,13-39,0 0,0 1,-1-1,1 0,0 0,-1 0,1 0,-1 0,0 0,1 0,-1-1,0 1,0-1,-3 2,4-2,-1-1,0 1,0-1,1 0,-1 0,0 0,1 0,-1 0,0 0,1 0,-1-1,0 1,1 0,-1-1,0 0,1 1,-1-1,1 0,-1 0,1 0,-2-1,-11-8,2 0,-1-1,1-1,1 1,0-2,1 0,0 0,1-1,1 0,0 0,1-1,-9-25,3 1,2-1,2 0,-7-79,11 90,0 0,-18-54,11 46,11 34,1 1,-1 0,1-1,-1 1,1 0,0-1,0 1,0 0,0-1,0 1,0-1,1 1,-1 0,1-1,0 1,1-4,0 3,0 1,0-1,0 1,0 0,1 0,-1 0,0 0,1 0,0 0,-1 1,1-1,5-1,7-4,1 1,0 0,0 2,1 0,17-2,12-2,27-3,-67 11,1-1,-1 1,0 1,1-1,-1 1,0 1,1-1,10 5,-14-4,1 0,-1 0,0 0,-1 0,1 1,0 0,-1-1,1 1,-1 0,2 4,20 34,-22-38,52 107,-47-99</inkml:trace>
  <inkml:trace contextRef="#ctx0" brushRef="#br0" timeOffset="2663.43">239 858,'0'-3,"0"-4,0-4,-3 0,-1 2</inkml:trace>
  <inkml:trace contextRef="#ctx0" brushRef="#br0" timeOffset="5807.08">458 49,'4'0,"-1"0,0 0,1 0,-1 1,0-1,1 1,-1 0,0 0,0 0,0 0,0 1,5 2,-6-2,0 0,0-1,0 1,-1 1,1-1,-1 0,1 0,-1 0,0 1,1-1,-1 1,0-1,-1 1,1-1,0 1,-1 4,3 12,-1 1,-1-1,-1 21,-1-32,0 1,0-1,0 0,-1 0,0 0,-1 0,0 0,0-1,-8 14,11-21,-1 1,1-1,0 0,-1 1,1-1,0 1,-1-1,1 1,0-1,-1 1,1-1,0 1,0 0,0-1,0 1,-1-1,1 1,0-1,0 1,0 0,0-1,0 1,0-1,0 1,1-1,-1 1,0 0,0-1,0 1,1-1,-1 1,0-1,0 1,1-1,-1 1,0-1,1 0,-1 1,1-1,-1 1,1-1,-1 0,0 1,1-1,0 0,-1 1,1-1,-1 0,1 0,-1 0,1 0,-1 1,1-1,0 0,-1 0,1 0,-1 0,1 0,0-1,9 2,-1-1,1 0,10-2,-7 0,4 2</inkml:trace>
  <inkml:trace contextRef="#ctx0" brushRef="#br0" timeOffset="7727.11">353 1182,'0'-2,"1"0,-1 0,1 0,0 0,0 0,0 1,0-1,0 0,0 0,0 1,1-1,-1 1,2-3,24-20,-22 20,3-3,1 0,0 1,0 0,0 0,1 1,0 0,10-3,-19 8,0 0,0-1,-1 1,1 0,0 0,0-1,0 1,0 0,0 0,0 0,0 0,0 1,0-1,-1 0,1 0,0 0,0 1,0-1,0 0,0 1,-1-1,1 1,0-1,0 1,-1 0,1-1,0 1,0 0,0 1,0 0,0 0,0 0,-1 0,1 0,-1 0,1 0,-1 0,0 0,1 0,-2 5,1 2,-1 1,-1 0,0-1,-4 13,5-20,-11 33,-20 40,25-62</inkml:trace>
  <inkml:trace contextRef="#ctx0" brushRef="#br0" timeOffset="8255.17">660 1100,'0'3,"0"4,0 4,0 6,-4 3,0 4,-3 1,0 0,1-5</inkml:trace>
  <inkml:trace contextRef="#ctx0" brushRef="#br0" timeOffset="9026.08">660 1094,'5'-1,"0"0,1 0,-1 0,0 0,1-1,-1 0,0 0,8-5,-8 5,0-1,0 1,0 0,0 0,1 0,8-1,-12 3,-1 0,1 0,-1 1,1-1,-1 0,1 1,-1-1,1 1,-1 0,0-1,1 1,-1 0,0 0,0 0,1 0,-1 0,0 0,0 0,0 0,0 0,0 0,0 1,-1-1,1 0,0 1,-1-1,1 1,-1-1,1 1,-1-1,1 2,1 7,0 0,-1 0,1 14,-2-22,1 49,-1-23,5 35,-2-40</inkml:trace>
  <inkml:trace contextRef="#ctx0" brushRef="#br0" timeOffset="11291.63">1041 653,'3'0,"3"0,5 0,3 0,2 0,2 0,0 0,0 0,1 0,-1 0,0 0,0 0,0 0,-1 0,1 0,0 0,-4 0</inkml:trace>
  <inkml:trace contextRef="#ctx0" brushRef="#br0" timeOffset="12034.77">1100 772,'3'0,"4"0,4 0,6 0,3 0,1 0,0 0,0 0,-4 0</inkml:trace>
  <inkml:trace contextRef="#ctx0" brushRef="#br0" timeOffset="13744.75">1735 772,'1'-3,"1"0,-1 1,0-1,1 0,-1 0,1 1,0-1,0 1,0-1,0 1,0 0,5-3,5-7,-10 9,3-4,0 1,1 1,-1-1,8-4,-12 9,0 0,-1 1,1-1,0 0,0 1,0-1,0 1,-1-1,1 1,0 0,0-1,0 1,0 0,0 0,0-1,0 1,0 0,0 0,0 0,0 0,0 1,0-1,0 0,0 0,0 0,0 1,0-1,0 1,0-1,0 1,0-1,-1 1,1-1,0 1,0 0,0-1,-1 1,1 0,-1 0,1-1,0 3,4 5,-1 1,0 0,-1 1,0-1,-1 1,1-1,0 17,1 72,-4-89,0-3,-1 1,1 0,-1-1,0 1,0-1,-1 1,0-1,0 0,-1 1,0-1,-4 8,4-11,0 1,0-1,0 1,0-1,0 0,-1 0,1-1,-1 1,0-1,0 1,1-1,-2 0,1-1,0 1,0-1,-1 0,-6 2,4-2,0 0,1-1,-1 1,0-1,0-1,0 1,0-1,0 0,0-1,1 1,-1-1,1-1,-1 1,1-1,0 0,0-1,0 1,0-1,1-1,-1 1,1-1,0 1,1-1,-1-1,1 1,-5-9,-8-10,1 0,-17-36,28 48,1 0,-1 1,2-2,0 1,0 0,1-1,1 1,-1-15,2 7,0-6,5-39,-3 56,0 0,0 0,1 0,0 0,0 0,1 1,10-16,-9 16,69-115,-73 120,1 1,-1-1,1 1,-1-1,1 1,0 0,0-1,0 1,0 0,1 1,-1-1,0 0,1 1,0-1,-1 1,6-2,-4 2,0 0,1 0,-1 0,0 1,1 0,-1 0,1 0,-1 1,0-1,6 2,2 2,-1 0,1 0,-1 1,0 0,-1 1,1 0,10 9,-6-4,0 1,-1 0,0 1,-1 0,-1 1,0 1,18 28,-26-36,1 0,0 0,0 0,0-1,1 0,0 0,1 0,-1-1,9 5,-2-1</inkml:trace>
  <inkml:trace contextRef="#ctx0" brushRef="#br0" timeOffset="14782.57">1914 38,'0'-2,"1"1,-1-1,0 1,1-1,-1 1,1-1,-1 1,1-1,0 1,0-1,0 1,0 0,0-1,0 1,0 0,0 0,0 0,0 0,1 0,-1 0,0 0,1 0,-1 1,1-1,-1 0,1 1,-1-1,1 1,-1 0,1-1,2 1,8-2,1 1,-1 1,15 0,-12 1,2-2,-2 1,-1 0,1 0,-1 2,17 3,-28-5,0 1,0 0,1 0,-1 0,0 1,0-1,-1 1,1 0,0 0,0 0,-1 0,1 0,-1 0,0 0,0 1,0 0,0-1,0 1,0 0,-1 0,1 0,-1 0,2 6,0 7,-1 0,-1 0,0 1,-1-1,-1 0,-4 25,2-16,3-24,0 0,0 0,0 0,0 0,0 0,1 0,-1 0,0 0,1 0,-1 0,1 0,-1 0,1 0,-1 0,1-1,0 1,-1 0,1 0,0-1,0 1,-1 0,1-1,0 1,0-1,0 1,0-1,0 1,0-1,0 0,0 1,0-1,0 0,2 0,37 3,-36-3,16 0,-2-1</inkml:trace>
  <inkml:trace contextRef="#ctx0" brushRef="#br0" timeOffset="16307.75">1873 1294,'0'-1,"0"1,0-1,1 0,-1 1,0-1,0 1,1-1,-1 0,1 1,-1-1,0 1,1-1,-1 1,1-1,-1 1,1 0,0-1,-1 1,1 0,-1-1,1 1,0 0,-1 0,1-1,0 1,-1 0,2 0,22-3,-20 2,37-7,-34 6,-1 1,1-1,0 1,0 0,0 0,0 1,0 0,0 0,0 1,11 2,-16-3,-1 1,0-1,1 1,-1-1,1 1,-1 0,0 0,0 0,1-1,-1 1,0 0,0 0,0 1,0-1,0 0,0 0,0 0,-1 1,1-1,0 0,-1 1,1-1,-1 1,1-1,-1 1,0-1,1 1,-1-1,0 1,0-1,0 1,0-1,0 1,-1-1,1 1,0-1,-1 0,1 1,-1-1,0 2,-2 3,1-1,-1 0,0-1,-1 1,1 0,-1-1,1 0,-1 0,-6 5,-19 11,16-11,2-1,-19 18,29-26,1 0,0 0,-1 1,1-1,-1 0,1 1,0-1,-1 0,1 1,0-1,-1 0,1 1,0-1,-1 1,1-1,0 1,0-1,0 1,0-1,-1 1,1-1,0 1,0-1,0 1,0-1,0 1,0-1,0 1,0-1,0 1,1-1,-1 1,0-1,0 1,0-1,0 1,1-1,-1 0,0 1,1-1,-1 1,0-1,1 0,-1 1,0-1,1 0,-1 1,1-1,-1 0,0 1,1-1,-1 0,1 0,-1 0,1 1,-1-1,1 0,-1 0,1 0,-1 0,1 0,0 0,37 3,-36-3,15-1</inkml:trace>
  <inkml:trace contextRef="#ctx0" brushRef="#br0" timeOffset="17340.77">2443 1192,'56'-1,"60"3,-115-2,0-1,0 1,0 0,0 1,0-1,0 0,0 0,0 0,0 1,0-1,-1 0,1 1,0-1,0 1,0-1,0 1,0-1,-1 1,1 0,0-1,0 1,-1 0,1-1,-1 1,1 0,0 0,-1 0,0 0,1 1,-1 0,0 0,0 0,0 0,0 0,0 0,-1 0,1 0,-1 0,1 0,-1 0,0 0,0 0,-2 2,-2 4,0 0,-1 0,0 0,-1-1,-8 8,-40 22,55-37,0 0,0 0,0 1,0-1,0 0,0 0,0 0,0 0,0 0,0 0,0 0,0 0,0 0,0 0,0 0,0 0,0 1,0-1,0 0,0 0,0 0,0 0,0 0,0 0,0 0,0 0,0 0,0 0,0 1,0-1,0 0,0 0,0 0,0 0,0 0,0 0,0 0,0 0,0 0,0 0,0 0,0 0,1 0,-1 0,0 0,0 1,0-1,0 0,0 0,0 0,0 0,0 0,0 0,0 0,0 0,1 0,-1 0,9 1,10 0,-2-1,-1-1</inkml:trace>
  <inkml:trace contextRef="#ctx0" brushRef="#br0" timeOffset="18145.77">2522 817,'0'3,"0"7,0 5,3 0,1 0,3-2,0-1,2-2,2-2,3-4,2-1,1-5,0-2,1 0,-3-3,-4-3,-3 1</inkml:trace>
  <inkml:trace contextRef="#ctx0" brushRef="#br0" timeOffset="20217.77">1979 1424,'3'0,"3"0,5 0,3 0,2 0,2 0,0 0,-3 0</inkml:trace>
  <inkml:trace contextRef="#ctx0" brushRef="#br0" timeOffset="21595.76">2642 1262,'3'0,"4"0,4 0,2 0,4 0,0-3,-2-1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0:20.3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55 0,'-5'14,"1"0,0 0,0 0,1 0,1 1,0 15,-1 3,-24 611,27-613,0-30,0 7,0-8,0 0,1 0,-1 0,0 0,0 0,0 0,0 0,0 0,0 0,0 0,0 0,0 0,0 0,0 0,0 0,0 0,1 0,-1 0,0 0,0 0,0 0,0 0,0 0,0 0,0 0,0 0,0 0,0 0,0 0,1 0,-1 0,0 0,0 0,0 0,0 0,0 0,0 0,0 0,0 0,0 1,0-1,0 0,0 0,0 0,0 0,0 0,0 0,0 0,0 0,0 0,0 0,0 0,0 0,0 1,0-1,0 0,0 0,0 0,0 0,0 0,0 0,0 0,0 0,0 0,0 0,0 0,0 0,0 1,4-8</inkml:trace>
  <inkml:trace contextRef="#ctx0" brushRef="#br0" timeOffset="559.01">404 82,'1'62,"-6"178,1-190,-2-1,-22 89,24-124,1 1,0 1,0 30,3-32</inkml:trace>
  <inkml:trace contextRef="#ctx0" brushRef="#br0" timeOffset="1130.01">85 494,'3'0,"5"0,3 0,4 0,1 0,2 0,1 0,1 0,-2 0,2 0,-1 0,0 0,1 0,16 0,6 4,2 0,1 0,-8-1</inkml:trace>
  <inkml:trace contextRef="#ctx0" brushRef="#br0" timeOffset="1858.01">636 760,'6'0,"1"-1,0 0,-1-1,0 1,0-1,1-1,-2 1,1-1,0 0,10-6,6-7,25-24,-27 24,25-23,2 3,99-58,-144 93,0 0,0 1,-1-1,1 0,0 0,0 1,0-1,0 1,0 0,0-1,1 1,-1 0,0 0,0 0,0 1,0-1,0 0,4 2,-5-1,0 0,0 0,0 0,0 0,0 0,1 0,-1 0,0 1,0-1,0 0,-1 1,1-1,0 0,-1 1,0-1,1 1,-1-1,1 0,-1 1,0-1,0 1,0-1,0 1,0 0,0 0,-1 1,-1 11,0 2,-3-1,2-1,-10 25,-32 56,33-70,-33 58,26-56</inkml:trace>
  <inkml:trace contextRef="#ctx0" brushRef="#br0" timeOffset="2302.01">1488 340</inkml:trace>
  <inkml:trace contextRef="#ctx0" brushRef="#br0" timeOffset="2644.01">1421 671</inkml:trace>
  <inkml:trace contextRef="#ctx0" brushRef="#br0" timeOffset="6130.54">2049 661,'1'-7,"-1"1,1 0,-1-1,2 1,-1 1,1-1,0-1,0 2,0-1,2 1,-2-1,2 1,-1 0,0 0,1 1,0-2,1 2,4-5,0-1,30-27,-37 35,0 1,0-1,0 1,-1-1,1 1,0 0,1 0,0 0,-1 0,0 1,0-1,0 1,1-1,-1 1,0 0,0 0,1 0,3 0,-4 1,0 0,0 1,0-1,0 0,0 0,-1 2,1-2,0 1,-1 0,1-1,-1 1,0 0,0 0,1 0,-1 0,0 0,0 0,0 1,0-1,0 4,7 47,-5-14,-1-1,-2-1,-7 51,6-82,0 0,-1 0,0 0,0-1,0 1,-2 0,1-1,0 0,0 0,-1 1,1-2,-1 1,0-1,-2 0,2 1,-1-1,0-1,1 0,-2 0,0 0,1 0,0 0,-2-1,2 0,-1 0,0-1,0 0,0 0,0 0,0-1,0 0,-1 0,1 0,0-1,1 0,-2 0,1-1,1 1,-1-1,1 0,-10-6,14 8,-16-8,2-2,-1 1,-18-16,29 21,0 0,1-2,0 2,0-1,0 0,1-1,-1 0,1 1,0-1,1 0,-1 0,1 0,-1-8,-1-11,1 0,-1-31,3 25,-6-32,4 33,0 1,2 1,1-1,2-1,0 1,2 1,14-53,-12 34,-5 37,0 1,0-2,1 2,0-1,5-10,-6 19,1-1,-1 0,0 0,1 1,-1-1,1 0,-1 1,1 0,0-1,-1 1,1 0,0 0,0 0,1-1,-1 1,0 0,0 1,0-1,0 1,0-1,1 1,1 0,10-1,-2 1,24 1,-17 1,44-2,36 2,-96-2,1 2,0-1,-1 0,2 0,-2 1,1-1,-1 1,0 0,0 0,1 0,-1 0,0 1,0-1,4 6,4 5,1 2,8 14,-3-4,-9-13,-1 0,-1 0,10 23,-10-19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0:32.5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3,'30'-1,"-17"0,-1 1,0 0,0 1,18 2,-27-2,0 0,-1-1,1 1,-1 0,1 0,-1 0,0 1,1-1,-1 1,0-1,0 1,0 0,0-1,0 1,0 0,-1 0,1 1,-1-1,1 0,-1 0,0 1,0-1,0 1,0-1,1 5,0 7,-1-1,0 0,-1 1,-2 17,1 28,1-58,1 1,-1 0,0-1,0 1,1-1,-1 0,1 1,-1-1,1 1,0-1,-1 0,1 1,0-1,0 0,0 0,0 1,0-1,0 0,0 0,3 1,-2 0,1-1,0 0,0 0,0 0,0 0,0-1,0 1,0-1,4 1,8-1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0:35.3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1 571,'0'-1,"0"0,1 0,-1 0,0 0,1-1,-1 1,1 0,-1 0,1 0,0 0,-1 0,1 0,0 0,0 0,0 1,-1-1,3-1,21-14,-11 8,-3 0,1 2,-1-1,1 1,1 1,-1 0,1 1,0 0,0 0,0 1,19-1,-29 3,-1 1,0 0,1 0,-1 0,0 0,1 0,-1 1,0-1,0 0,1 0,-1 1,0-1,0 1,1-1,-1 1,0 0,0-1,0 1,0 0,0 0,0 0,2 2,-2-1,0 0,1 1,-1-1,0 1,0 0,0-1,-1 1,1 0,0-1,-1 5,1 6,-1-1,-1 1,-4 21,2-19,-1-1,-8 21,6-20,1-1</inkml:trace>
  <inkml:trace contextRef="#ctx0" brushRef="#br0" timeOffset="1466.04">693 166,'16'0,"1"1,0 1,-1 0,1 1,-1 1,0 1,0 0,-1 1,1 1,-1 0,-1 1,18 13,-21-15,0 0,0-1,0 0,14 4,12 5,26 25,-62-39,0 0,0 1,0-1,0 1,0-1,0 1,-1 0,1-1,0 1,0 0,0 0,0-1,-1 1,1 0,0 0,0 2,-1-3,0 1,0-1,0 1,0 0,0-1,0 1,0-1,0 1,0-1,0 1,-1-1,1 1,0-1,0 1,-1-1,1 1,0-1,0 1,-1-1,1 0,-1 1,1-1,-1 1,-4 3,0-1,-1 0,1 0,-11 3,12-4,-56 23,-80 36,113-50,15-9</inkml:trace>
  <inkml:trace contextRef="#ctx0" brushRef="#br0" timeOffset="2782.29">82 875,'0'3,"0"4,0 4,0 3,0 2,-3-1,-1-1,1 0,-4 2,1 0,-2 1,-3 0,1 0,1-2</inkml:trace>
  <inkml:trace contextRef="#ctx0" brushRef="#br0" timeOffset="3625.32">164 875,'3'0,"3"0,5 0,3 0,2 0,1 0,1 0,1 0,-4 3,-3 7,-5 5,-3 3,-2 1,-2 1,0-1,-1 0,0 0,0-4</inkml:trace>
  <inkml:trace contextRef="#ctx0" brushRef="#br0" timeOffset="12627">1947 14,'0'-1,"0"1,0-1,-1 0,1 1,-1-1,1 1,0-1,-1 1,1-1,-1 1,1-1,-1 1,1-1,-1 1,0 0,1-1,-1 1,1 0,-1-1,0 1,1 0,-1 0,0 0,1 0,-2 0,-19-3,15 3,-1 0,1 1,0 0,-1 0,1 0,0 1,0 0,-7 3,-49 28,33-17,-18 7,-79 46,113-60,0 0,0 1,1 0,0 1,1 0,-19 25,20-19,9-14,0 0,-1-1,0 1,0 0,0-1,0 1,0-1,0 1,-5 2,3-2,0 1,0-1,1 1,-1 0,1 0,0 0,0 0,0 0,0 1,1-1,0 1,0 0,0 0,-2 8,2-3,1 1,0 0,0-1,1 1,0 0,3 12,-3-21,1 1,-1-1,1 1,0-1,0 1,0-1,0 1,0-1,0 0,1 0,-1 0,1 0,-1 0,1 0,0 0,0 0,0-1,0 1,0-1,0 1,0-1,1 0,-1 0,0 0,1 0,-1 0,1-1,2 1,8 1,0 0,0-1,0-1,17-1,-10 1,14 0,-15 0,-1 0,0-1,0 0,19-5,-33 5,1 0,0-1,-1 0,0 1,1-2,-1 1,0 0,0-1,0 0,0 0,0 0,-1 0,0 0,1-1,-1 0,0 1,-1-1,1-1,-1 1,3-5,-3 4,0-1,0 1,-1-1,1 0,-1 1,0-1,-1 0,1-8,-2 11,1 0,0-1,-1 1,0 0,0 0,0 0,0 1,0-1,0 0,-1 0,1 1,-1-1,0 0,0 1,0 0,0-1,-4-2,-3-1</inkml:trace>
  <inkml:trace contextRef="#ctx0" brushRef="#br0" timeOffset="14130.6">1927 31,'0'3,"3"1,1 3,0 3,-1 3,2 0,0-1,0-1</inkml:trace>
  <inkml:trace contextRef="#ctx0" brushRef="#br0" timeOffset="15094.61">1789 290,'-3'0,"-4"0,-4 0,-3 0,-2 0,-1 0,-1 0,0 0,2 0</inkml:trace>
  <inkml:trace contextRef="#ctx0" brushRef="#br0" timeOffset="16497.59">1800 621,'37'0,"0"-1,48-9,-38 4,-86 44,27-27,7-7,1 0,-1 0,1 0,0 1,0-1,-4 9,7-12,1 0,-1 0,1 0,0 1,-1-1,1 0,0 0,0 0,0 1,0-1,0 0,0 0,0 1,1-1,-1 0,0 0,1 0,-1 1,1-1,-1 0,1 0,0 0,-1 0,1 0,0 0,0 0,-1 0,1 0,0 0,0-1,0 1,0 0,0-1,0 1,1 0,-1-1,1 1,28 14,-18-8</inkml:trace>
  <inkml:trace contextRef="#ctx0" brushRef="#br0" timeOffset="17994.59">1994 321,'3'0,"4"0,3 0,1-3,1-1,2 0,1 1,1 1,1 1,1 0,0 1,-3 0</inkml:trace>
  <inkml:trace contextRef="#ctx0" brushRef="#br0" timeOffset="18724.73">1598 801,'3'0,"0"0,-1 1,1-1,-1 1,1 0,-1 0,0 0,1 0,-1 0,0 1,0-1,1 1,-1-1,2 3,27 30,-22-23,-1-2,-1 0,-1 1,0 0,0 0,-1 0,0 1,0-1,-2 1,1 0,-1 1,-1-1,0 0,1 20,-4-25,0-1,0 0,0 0,0 0,-1 0,0 0,0 0,-1 0,1 0,-1-1,0 0,0 1,-1-1,1 0,-5 4,-9 7,-1 1,-22 13,18-12,22-17,-1 0,1 0,0 0,0 0,0 0,0 0,0 0,0 0,0 0,0 0,0 0,0 0,-1 0,1 0,0 0,0 0,0 0,0 1,0-1,0 0,0 0,0 0,0 0,0 0,0 0,0 0,0 0,0 0,0 0,0 1,0-1,0 0,0 0,0 0,0 0,0 0,0 0,0 0,0 0,0 0,0 1,0-1,0 0,0 0,0 0,0 0,0 0,0 0,0 0,0 0,0 0,1 0,-1 0,0 0,0 1,0-1,8 1,13 0,-21-1,31 0,23 0,-50 0,1-1,-1 1,1-1,-1 0,1-1,-1 1,0-1,7-3,-1-3</inkml:trace>
  <inkml:trace contextRef="#ctx0" brushRef="#br0" timeOffset="19597.74">1649 878,'-3'0,"-4"0,-7 3,-1 4,-1 4,-1 3,0 2,0-1,2-1,1-3,3-2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1:18.1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83 446,'2'74,"-4"83,-3-127,-1 0,-1 0,-2-1,-1 0,-1 0,-18 32,24-49</inkml:trace>
  <inkml:trace contextRef="#ctx0" brushRef="#br0" timeOffset="854.99">87 340,'3'0,"4"0,4 0,3 0,2 0,1 0,4 0,2 3,-1 1,0 0,-2-1,-4 2,-4 3,-5 4,-3-1</inkml:trace>
  <inkml:trace contextRef="#ctx0" brushRef="#br0" timeOffset="1737.01">59 653,'3'0,"4"0,4 0,3 0,2 0,1 0,1 0,1 0,-1 0,0 0,0 0,0 0,0 0,0 0,0 0,-1 0,-2 0</inkml:trace>
  <inkml:trace contextRef="#ctx0" brushRef="#br0" timeOffset="4257.19">958 301,'-38'34,"27"-25,0 1,0 0,1 1,-10 12,0 7,0 1,-27 59,30-58,13-26,0 2,0-1,-4 15,1 6,1 1,1 0,0 37,5 91,2-65,-3-54,0-23,0 0,1 0,1 0,1 0,5 23,-4-26</inkml:trace>
  <inkml:trace contextRef="#ctx0" brushRef="#br0" timeOffset="27096.5">927 650,'14'0,"-1"1,0-1,0 0,1-1,-1-1,0 0,0-1,-1 0,22-8,-31 9,1 1,-1-1,0 1,1 0,-1 0,1 0,-1 0,1 1,-1-1,1 1,-1 0,1 0,0 0,-1 1,1-1,-1 1,1 0,3 1,-2 1,-1 0,1 0,-1 0,0 0,0 0,-1 1,1 0,-1 0,0 0,1 0,-2 0,4 6,-3-4,1 0,-1 0,-1 0,1 0,-1 0,0 1,0-1,-1 1,0-1,0 10,-1-12,0 1,-1 0,1-1,-1 1,-1-1,1 0,-1 1,1-1,-1 0,0 0,-1 0,1 0,-1 0,1 0,-7 5,-5 4,11-10,0-1,0 1,0 0,0 0,1 0,0 0,-3 4,5-7,0 1,0-1,-1 1,1 0,0-1,0 1,0-1,0 1,0-1,0 1,0 0,1-1,-1 1,0-1,0 1,0-1,1 1,-1-1,0 1,0-1,1 1,-1-1,0 1,1-1,-1 1,1-1,-1 0,1 1,-1-1,1 0,0 1,19 10,-16-8,19 8,-1 1,0 1,-1 1,-1 1,36 34,-55-48,1 1,0 0,-1 0,1 0,-1 0,0 0,0 0,0 0,0 1,0-1,0 0,0 1,-1-1,1 1,-1-1,0 0,0 1,0-1,0 1,0 3,-1-3,0 0,-1 0,1 0,0 0,-1-1,0 1,0 0,0-1,0 1,0-1,0 0,-1 1,-3 2,-3 1,0-1,0 0,0 0,-1 0,1-2,-1 1,0-1,-16 3,-11-2,0-2,0-1,-59-7,94 6,1-1,-1 1,0 0,0-1,1 1,-1-1,0 0,1 1,-1-1,1 0,-1 0,-2-2,-3-4</inkml:trace>
  <inkml:trace contextRef="#ctx0" brushRef="#br0" timeOffset="29308.5">1502 682,'34'-8,"-15"2,66-20,-69 19,-1 2,0 0,1 1,0 0,0 1,0 1,1 1,19 0,-34 1,1 1,-1-1,0 0,1 1,-1 0,0 0,0-1,0 1,0 1,0-1,0 0,0 0,0 1,0-1,0 1,-1 0,1-1,-1 1,2 3,0-1,-1 0,-1 0,1 0,0 0,-1 0,0 1,0-1,0 1,0 7,-1-3,0 1,-1 0,0 0,-1 0,0-1,0 1,-1-1,-6 17,3-16,-1 0,0 0,-9 10,5-7,11-13,-1 1,0 0,1 0,-1-1,1 1,-1 0,1 0,-1 0,1 0,0 0,-1-1,1 1,0 0,0 0,0 0,-1 0,1 0,0 0,0 0,1 0,-1 0,0 0,0 0,0 0,1 0,-1 0,0 0,1 0,-1-1,1 1,-1 0,1 0,-1 0,1-1,0 1,-1 0,1-1,0 1,-1 0,1-1,1 1,5 3,-1 0,1 0,0-1,11 3,-2 0,-10-3,-1 0,1 0,-1 0,1 0,-1 1,0 0,0 0,0 1,6 7,-9-10,-1 1,1 0,-1-1,0 1,1 0,-1 0,0 0,-1 0,1 0,0 0,-1 0,0 0,1 0,-1 0,-1 0,1 0,0 0,-1 0,1 0,-1 0,-2 5,2-6,0 0,0 0,0-1,-1 1,1-1,0 1,-1-1,1 0,-1 1,0-1,1 0,-1 0,0 0,0 0,1 0,-1-1,0 1,0 0,0-1,0 1,-3-1,-48 4,42-4,-140-1,126 0</inkml:trace>
  <inkml:trace contextRef="#ctx0" brushRef="#br0" timeOffset="29838.5">2235 950,'0'6,"0"5,0 4,-3 2,-1 7,-3 5,0 2,-2-6,1 0,1-1,3-3,1-1,1-4</inkml:trace>
  <inkml:trace contextRef="#ctx0" brushRef="#br0" timeOffset="31472.05">2712 572,'0'-3,"1"1,-1-1,1 0,0 0,0 1,0-1,1 1,-1-1,1 1,-1-1,1 1,0 0,0 0,0 0,0 0,0 0,0 0,1 1,-1-1,1 1,-1-1,1 1,-1 0,6-2,-1 1,1-1,0 1,-1 0,1 0,0 1,0 0,15 0,-14 2,-1 0,0 0,0 1,0 0,0 0,12 6,-16-6,0 0,0 1,-1-1,1 1,-1 0,1 0,-1 0,0 1,0-1,0 1,-1-1,1 1,2 6,-2-4,0 0,0 0,-1 0,0 1,2 9,-4-13,1 0,-1 0,0 0,-1 0,1 1,-1-1,1 0,-1 0,0-1,0 1,0 0,0 0,-1 0,-1 3,-1 0,0 1,-1-1,0 1,0-1,0-1,0 1,-1-1,0 0,0 0,-1 0,1-1,-1 0,0-1,0 1,0-1,-10 2,16-4,0-1,-1 0,1 0,0 0,0 1,0-1,0 1,0-1,0 1,0-1,0 1,0 0,0-1,0 1,0 0,-1 1,2-1,0-1,0 1,-1-1,1 1,0-1,0 1,1-1,-1 1,0-1,0 1,0-1,0 0,0 1,0-1,1 1,-1-1,0 1,0-1,1 0,-1 1,0-1,1 0,-1 1,0-1,1 0,-1 1,1-1,6 5,-1-1,1 0,13 6,-11-6,2 3,0 0,-1 0,0 1,0 0,-1 1,0 0,0 1,-1 0,-1 0,0 0,0 1,-1 0,0 1,-1-1,0 1,-1 0,4 17,-8-24,0 0,0 0,0 0,0 0,-1 0,0 0,0 0,0 0,-1-1,1 1,-1 0,0-1,-1 1,1-1,-1 0,0 0,0 0,0 0,0 0,-5 3,2-2,1 0,-1-1,0 1,0-1,-1-1,1 1,-1-1,1 0,-1-1,0 1,0-1,0-1,-9 2,-84-4,55 0,30 0</inkml:trace>
  <inkml:trace contextRef="#ctx0" brushRef="#br0" timeOffset="32254.04">3135 735,'1'-2,"0"0,1 0,-1 0,1 0,-1 0,1 0,0 1,-1-1,1 1,0-1,0 1,0 0,3-2,6-4,31-29,84-65,-126 100,1 0,0 1,-1-1,1 1,0-1,-1 1,1-1,0 1,0-1,-1 1,1 0,0 0,0-1,0 1,-1 0,1 0,0 0,0 0,0 0,0 0,0 0,-1 0,1 0,0 0,0 0,0 1,0-1,-1 0,1 1,0-1,0 0,-1 1,1-1,0 1,-1-1,1 1,0-1,-1 1,1 0,-1-1,1 1,-1 0,1 0,-1-1,1 1,-1 0,0 0,0-1,1 1,-1 1,2 6,0 0,-1 0,1 0,-1 10,-1-13,2 67,-14 133,8-174</inkml:trace>
  <inkml:trace contextRef="#ctx0" brushRef="#br0" timeOffset="33001.05">3798 1,'1'13,"1"1,0-1,1 1,1-1,4 13,7 23,16 96,-7 2,10 284,-36-387,-3 0,-1-1,-2 0,-17 48,24-86,0 0,-1 0,0 0,0-1,0 1,-5 6,-2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1:54.4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13924 241,'0'-1,"0"0,-1 0,1 0,0 1,-1-1,1 0,-1 0,1 0,-1 0,0 0,1 1,-1-1,0 0,1 1,-1-1,0 0,0 1,0-1,0 0,-21-11,20 11,-19-6,0 0,-1 2,0-1,0 2,-44-1,39 2,-555-44,-228-22,344 24,-1 32,401 16,1 3,-68 17,-125 41,1 1,193-54,-111 4,-67-12,162-4,-157 3,-2 10,3 12,-260 59,303-38,-322 65,145-61,21-4,3 23,172-23,-205 47,-250 0,336-65,-204 25,11 42,439-83,2 3,-1 3,-67 35,93-40,-32 28,4-4,-6-4,39-25,2 1,0-1,1 2,0-1,-1 3,2-2,-16 19,27-27,-1-1,1 0,0 1,-1-1,1 1,0-1,-1 1,1-1,0 1,-1-1,1 1,0-1,0 1,0-1,0 1,-1-1,1 1,0-1,0 1,0-1,0 1,0-1,0 1,1 0,-1-1,0 2,0-2,0 1,0-1,1 1,-1-1,0 1,0-1,1 1,0 0,0 0,1 0,-1 0,1-1,0 1,-1 0,1-1,0 1,0-1,-1 0,1 1,2-1,6 0,0 0,1 0,11-3,102-14,-122 16,0 1,0 0,0 0,0-1,0 1,0-1,1 0,-1 1,0-1,0 0,0 0,-1 0,1-1,0 1,-1 0,1 0,-1-1,1 1,-1-1,2-3,2-6</inkml:trace>
  <inkml:trace contextRef="#ctx0" brushRef="#br0" timeOffset="647.01">4062 1064,'0'3,"0"4,0 3,0 5,0 2,0 1,0 1,0 0,0 0,0 0,0-1,0 1,-3-3,-1-2,0 0,1-2</inkml:trace>
  <inkml:trace contextRef="#ctx0" brushRef="#br0" timeOffset="2409.99">4324 1034,'-2'-1,"0"-1,0 1,0-1,-2 0,2 1,0 0,-1 0,1 0,-1 0,0 1,1-1,-4 1,-37-2,28 1,-259-2,-41-2,266 2,-523-2,504 13,-65 17,69-12,-76 7,-73-14,130-7,1 4,-150 26,56 16,80-19,-150 20,-97-27,-4-21,139 0,83 0,-151 4,271-2,0 1,0 1,1-1,-1 0,1 1,0 0,-1 0,1 1,0-1,-7 6,0 1,1-1,-13 17,23-25,-1 1,1-1,-1 0,1 1,-1-1,1 1,0-1,-2 0,2 1,0-1,0 1,-1-1,1 1,0-1,0 1,0 0,-1-1,1 1,0-1,0 1,0-1,0 1,0-1,0 1,0 0,0-1,0 2,1-2,-1 1,0 0,1 0,1 0,-1-1,0 1,0 0,0-1,0 1,0-1,0 1,0-1,0 1,1-1,-1 0,2 1,46 1,-45-2,297-2,-270 2</inkml:trace>
  <inkml:trace contextRef="#ctx0" brushRef="#br0" timeOffset="3171.99">0 1197,'0'-3,"3"-3,1-5,0-4,2-1,0-2,0-1,1 0,2-3,4 2,1 2,0 0,0 0,-3 4</inkml:trace>
  <inkml:trace contextRef="#ctx0" brushRef="#br0" timeOffset="4329.59">3983 149,'0'6,"0"12,0 12,-3 6,-11 14,-5 10,-2 1,-3-3,3-8,3-11,4-8,6-6,4-1,2-2,2 2,0-1,1-3</inkml:trace>
  <inkml:trace contextRef="#ctx0" brushRef="#br0" timeOffset="4987.63">3854 263,'151'166,"-129"-140,1 0,-3 2,31 51,-49-73,1-1,0 0,1 0,-1 0,1-1,9 10,-12-13,0-1,0 1,0-1,0 1,0-1,0 1,0-1,0 1,0-1,0 0,0 0,1 0,-1 1,0-1,0 0,0 0,2-1,-1 1,-1-1,1 0,-1 1,1-1,0 0,-1 0,1 0,-1 0,0 0,1-1,-1 1,0 0,0 0,2-4,11-15,-2-2,0-1,12-31,-5 12,61-161,-68 169</inkml:trace>
  <inkml:trace contextRef="#ctx0" brushRef="#br0" timeOffset="5403.46">4468 351,'3'0,"1"3,2 1,5 3,2 0,2-1,2-1,2-2,-1-2,0 0,1-1,-1 0,0 0,1-1,-4 1</inkml:trace>
  <inkml:trace contextRef="#ctx0" brushRef="#br0" timeOffset="6008.46">4899 329,'56'-57,"64"-48,-74 65,51-38,-96 77,0 0,1 0,-1 0,0-1,0 1,0 1,1-1,-1 0,0 1,0-1,1 1,-1 0,1-1,-1 1,0 0,1 0,-1 0,1 0,-1 0,0 0,1 0,2 1,-3 0,0 0,0 0,0 2,0-2,0 1,0-1,0 1,0-1,0 1,-1-1,1 1,-1 0,0-1,1 1,-1 0,0-1,0 1,0 0,0 3,0 33,-2 1,-1 1,-2-1,-18 69,0-6,17-41,6-46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3:06.84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1684 4318,'3'59,"13"79,0-15,-14-45,-2-56,0 0,2 0,6 36,-5-43,-1 0,0 1,-1 17,-1-18</inkml:trace>
  <inkml:trace contextRef="#ctx0" brushRef="#br0" timeOffset="941.99">1 5511,'0'-2,"1"0,0 0,-1 0,1 0,0 0,0 1,0-1,0-1,0 2,0-1,1 0,-1 1,1 0,3-3,3-4,141-142,-123 128,2 0,-1 2,1 1,39-20,-60 36,-1 0,0 0,1 1,-1 0,2 0,6-1,-13 3,0-1,1 1,-1 0,0 0,1 1,-1-1,0 0,1 0,-1 1,0-1,0 0,1 1,0-1,-1 1,0 0,0-1,1 1,-1 0,0 0,0 0,0 0,0 0,-1 0,1 0,0 0,0 0,0 0,-1 0,1 1,-1-1,1 0,-1 0,1 1,-1-1,0 0,0 2,3 17,-1-2,-1 1,0-1,-2 1,-2 19,-1-7,-2 0,-13 37,-32 62,0-4,47-114</inkml:trace>
  <inkml:trace contextRef="#ctx0" brushRef="#br0" timeOffset="1345">565 5582,'3'6,"1"4,-1 5,0 5,-1 2,0 4,-1-1,-1 3,0 3,0-2,-3 0,-2-1,2-3,-1-5</inkml:trace>
  <inkml:trace contextRef="#ctx0" brushRef="#br0" timeOffset="2249.99">989 5191,'-27'30,"1"2,1-1,2 2,-25 47,44-73,1 1,-1 0,2-1,-1 1,2 0,-1 0,1 1,0-1,1 0,0 0,0 0,1 2,3 13,-2-12,1 1,1-1,0 0,0 0,1 0,0-1,1 0,0 0,9 10,-10-13,0-2,1 1,1 0,-1-1,0 0,1-1,0 1,-1-1,3-1,12 6,-17-7,1-1,0 0,-1 0,1-1,-1 0,1 1,-1-1,2-1,-2 1,1-1,-1 1,0-1,1-1,-1 1,0 0,2-1,-2 0,0 0,0-1,6-3,1-2,0-1,-1 1,1-1,-2-1,0 0,-1 0,1-1,-1 0,-1 0,-1-1,0 0,1 0,6-25,-7 6,0 1,-2-1,1-60,-5 88,0-8,-1 0,1 0,-6-17,5 24,0 0,-1 0,0 0,0 0,0 0,0 1,-1-1,1 0,-1 1,0-1,-8-5,6 4,-1 0,0 1,0 0,0 0,-1 0,0 1,1 0,-1 0,0 1,-1 0,1 0,0 0,-14 0,5 1</inkml:trace>
  <inkml:trace contextRef="#ctx0" brushRef="#br0" timeOffset="3210.99">1426 5302,'3'-3,"1"1,0-1,0 1,1-1,-1 1,0 0,0 1,1-1,6-1,43-5,-40 7,0 0,-1 2,1-1,0 2,-1 0,1 0,-1 1,1 1,13 6,-17-6,0 0,-1 1,1 0,-1 1,-1 0,0 0,1 1,-1 0,-1 0,0 1,0 0,8 12,-12-16,-1 0,0 1,0-1,0 0,-1 1,1 0,-1-1,0 1,-1 0,1-1,-1 1,0 0,0 0,0-1,-1 1,0 0,1 0,-2-1,1 1,-1-1,1 1,-1-1,0 1,-1 0,-2 4,3-7,1 1,-1 1,1-1,0 0,1 0,-1 0,-1 0,2 1,0-1,0 0,0 0,0 1,0-1,0 0,2 0,-1 1,0-1,0 0,2 5,4 7,1 1,17 23,-3-3,-17-27,0 0,-1 1,0-1,-1 1,0 0,-1 0,0 0,0 1,-1 0,1-1,-2 0,-2 1,0 11,2-20,-1 0,0 0,0 0,0-1,0 1,-1 0,1 0,0-1,-1 1,1-1,-1 1,1-1,-1 0,0 0,1 0,-1 0,0 0,0 0,0 0,0 0,-1-1,1 1,0-1,-4 1,-7 1,-1-1,-25 0,22-2,-53 3,-1-4,-111-17,123 7</inkml:trace>
  <inkml:trace contextRef="#ctx0" brushRef="#br0" timeOffset="5932.23">1702 351,'0'3258,"1"-3239,1-2,4 22,-1-20,0 30,4 28,-5-51,0 30,-3-12,-3 249,2-280,-1 1,-1-1,0 0,-1 1,0-1,-9 19,12-32,0 1,-1-1,1 1,0-1,0 1,0-1,-1 1,1-1,0 1,0-1,-1 0,1 1,0-1,-1 1,1-1,-1 0,1 1,0-1,-1 0,1 0,-1 1,1-1,-1 0,1 0,-1 0,1 1,-1-1,1 0,-1 0,1 0,-1 0,1 0,-1 0,1 0,-1 0,1 0,-1-1,-6-4</inkml:trace>
  <inkml:trace contextRef="#ctx0" brushRef="#br0" timeOffset="6853.24">2454 1885,'2'1,"-1"0,0 0,1 0,0 0,-1 0,0 0,0 1,0-1,0 0,0 1,0-1,-1 1,1-1,0 1,-1-1,1 1,0 2,4 13,-1 1,-1 0,0 0,0 22,-4 74,-3-73,-2-1,-1 0,-2 1,-27 67,-83 144,103-223,-39 53,42-65</inkml:trace>
  <inkml:trace contextRef="#ctx0" brushRef="#br0" timeOffset="7344.24">2897 2611,'0'3,"-3"13,-10 16,-10 17,-12 19,-13 13,-11 7,-17 10,-8 7,-1 0,0-8,12-16,15-18,18-16,17-14,9-12</inkml:trace>
  <inkml:trace contextRef="#ctx0" brushRef="#br0" timeOffset="7871.24">3221 3103,'0'3,"0"4,0 7,-3 16,-4 9,-8 10,-3 5,-8 4,-7-4,0 2,0-2,1-9,7-10</inkml:trace>
  <inkml:trace contextRef="#ctx0" brushRef="#br0" timeOffset="8314.25">3574 3358,'0'6,"0"8,-3 10,-4 11,-4 5,-4 2,-7 5,-4 4,-1-2,2-9,5-6,2-7,5-8</inkml:trace>
  <inkml:trace contextRef="#ctx0" brushRef="#br0" timeOffset="8828.24">4403 3464,'0'3,"0"4,0 4,-3 2,-5 3,-6 8,-1 2,-5 3,-5 1,-4-4,-6 1,-1-5,-6 1,1-1,4-5,8-4</inkml:trace>
  <inkml:trace contextRef="#ctx0" brushRef="#br0" timeOffset="9314.23">5156 3677,'0'3,"0"4,0 3,-7 4,-5 5,-2-1,-4 0,-3 3,0 1,-1 2,-1 0,-2 0,0-1,1-6,2-2,0-3,6-4</inkml:trace>
  <inkml:trace contextRef="#ctx0" brushRef="#br0" timeOffset="9692.24">6212 3889,'0'3,"-3"4,-4 1,-5 2,-4 5,-5 3,0 2,-2 0,-1 3,-4 0,1 0,1-5,2-1,6-5</inkml:trace>
  <inkml:trace contextRef="#ctx0" brushRef="#br0" timeOffset="10158.24">7191 4024,'-1'2,"0"0,0 0,0 0,0-1,-1 1,1 0,0 0,-1-1,1 1,-2-1,1 1,1-1,-4 2,-1 3,-11 8,-1 0,-36 19,38-23,-1 0,1 1,0 2,-19 18,29-25,0 0,0 0,-1-1,-1 0,1 0,0 0,-1-1,-15 6,2-2</inkml:trace>
  <inkml:trace contextRef="#ctx0" brushRef="#br0" timeOffset="10507.23">7900 4083,'0'3,"0"4,-3 4,-1 3,-1 2,-1 1,-3-1,0-1,0-4</inkml:trace>
  <inkml:trace contextRef="#ctx0" brushRef="#br0" timeOffset="12648.23">2556 476,'0'6,"0"11,3 14,2 15,4 5,2 6,-1-4,-2-4,-3-9,-2-7,-1-7,-2-4,0-3,0-4</inkml:trace>
  <inkml:trace contextRef="#ctx0" brushRef="#br0" timeOffset="13789.78">2523 525,'0'-3,"1"-1,0 1,-1 0,1 0,0 0,2-1,-2 1,0 0,1 0,0 1,-1-1,1 0,1 0,-1 1,0-1,0 1,1 0,0 0,2-2,10-6,-1 1,26-11,-21 12,-15 5,1 1,0 0,2 0,-2 1,0-1,0 1,1 0,-1 1,2-1,-2 1,1 0,-1 1,0-1,1 1,0 0,-1 0,10 4,-3 0,0 1,0 0,-2 0,2 2,-2-1,17 15,-11-5,1 1,-2 0,-1 1,-1 0,1 1,15 40,-28-57,0-1,-1 1,2-1,-2 1,0 0,1-1,-1 1,-1 0,1 0,0 0,-2-1,2 1,-1 0,0-1,1 1,-1-1,-1 0,1 1,0-1,0 0,-1 1,0-1,-3 3,-4 5,-1 0,1-1,-17 11,18-15,1-1,0 0,-2 0,1 0,0-1,0 0,-2-1,2 0,-1 0,-12 1,19-3,0 0,-1 1,1-1,0 1,0 0,0 0,0 0,-1 0,1 0,-2 2,-4 4</inkml:trace>
  <inkml:trace contextRef="#ctx0" brushRef="#br0" timeOffset="15434.78">2683 964,'0'3,"0"4,3 4,4 6,5 3,1-2,1-1,-3 0,-1-4,-1 0,-2 1,-3 0,-2-2</inkml:trace>
  <inkml:trace contextRef="#ctx0" brushRef="#br0" timeOffset="16510.78">6310 136,'2'165,"-4"175,-3-308,5-32,0 0,0 0,0 0,0 0,0 0,0 1,0-1,0 0,0 0,0 0,0 0,-1 0,1 0,0 0,0 0,0 0,0 0,0 1,0-1,0 0,0 0,0 0,0 0,0 0,0 0,0 0,0 0,-1 0,1 0,0 0,0 0,0 0,0 0,0 0,0 0,0 0,0 0,0 0,-1 0,1 0,0 0,0 0,0 0,0 0,0 0,0 0,0 0,0 0,0 0,0 0,-1 0,1 0,0 0,0 0,0 0,0 0,0-1,0 1,0 0,0 0,0 0,0 0,-4-17,-2-74,6 73</inkml:trace>
  <inkml:trace contextRef="#ctx0" brushRef="#br0" timeOffset="17397.78">6264 96,'0'-2,"0"-1,0 1,1 0,-1 0,1 0,-1-1,1 1,0 0,0 0,0 0,0 0,0 0,0 0,1 1,-1-1,0 0,1 1,0-1,-1 1,1-1,0 1,0 0,0-1,0 1,0 0,1 0,-1 1,0-1,0 0,0 1,4-1,7-1,2 0,-2 1,2 0,14 2,-11 0,31-1,97 15,-125-11,1 1,0 1,-2 1,1 0,-1 2,35 19,-51-25,0 0,-1 1,2 0,-2 0,0-1,0 1,0 0,-1 0,1 1,-1-1,0 0,0 1,-1 0,1-1,-1 1,0 0,0-1,0 1,-1 0,0 0,0 0,0 0,-1 5,0 2,-1 0,0 0,-1 0,0-1,-1 0,0 1,-1-1,-10 14,4-7,-2-1,-1 0,0 0,-2-2,-23 20,27-26,0 0,0-1,-1 0,0-1,0 0,-1-1,0-1,-26 7,22-9,0-2,0 0,-34-3,40 1,-6 0</inkml:trace>
  <inkml:trace contextRef="#ctx0" brushRef="#br0" timeOffset="18650.78">6300 528,'0'3,"0"4,0 4,0 3,-3 5,-5 2,0 1,1-1,2 0,2 0,1-2,1-1,-1 0,4-1,-2 1,0-1,0-2</inkml:trace>
  <inkml:trace contextRef="#ctx0" brushRef="#br0" timeOffset="20378.78">7217 242,'19'0,"2"2,-2 0,1 2,19 5,78 28,-69-20,174 47,-220-64,0 1,0-1,0 1,0 0,-1 0,1 0,0 0,0 0,-1 0,1 0,0 0,-1 0,1 1,1 2,-2-3,-1 0,0 0,0 0,0 0,0 0,0 1,0 0,-1-1,1 0,0 0,0 0,-1 0,1 0,-1-1,1 1,-1 0,1 0,-1 0,1 0,-1 0,0-1,1 1,-1 0,0 0,0-1,0 1,0-1,1 1,-1-1,-1 1,-16 10,1 0,-1-2,0 0,-1-1,1 0,-2-2,1 0,-1-1,0-2,-23 3,-28-1,-109-5,155-1,9 1</inkml:trace>
  <inkml:trace contextRef="#ctx0" brushRef="#br0" timeOffset="21539.78">8836 1,'-5'128,"3"-108,-1-1,-1 0,-1 0,-12 28,7-24,-2-1,-1 0,0-1,-2-1,0 0,-1-1,-2 1,-36 28,33-30,-3-2,1 0,-1-1,-1-2,-1 0,0-2,-48 15,55-22,-1-1,2-1,-2-1,0 0,1-1,-24-4,32 2,2 0,0 0,-1-1,1-1,0 1,0-1,0-1,0 0,1 0,0-1,0 1,0-2,1 1,1-1,-1 0,0-1,1 1,1-1,0 0,0-1,-7-16,10 19,1 0,0 0,1 0,-1 0,1-1,1 1,-1 0,1 0,0-2,0 2,1 0,0 0,1 0,-1 1,1-1,0 0,6-8,-1 2,1 2,0-1,0 1,1 0,1 1,-1 0,15-8,-20 14,0-1,0 1,1 0,0 0,0 1,0 0,0 0,0 0,0 1,1 0,6-1,-8 2,-1 1,1-1,1 1,-1 0,-1 0,1 0,-1 1,1 0,-1 0,1 0,-1 0,1 1,-2-1,1 1,4 3,97 91,-71-63,2 0,48 32,-47-45,-28-16,2 1,-2 0,17 13,32 35,83 69,-123-111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3:35.21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835 124,'-1'26,"-1"0,-1 0,-2 0,-1-1,0 0,-2 0,-1-1,-1 0,-1 0,-1-1,-21 31,-3-4,-3-2,-1-1,-76 67,85-85,-2-2,-63 41,84-60,-1-1,1-1,-2 0,1-1,0 0,-1-1,0 0,0-1,0-1,-1 0,1-1,-16-1,26-1,0 0,0-1,0 1,0-1,0 0,0 0,0 0,1 0,-1-1,1 1,0-1,-1 0,1 0,0 0,1-1,-1 1,-3-7,-5-7,1 0,-10-24,13 23,0-1,1 1,1-1,1 0,0 0,2-1,0 1,1-1,1 1,3-30,-2 45,0 0,-1 0,1 1,1-1,-1 0,0 1,1-1,0 1,0 0,0-1,0 1,0 0,1 0,-1 1,1-1,0 0,0 1,0-1,6-2,-7 4,1-1,0 1,0 0,0 0,0 1,1-1,-1 0,0 1,0 0,0 0,0 0,1 0,-1 1,0-1,0 1,0-1,0 1,0 0,0 1,0-1,0 0,0 1,4 3,17 13,23 23,16 13,234 133,-292-184,0 0,0 0,1 0,-1-1,0 0,1 0,-1-1,1 0,0 1,0-2,-1 1,1-1,0 0,6-1,14-4</inkml:trace>
  <inkml:trace contextRef="#ctx0" brushRef="#br0" timeOffset="747">1590 291,'-2'0,"0"1,0-1,0 1,0 0,0 0,0 0,1 0,-1 0,0 0,1 1,-1-1,-1 3,-4 1,-36 28,-2-3,-1-2,-1-1,-63 24,97-46,8-3,0-1,0 1,0 0,1 0,-1 1,0-1,1 1,0 0,0 0,0 0,0 1,-6 7,9-10,1 0,0 0,0 0,0 0,0 0,0 0,0 0,0 0,0 0,0 0,0 0,1 0,-1 0,0 0,1 0,-1 0,1 0,-1 0,1 0,-1 0,1-1,0 1,-1 0,1 0,0 0,0-1,0 1,0-1,-1 1,1-1,0 1,0-1,2 1,35 17,-36-17,39 11,1-1,0-2,50 4,-3-1,-79-9,1 0,-1 0,0 1,19 10,-1-1,-16-8</inkml:trace>
  <inkml:trace contextRef="#ctx0" brushRef="#br0" timeOffset="1414">2490 143,'-22'309,"11"-201,10-83,-1 1,1-46,2-69,-1 70</inkml:trace>
  <inkml:trace contextRef="#ctx0" brushRef="#br0" timeOffset="2883.52">2454 93,'0'-2,"0"-1,0 0,1 1,-1-1,1 0,0 1,-1-1,1 1,0-1,1 1,-1 0,0-1,1 1,-1 0,1 0,0 0,2-3,0 2,0-1,1 1,-1 0,1 1,0-1,0 1,0 0,6-2,6-1,1 1,0 1,0 1,20 0,-10 0,-14 1,0 0,0 1,-1 0,1 1,0 1,13 3,-20-3,-1 1,1 0,-1 0,0 0,0 1,-1 0,1 0,-1 0,0 1,0 0,0 0,0 0,-1 1,5 7,-2-1,-1 2,0-1,-1 0,0 1,5 24,-9-32,1-1,-1-1,0 1,-1 0,1 0,-1 0,0 9,-1-12,1 0,-1 0,0 0,1 0,-1 0,0 0,0-1,-1 1,1 0,0-1,0 1,-1-1,1 1,-1-1,1 0,-1 0,0 1,0-1,1 0,-4 1,2-1,-8 6,0-2,-1 1,1-2,-1 1,0-1,0-1,-23 3,-29 3,44-6,-36 2,41-5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3:44.74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109 172,'0'0,"0"0,0-1,0 1,0 0,0 0,0 0,0-1,0 1,0 0,0 0,0-1,0 1,0 0,0 0,0 0,0-1,0 1,0 0,0 0,1 0,-1 0,0-1,0 1,0 0,0 0,0 0,1 0,-1 0,0-1,0 1,0 0,0 0,1 0,-1 0,0 0,0 0,0 0,1 0,-1 0,0 0,0 0,0 0,1 0,-1 0,0 0,0 0,1 0,-1 0,0 0,1 0,-1 1,0-1,2 0,-2 0,0 1,1-1,-1 0,0 1,0-1,1 0,-1 1,0-1,0 1,0-1,0 0,0 1,0-1,1 1,-1-1,0 0,0 1,0-1,0 1,0-1,0 0,-1 1,1-1,0 1,-2 5,-1-1,0 0,1 0,-1 0,0-1,-8 8,-6 12,7-7,1 0,1 0,0 1,2 0,0-1,1 2,-3 28,1-18,5-21,0 1,0-1,1 1,0 15,1-22,0 0,0-1,1 1,-1 0,0-1,1 1,-1 0,1-1,0 1,-1-1,1 1,0-1,0 1,0-1,1 0,-1 1,1-1,-1 0,0 0,0 0,1 0,-1 0,1 0,-1 0,1-1,-1 1,2 0,-2-1,1 1,2-1,8 3,-1 0,1-2,1 1,-2-1,1-1,1 0,-2-1,1 0,1 0,-2-1,1-1,0 0,12-5,133-55,-155 62,1 0,0-1,-1 0,0 1,2-1,-2 0,0 0,0 0,0-1,0 1,-1 0,1-1,-1 1,2-1,-2 1,0-1,0 0,0 1,0-1,0 0,-1 0,1-4,0-8,0 1,-1 0,-3-20,1 14,0-3,-9-41,9 57,0 0,0 1,-1-2,-1 1,1 1,0-1,-1 0,0 1,-8-9,9 12,-1 0,-1 0,2 0,-1 1,0 0,-1-1,1 1,-1 1,1-1,-1 0,0 1,1 0,-1 0,0 1,0-1,-10 1,6 0,-1 1,0 0,0 1,0 0,1 0,-1 1,-10 5,-31 12,31-13</inkml:trace>
  <inkml:trace contextRef="#ctx0" brushRef="#br0" timeOffset="572">520 371,'0'3,"-3"4,-1 3,0 4,-2-1,-1 0,1 2,-1 0,1 1,-1 0,4 2,3-4,3-3</inkml:trace>
  <inkml:trace contextRef="#ctx0" brushRef="#br0" timeOffset="1716.1">969 165,'-1'3,"0"0,1 0,-1 0,-1 0,1 0,0 0,-1 0,-4 5,-5 13,7-6,-1 0,2 0,1 0,1 1,0-1,1 1,0 0,1-2,5 22,-5-34,0 1,0-1,1 1,0-1,-1 1,1-1,0 0,0 0,0 0,0 0,0 0,1 0,-1 0,0-1,1 1,-1-1,1 0,-1 0,2 0,-1 0,-1 0,1 0,0-1,0 1,-1-1,2 0,-1 1,0-2,0 1,-1 0,1 0,5-2,-4 2,0-1,1 0,-2 0,1 0,0 0,1 0,-2-1,1 0,-1 0,1 0,0 0,-1 0,0-1,0 1,0-1,0 0,0 0,0 0,-1 0,0 0,0-1,0 1,2-5,5-40,-8 37,0 0,1 0,7-18,2 1,-3 11,8-27,-15 40,0 0,0-1,0 1,-1 0,0-1,0 1,0 0,0-1,-1 1,1 0,-1-1,-2-4,1 8,2-1,-1 1,0-1,0 1,-1 0,1-1,0 1,0 0,0 0,-1 0,1 0,-1 0,1 0,-2 0,2 0,-1 1,-2-2,-38-6,6 0,9-5,18 5</inkml:trace>
  <inkml:trace contextRef="#ctx0" brushRef="#br0" timeOffset="2543.1">1432 0,'-1'4,"0"0,1-1,-1 1,-1 0,1-1,0 1,-1-1,0 1,-5 5,5-5,-1 0,1 1,0-1,0 1,-3 5,5-9,-1 1,1 0,0-1,0 1,0 0,0-1,0 1,1 0,-1-1,0 1,1-1,-1 1,1-1,0 1,-1-1,2 1,-1-1,0 1,0-1,2 2,1 1,0 0,2 0,-1-1,0 1,1-1,-1 0,11 3,23 15,-37-19,0 0,0 0,0 0,0 0,1 0,-2 0,1 1,-1-1,1 0,-1 1,0 0,0-1,1 6,0 0,-2-1,1 2,-1-1,-1 1,1-1,-1 0,-1 0,1 1,-2-1,1 0,-1 0,-1-1,0 1,1-1,-2 1,1-1,-11 11,13-16,-1-1,2 1,-1 0,0-1,0 1,0-1,0 0,0 0,0 0,-1 0,0 0,1 0,0 0,-1-1,1 1,0-1,-2 0,2 1,0-1,-1 0,1-1,-1 1,1 0,0-1,-2 1,2-1,0 0,-1 0,1 0,-3-1,-7-7</inkml:trace>
  <inkml:trace contextRef="#ctx0" brushRef="#br0" timeOffset="3084.26">1487 14,'3'0,"5"0,3 0,4 3,5 4,6 4,5 3,4-1,-3-1,-1-1,-4-2,-3-4,-6-2</inkml:trace>
  <inkml:trace contextRef="#ctx0" brushRef="#br0" timeOffset="4068.25">2303 74,'0'1,"0"1,-1 0,1 0,-1-1,1 1,-1 0,0-1,0 1,0-1,0 1,-1-1,1 1,0-1,0 0,-1 0,1 1,-2 0,-28 17,-20 5,-72 24,64-27,-69 19,128-40,0 0,0 0,-1 0,1 0,0 0,0 0,0 0,0 0,-1 0,1 0,0 0,0 0,0 0,-1 0,1 1,0-1,0 0,0 0,0 0,0 0,-1 0,1 0,0 0,0 1,0-1,0 0,0 0,0 0,0 0,-1 1,1-1,0 0,0 0,0 0,0 0,0 1,0-1,0 0,0 0,0 0,0 1,0-1,0 0,0 0,0 0,0 0,0 1,0-1,1 0,10 4,22-1,227-3,-243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4:02.72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276 1,'-21'21,"0"1,2 1,-1 1,4 1,-1 0,-21 45,-64 141,97-199,0 0,-4 23,8-30,0 0,1 0,-1-1,1 1,0 0,1 0,-1 0,1-1,0 1,2 7,-2-11,0 1,0-1,0 1,0-2,0 1,0 0,1 1,-1-1,0 0,2 0,-2 0,1 0,-1 0,1-1,0 1,-1 0,1-1,0 1,-1-1,1 1,2-1,44 2,-36-3,42 0,1-3,0-2,-2-2,80-22,-129 29,0 0,0 0,0-1,0 0,0 0,-1 0,2 0,-2 1,1-2,-1 0,0 0,0 0,0 0,4-4,-5 3,0 0,-1 0,1-1,-1 1,2 0,-2 0,-1-1,1 1,-1-1,1 1,-1-1,-1-7,-10-135,11 143,-1 0,0 0,0 0,0 0,0 1,-1-1,1 1,-1-1,0 0,0 1,-1 0,1 0,-1 0,0 0,1 0,-8-4,-4-2,0 0,-31-14,33 17,1 1,0-2,-1 0,-14-11,-12-16,29 27</inkml:trace>
  <inkml:trace contextRef="#ctx0" brushRef="#br0" timeOffset="496.97">736 362,'3'3,"1"4,-1 4,2 5,-3 3,-1 1,0 3,-1 1,0 1,0 3,0 3,-3-3,-3 1,0 2,-4-6,0-3,2-6</inkml:trace>
  <inkml:trace contextRef="#ctx0" brushRef="#br0" timeOffset="1205">1033 75,'-1'48,"-11"77,11-121,0 0,1-1,-2 1,2 0,0-2,0 2,2 0,-2-1,1 1,1 4,-1-6,0-1,0 1,1 0,-1 0,1-1,-1 1,1-1,0 1,-1-1,1 0,0 0,0 0,0 0,0 0,0 0,0 0,0-1,0 0,4 1,17 4,1 0,0-2,31 1,77-6,-51 0,-64 2</inkml:trace>
  <inkml:trace contextRef="#ctx0" brushRef="#br0" timeOffset="1620">1349 132,'0'3,"-3"7,-1 3,-3 7,-3 5,-1 5,0 2,1 1,1 2,4-3,2-4,1-6</inkml:trace>
  <inkml:trace contextRef="#ctx0" brushRef="#br0" timeOffset="3132.03">1791 31,'-10'8,"-3"5,0-1,-17 23,27-30,-1 0,1 1,0 0,1 0,-2-1,2 1,0 1,1-1,-1 0,1 10,-7 44,5-37,0-1,1 34,3-52,-1-1,1 0,0 1,0 0,0-1,0 1,0-2,1 2,0-1,-1 0,1 1,1-1,-1 0,4 3,0-2,-1 1,0-1,0-1,1 1,0-2,-1 2,13 3,-5-3,0 0,0-1,0-1,1 0,-1 0,1-1,22-2,-31 1,1-1,-2 0,1 0,-1 0,1 0,-1 0,0-1,1 0,0 0,-1 0,0-1,0 0,-1 0,1 0,-1 0,1 1,-1-2,0 1,-1-1,1 0,1 0,-2 1,0-1,0 0,0-1,-1 1,1 0,-1 0,0-1,0 1,-1-1,1 0,-1 2,0-2,-1 0,1 1,-1-1,0 2,0-2,0 0,0 1,-3-6,2 8,1 0,-1 0,0 0,0 0,0 0,0 1,0-1,0 0,0 1,-1-1,1 1,0 0,-1 0,1 1,0-1,-5-1,-51-8,23 4,13 2,-1-1,-37-2,39 7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5:50.2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150 1,'-1'16,"-1"-1,-1 0,0 1,-1-1,-9 22,1 0,2-4,-50 179,49-162,2 0,-3 65,11-55,1-30,-5 36,2-47</inkml:trace>
  <inkml:trace contextRef="#ctx0" brushRef="#br0" timeOffset="667">344 107,'1'0,"0"0,-1 0,1 1,0-1,-1 0,1 1,-1-1,1 0,0 1,-1-1,1 1,-1-1,1 0,-1 1,0 0,1-1,-1 1,1-1,-1 1,0-1,0 1,1 0,-1-1,0 1,0 0,0-1,1 2,2 22,-3-20,4 225,-6-128,0-64,-2-1,-1 1,-12 40,-2 10,15-62</inkml:trace>
  <inkml:trace contextRef="#ctx0" brushRef="#br0" timeOffset="1503.8">136 445,'3'0,"7"0,8 0,7 0,1 0,4 0,-1 0,-3 0,-5 0</inkml:trace>
  <inkml:trace contextRef="#ctx0" brushRef="#br0" timeOffset="6708.86">626 551,'-10'0,"0"0,0 1,0 0,0 0,-17 6,22-5,1-1,0 2,0-1,-1 0,2 1,-1 0,0 0,0 0,1 0,0 0,0 1,0 0,0-1,-4 8,4-6,-3 6,0-1,0 1,1 0,-5 16,9-24,0 0,1 0,-1 0,1 0,0 0,0 1,0-1,0 0,0 0,1 0,-1 0,1 0,0 0,0 0,0 0,1 0,-1 0,0 0,1 0,0-1,3 5,1-1,46 48,-46-49,-1-1,1 1,0-2,0 1,0-1,0 1,1-2,10 4,-13-5,22 6,31 3,-50-9,0 0,0-1,0 0,0 0,0-1,-1 1,1-2,0 1,0-1,6-2,-11 2,0 1,1-1,-1 0,0 0,0 0,-1 0,1 0,0-1,-1 1,1 0,-1-1,0 1,0-1,0 1,0-1,1-5,8-47,-9 51,2-17,-2 0,0-31,-1 47,-1-1,1 1,-1 0,0-1,0 1,-1 0,0 0,0 0,0 0,0 0,-1 0,0 1,0-1,0 1,-4-5,4 7,0 0,-1 0,1 0,-1 0,0 1,1-1,-1 1,0 0,0 0,0 0,0 1,0 0,0-1,-5 2,4-1,-1 0,1-1,0 1,0-1,0 0,1-1,-1 1,-9-4,-33-17,37 16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5:58.4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1 572,'0'5,"1"-6,2-5,10-23,-2 0,-1-1,-1-1,-2 1,4-35,10-36,-13 71,3 0,0 0,23-41,-34 70,0 0,1 0,-1 0,1 0,-1 0,1 0,0 0,-1 0,1 1,0-1,0 0,0 0,-1 0,1 1,0-1,0 0,0 1,0-1,2 0,-2 1,0 0,-1 1,1-1,0 0,0 0,-1 0,1 1,0-1,-1 0,1 1,-1-1,1 1,0-1,-1 1,1-1,-1 1,1-1,-1 1,0-1,1 1,-1 0,1 0,3 7,0 1,-1-1,5 16,-7-18,31 131,4 13,-29-126,1 0,2 0,24 43,-32-64,0 0,0 0,0 0,0 0,0 0,1 0,0-1,3 4,-5-6,-1 0,1 0,-1 1,1-1,-1 0,1 0,-1 0,1 0,-1 0,1 0,-1 0,1 0,-1 0,1 0,-1 0,1 0,-1 0,1 0,-1 0,1 0,-1 0,1-1,0 1,0-1,0 0,1 0,-1-1,0 1,0 0,-1 0,1-1,0 1,0 0,-1-1,1 1,0-2,11-34,-2 0,-1-1,3-38,-6 34,2 1,18-57,-11 49,-13 35</inkml:trace>
  <inkml:trace contextRef="#ctx0" brushRef="#br0" timeOffset="693.52">1200 50,'0'6,"-1"1,0-1,0 1,0-1,-1 0,0 1,0-1,-4 6,-28 48,17-34,-53 91,-108 135,161-234,13-15,1 0,0 0,0 1,0-1,0 1,-3 6,6-9,1-1,-1 1,0-1,1 0,-1 1,1-1,-1 0,1 1,-1-1,0 0,1 0,-1 1,1-1,0 0,-1 0,1 0,-1 0,1 1,-1-1,1 0,-1 0,1 0,-1 0,1 0,-1-1,1 1,1 0,18-1,-19 1,342-6,-331 6</inkml:trace>
  <inkml:trace contextRef="#ctx0" brushRef="#br0" timeOffset="1174.52">1133 285,'3'0,"4"0,4 0,3 0,5 0,3 0,2 0,2 0,-2 0,-1 0,-5 0</inkml:trace>
  <inkml:trace contextRef="#ctx0" brushRef="#br0" timeOffset="1652.52">1207 1,'3'0,"4"0,4 0,3 0,-1 3,3 1,2-1,-2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6:01.3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1108 223,'77'-1,"58"0,-109 3,-1 0,1 2,27 7,-50-11,-1 1,1 0,0 0,0 0,0 0,-1 1,1-1,-1 1,1-1,-1 1,3 3,-4-4,0 1,0-1,0 1,0-1,0 1,-1 0,1-1,-1 1,1 0,-1 0,0-1,1 1,-1 0,0 0,0 0,0-1,-1 1,1 0,0 0,-1 1,-2 7,0-1,0 0,-1 0,0 0,-1-1,0 0,0 1,-1-2,0 1,0-1,-1 0,1 0,-17 11,-7 4,-1-2,-45 22,33-19,-6 3,17-10,-39 27,70-43,1 0,0 0,0 0,-1 1,1-1,0 0,0 0,0 0,-1 0,1 0,0 1,0-1,0 0,-1 0,1 0,0 1,0-1,0 0,0 0,0 1,0-1,-1 0,1 0,0 1,0-1,0 0,0 0,0 1,0-1,0 0,0 0,0 1,0-1,0 0,0 0,0 1,1-1,-1 1,11 4,20-2,-30-3,163 1,-98-2,-42 1</inkml:trace>
  <inkml:trace contextRef="#ctx0" brushRef="#br0" timeOffset="812.53">1690 730,'0'-11,"0"-9,0 1,5-26,-4 38,1 1,0-1,0 0,0 1,1-1,0 1,1 0,-1 0,1 0,5-6,13-20,0-1,-3 0,0-2,19-53,-16 39,-9 18,-3 6,1 1,1 0,18-26,-29 50,-1-1,1 0,-1 1,1-1,-1 1,1-1,-1 0,1 1,0 0,-1-1,1 1,0-1,-1 1,1 0,0-1,1 1,-2 0,1 0,-1 0,0 0,1 0,-1 0,1 0,-1 0,0 0,1 1,-1-1,0 0,1 0,-1 0,0 1,1-1,-1 0,0 1,0-1,1 0,-1 0,0 1,0-1,1 1,7 26,-8-26,8 64,-2 1,-3 67,2 34,1-95,-4-50</inkml:trace>
  <inkml:trace contextRef="#ctx0" brushRef="#br0" timeOffset="1258.53">1827 461,'-3'0,"5"0,5 0,8 0,7 0,5 0,5 0,3 0,1 0,0 0,-5 0</inkml:trace>
  <inkml:trace contextRef="#ctx0" brushRef="#br0" timeOffset="1701.53">2332 106,'0'3,"0"4,0 7,0 4,0 11,0 3,0 3,-3-2,-4 2,-1-1,1-4,2-4,2-6</inkml:trace>
  <inkml:trace contextRef="#ctx0" brushRef="#br0" timeOffset="2333.53">2403 29,'3'2,"0"0,0-1,0 1,0 0,0-1,1 0,-1 0,1 0,-1 0,1-1,5 1,11 3,28 10,0-2,1-2,95 7,-141-18,0 1,0 1,0-1,0 0,0 1,0-1,0 1,0 0,0 0,4 2,-6-2,1 0,-1 1,0-1,0 0,1 1,-1-1,0 0,0 1,0-1,-1 1,1 0,0-1,-1 1,1 0,0-1,-1 1,0 0,0 0,1 3,0 12,-1 1,-1-1,-1 0,0 1,-1-1,-9 30,-45 100,38-101,9-23</inkml:trace>
  <inkml:trace contextRef="#ctx0" brushRef="#br0" timeOffset="2714.53">3150 57,'0'9,"0"6,0 3,0 5,0 5,-3 3,-7 11,-5 5,0-3,3-5,4-10</inkml:trace>
  <inkml:trace contextRef="#ctx0" brushRef="#br0" timeOffset="3310.05">3616 42,'0'13,"-1"0,-1-1,0 1,0-1,-2 0,-7 20,-38 68,3-7,41-80,0 0,1-1,1 1,0 1,-2 22,5-34,0 1,0-1,0 1,0-1,1 1,-1-1,1 1,-1-1,1 0,0 1,0-1,0 0,0 0,0 1,0-1,1 0,-1 0,1 0,0-1,-1 1,1 0,0-1,0 1,0-1,0 1,0-1,0 0,1 0,-1 0,0 0,1 0,-1-1,0 1,5 0,7 1,1-1,-1-1,0 0,25-4,-32 4,-5 0,36-7,-36 7,-1-1,1 1,0-1,0 0,-1 1,1-1,-1 0,1 0,-1 0,1 0,-1 0,0 0,1-1,-1 1,0 0,0-1,0 1,1-3,1-6</inkml:trace>
  <inkml:trace contextRef="#ctx0" brushRef="#br0" timeOffset="3816.53">3567 130,'3'0,"4"0,7 0,6 0,4 0,0 0,3 0,-1 0,-2 0,-5 0</inkml:trace>
  <inkml:trace contextRef="#ctx0" brushRef="#br0" timeOffset="4234.04">3608 1,'3'0,"7"0,5 0,3 0,1 0,1 0,2 0,1 0,0 0,-2 0,-1 0,-4 0</inkml:trace>
  <inkml:trace contextRef="#ctx0" brushRef="#br0" timeOffset="4615.55">4018 29,'6'0,"11"0,6 0,7 3,3 1,1-1,3 0,3 0,-1-2,-4 0,-4-1,-8 0</inkml:trace>
  <inkml:trace contextRef="#ctx0" brushRef="#br0" timeOffset="5015.65">4322 14,'-1'0,"1"1,-1-1,0 0,0 1,1-1,-1 1,0-1,1 1,-1-1,0 1,1-1,-1 1,1 0,-1-1,1 1,-1 0,1-1,-1 1,1 0,0 0,-1-1,1 1,0 0,0 0,0 0,0 0,0 1,-4 27,4-26,-11 94,-30 126,26-153,1 5,9-48</inkml:trace>
  <inkml:trace contextRef="#ctx0" brushRef="#br0" timeOffset="6249.72">141 1270,'-1'0,"0"0,0 1,0-1,0 0,0 1,0-1,0 1,0-1,0 1,0-1,0 1,0 0,1-1,-1 1,0 0,0 0,0-1,1 1,-1 0,0 1,-12 23,10-17,-14 31,2 0,2 1,-10 53,-13 125,35-210,1-7,0-3,1-8,2-17,5-7</inkml:trace>
  <inkml:trace contextRef="#ctx0" brushRef="#br0" timeOffset="6968.79">305 992,'28'-11,"4"7,1 0,0 3,35 2,-22 0,-39-2,-1 2,1-1,0 1,0 0,0 0,-1 1,1 0,-1 0,13 6,-16-6,0 0,-1 0,1 0,-1 0,0 0,0 1,0-1,0 1,0 0,0-1,-1 1,1 0,-1 0,0 0,1 0,-2 0,1 0,0 1,-1-1,1 0,-1 0,0 1,0 4,-3 16,0 0,-2 0,0-1,-2 0,-1 0,0 0,-2-1,-13 24,20-42,1-1,-1 1,0 0,0-1,0 0,0 1,-1-1,0 0,1-1,-1 1,0-1,0 0,0 0,-1 0,1 0,0-1,-1 0,1 1,-8-1,-8 2,-1-2,1-1,-25-2,1 0,27 2,2 0</inkml:trace>
  <inkml:trace contextRef="#ctx0" brushRef="#br0" timeOffset="7435.79">893 1270,'0'3,"-3"13,-7 10,-4 6,-7 13,-2 5,-3 3,-1-5,5-5,3-3,2-5,3-9</inkml:trace>
  <inkml:trace contextRef="#ctx0" brushRef="#br0" timeOffset="8445.98">847 1242,'67'-1,"75"3,-137-2,1 1,-1 0,0 1,1-1,-1 1,0 0,0 1,0-1,0 1,0 0,-1 0,1 0,-1 1,0 0,0 0,0 0,-1 0,1 0,-1 1,0 0,0-1,-1 1,1 0,-1 0,0 1,-1-1,1 0,-1 1,0-1,0 1,-1-1,1 1,-1-1,0 1,-1-1,0 1,0-1,-2 10,1-10,-1-1,1 0,0 1,-1-1,0 0,0 0,0-1,-1 1,1-1,-1 0,0 0,0 0,0 0,0 0,0-1,0 0,-1 0,1 0,-1-1,-6 2,-7 2,-1-1,0-1,-34 1,27-4,20-1,0 1,0 0,0 0,1 0,-1 0,0 1,0 0,1 0,-1 1,1 0,-6 2,10-3,0-1,0 1,1-1,-1 1,0 0,1-1,-1 1,0 0,1 0,-1-1,1 1,-1 0,1 0,0 0,-1 0,1 0,0 0,0-1,-1 1,1 0,0 0,0 0,0 0,0 0,0 0,0 0,1 0,-1 0,0 0,0 0,1 0,-1-1,0 1,1 0,-1 0,1 0,-1-1,1 1,0 0,-1 0,2 0,3 5,1 1,0-2,12 10,-8-7,5 6,-10-8,1 0,0-1,0 0,1 0,-1 0,1-1,0 1,0-2,1 1,-1-1,1 0,7 1,-1-2</inkml:trace>
  <inkml:trace contextRef="#ctx0" brushRef="#br0" timeOffset="8974.94">1493 1288,'0'3,"0"7,0 7,0 11,0 12,0 8,-3 3,-4-3,-3 1,-1-6,2-7,2-6,3-6,-1-6,-1-7</inkml:trace>
  <inkml:trace contextRef="#ctx0" brushRef="#br0" timeOffset="9526.99">1895 1270,'0'6,"0"8,-3 8,-7 11,-8 11,-3 5,-2 1,0-2,5-6,4-11</inkml:trace>
  <inkml:trace contextRef="#ctx0" brushRef="#br0" timeOffset="10128.01">1831 1348,'303'0,"-302"0,1 0,-1 0,1 0,-1 0,1 0,-1 0,1 0,-1 1,1-1,-1 0,0 1,1 0,-1-1,0 1,1 0,-1-1,0 1,0 0,0 0,1 0,-1 0,0 0,0 0,-1 1,1-1,0 0,0 0,0 1,-1-1,1 0,-1 1,1-1,-1 1,0-1,1 1,-1-1,0 0,0 1,0-1,0 1,0-1,-1 3,0 7,-2 0,1 0,-1-1,-8 18,8-18,-14 33,-2 0,-29 49,30-63</inkml:trace>
  <inkml:trace contextRef="#ctx0" brushRef="#br0" timeOffset="10761.06">2287 1775,'0'1,"0"0,0 0,0-1,0 1,0 0,0 0,0 0,1-1,-1 1,0 0,0 0,1-1,-1 1,0 0,1 0,-1-1,0 1,1 0,-1-1,1 1,-1-1,1 1,0-1,-1 1,1-1,0 1,-1-1,1 1,0-1,-1 0,1 0,0 1,0-1,-1 0,1 0,0 0,0 1,0-1,-1 0,1 0,1-1,1 1,-1 0,0-1,0 1,0-1,0 0,0 0,0 0,0 0,0 0,0 0,0 0,0-1,-1 1,3-3,17-23,-2-2,0-1,22-49,-13 24,66-143,-93 196,-1 1,1 0,-1-1,1 1,-1 0,1 0,0-1,0 1,0 0,0 0,0 0,0 0,0 0,0 0,0 1,0-1,0 0,1 0,1 0,-2 1,0 0,0 1,-1-1,1 0,0 0,-1 1,1-1,0 1,0-1,-1 1,1-1,-1 1,1-1,-1 1,1-1,0 1,-1 0,0-1,1 1,-1 0,1 0,-1-1,1 3,2 7,1 1,-1 0,1 15,-3-23,56 279,-55-268,1-1,-2 0,0 28,-1-41,0 0,0 1,0-1,0 0,0 1,0-1,0 0,0 1,0-1,0 0,0 1,0-1,0 0,0 1,0-1,0 0,0 1,0-1,-1 0,1 1,0-1,0 0,0 0,-1 1,1-1,0 0,0 0,-1 1,1-1,0 0,0 0,-1 0,1 1,0-1,-1 0,1 0,0 0,-1 0,1 0,0 0,-1 0,1 0,0 0,-1 0,1 0,0 0,-1 0,1 0,0 0,-1 0,1 0,0 0,-1 0,1 0,0-1,-1 1,1 0,0 0,0 0,-1-1,-11-7</inkml:trace>
  <inkml:trace contextRef="#ctx0" brushRef="#br0" timeOffset="11120.07">2435 1605,'3'0,"4"0,4 0,2 0,4 0,0 0,1 0,0 0,1 0,-1 0,0 0,0 0,0 0,0-3,-4-1</inkml:trace>
  <inkml:trace contextRef="#ctx0" brushRef="#br0" timeOffset="11536.07">2981 1440,'0'3,"0"7,0 17,0 9,0 9,0 4,0-2,-3-4,-1-5,1-7,0-6,1-6</inkml:trace>
  <inkml:trace contextRef="#ctx0" brushRef="#br0" timeOffset="12058.16">2977 1482,'6'1,"0"0,0 0,-1 1,1 0,-1 0,1 0,-1 1,0 0,0 0,8 6,16 9,-18-13,1-1,-1 0,1 0,-1-2,1 1,18 0,75-1,-67-3,51-1,87 3,-173-1,-1 0,1 0,-1 0,1 1,-1-1,0 1,1 0,-1 0,0 0,1 0,-1 0,0 0,0 0,0 1,0-1,0 1,0 0,-1-1,1 1,2 4,-2-4,-1 1,0 0,-1 0,1 0,0 0,-1 0,1 0,-1 0,0 0,0 0,0 0,-1 0,1 0,-2 5,-2 6,-1 0,0-1,-1 1,-1-1,-12 20,8-17</inkml:trace>
  <inkml:trace contextRef="#ctx0" brushRef="#br0" timeOffset="12627.16">3835 1499,'0'19,"-4"166,1-149,-2-1,-1 1,-12 37,15-64,1-4,0 1,1-1,0 1,-1-1,1 12,1-16,0 1,0-1,0 0,1 0,-1 0,0 0,1 0,-1 1,1-1,-1 0,1 0,0 0,-1 0,1 0,0-1,0 1,-1 0,1 0,0 0,0-1,0 1,0 0,0-1,0 1,0-1,0 1,0-1,0 0,1 1,-1-1,0 0,0 0,0 0,3 0,17 2,38-4,-26 0,-11 1</inkml:trace>
  <inkml:trace contextRef="#ctx0" brushRef="#br0" timeOffset="13017.16">3930 1693,'3'0,"4"0,4 0,3 0,2 0,1 0,1 0,-2 0</inkml:trace>
  <inkml:trace contextRef="#ctx0" brushRef="#br0" timeOffset="13445.16">4022 1560,'3'0,"4"0,4 0,3 0,2 0,4 0,2 0,-2 0</inkml:trace>
  <inkml:trace contextRef="#ctx0" brushRef="#br0" timeOffset="14045.16">1454 914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4:56:53.6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5:53.1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5:53.5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5:50.1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249 1,'-2'21,"-1"1,0-1,-2 0,-1 0,0 0,-16 32,10-23,-15 57,-13 128,23-125,-50 154,44-171,11-20,9-35</inkml:trace>
  <inkml:trace contextRef="#ctx0" brushRef="#br0" timeOffset="606">422 240,'0'58,"-6"151,3-180,-1 0,-2 0,0 0,-3-1,-12 31,-1-4,14-34</inkml:trace>
  <inkml:trace contextRef="#ctx0" brushRef="#br0" timeOffset="1056.83">108 554,'3'3,"13"4,10 4,6 3,1-1,-2 0,-4-1,-3-4,-5 0,-4-1,-4-2</inkml:trace>
  <inkml:trace contextRef="#ctx0" brushRef="#br0" timeOffset="2304.85">725 791,'-31'-1,"18"0,-1 1,0 0,0 1,-17 3,28-3,0 0,0 0,0 0,-1 0,1 0,0 1,1-1,-1 1,0 0,0 0,1 0,-1 0,1 1,-1-1,1 1,0-1,0 1,0 0,1 0,-1 0,1 0,-2 4,-2 6,1 1,1-1,0 1,-2 25,5-34,0-1,0 1,0 0,1 0,-1-1,1 1,0-1,1 1,-1-1,1 1,0-1,0 0,0 0,0 0,1 0,0 0,0 0,3 3,-3-5,0 0,1 0,-1 0,0 0,1-1,-1 1,1-1,-1 0,1 0,0 0,-1-1,8 1,50-2,-36-1,-2 2,1 0,-1-2,24-3,-40 4,0-1,0 0,0 0,0-1,-1 1,1-1,-1-1,0 1,0-1,0 0,6-6,-9 6,-1 1,1-1,0 0,-1 0,0 0,0-1,0 1,-1 0,0-1,1 1,-1-1,-1 0,1 1,-1-1,0-5,0-4,0 0,-1 0,-6-26,5 32,-1-1,0 1,0-1,0 1,-1 0,-1 1,1-1,-1 1,-11-13,1 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5:54.5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313 80,'0'15,"-2"-1,1 0,-2 0,0 0,-1 0,0 0,-1 0,-1-1,0 0,-14 22,-6 4,-62 67,87-105,-93 115,87-107,-1 1,1 0,1 0,-10 20,10-19</inkml:trace>
  <inkml:trace contextRef="#ctx0" brushRef="#br0" timeOffset="1271.99">253 24,'1'5,"-1"1,1 0,1-1,2 9,4 18,-7-24,0 0,0 0,1 0,0 0,0 0,1-1,0 1,0-1,1 0,0 1,1-2,-1 1,1 0,0-1,11 10,-7-7,1 0,0-1,0 0,1 0,18 10,-25-16,0 0,0-1,1 0,-1 1,0-1,1-1,-1 1,0-1,1 1,-1-1,1 0,-1-1,0 1,1-1,-1 0,0 0,0 0,1-1,-1 1,5-4,3-2,-1-1,0 1,-1-2,0 0,0 0,-1-1,15-19,1-7,20-41,-17 9,-28 67,1 1,-1 0,0-1,0 1,0-1,0 1,1 0,-1-1,0 1,0 0,1 0,-1-1,0 1,0 0,1 0,-1-1,0 1,1 0,-1 0,0 0,1-1,-1 1,0 0,1 0,-1 0,1 0,-1 0,0 0,1 0,-1 0,1 0,-1 0,0 0,1 0,-1 0,0 0,1 0,-1 0,1 1,-1-1,0 0,1 0,-1 0,0 0,1 1,-1-1,0 0,0 1,1-1,-1 0,0 0,0 1,1-1,-1 0,0 1,0-1,0 0,0 1,1-1,-1 1,0-1,0 0,0 1,9 28,-9-29,9 49,5 88,-6-71,0 15,-8-63</inkml:trace>
  <inkml:trace contextRef="#ctx0" brushRef="#br0" timeOffset="2219">1093 260,'0'6,"0"8,0 7,0 4,0 3,0 0,-3-2,-1-2,-2-2,-1-2,1-2,-2 0,1-1,2 1,1-1,2 0,1-3</inkml:trace>
  <inkml:trace contextRef="#ctx0" brushRef="#br0" timeOffset="3404.45">1068 246,'3'0,"1"0,0 1,0-1,-1 1,1-1,-1 1,1 0,-1 1,1-1,-1 0,1 1,-1 0,0 0,0 0,0 0,0 1,0-1,-1 1,3 2,-1-2,0 0,0-1,0 1,0-1,0 0,0 0,0-1,1 1,-1-1,1 0,-1 0,7 0,7 0,34-2,-21-1,-14 1,-13 0,-1 1,0 0,0-1,1 1,-1 1,0-1,4 1,-6-1,0 1,0-1,1 1,-1 0,0-1,0 1,0 0,0 0,0 0,-1 0,1-1,0 1,0 0,0 0,-1 1,1-1,-1 0,1 0,-1 0,1 0,-1 0,0 1,1 0,3 20,-2 0,0 1,-1-1,-4 41,1-6,2-3,0-40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6:04.8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0,'14'0,"-2"0,0 0,0 1,14 2,-22-2,1 1,-1-1,1 1,-1 0,0 0,0 0,0 1,0-1,0 1,-1 0,6 5,8 9,-5-7,-1 2,0 0,-1 0,0 1,10 17,-18-27,0 1,-1 0,1-1,-1 1,0 0,0 0,0 0,-1 0,1 0,-1 0,0 0,0 0,0 0,-1 0,0-1,1 1,-1 0,0 0,-1 0,1-1,-1 1,0 0,0-1,0 1,0-1,-5 6,-1-2,1 1,-2-2,1 1,-1-1,0 0,0-1,0 0,-18 6,9-3,19-5,8 0,10 2,38 3,60 8,-99-15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6:05.4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0,'3'0,"4"0,4 0,6 0,3 0,4 0,2 0,-2 0,2 0,2 0,3 0,-2 0,1 0,-2 0,-2 0,-4 0,-1 0,-5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6:02.7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155 60,'0'3,"0"4,0 4,0 3,0 2,-3 1,-4 8,-3-2,-4-1,-2 5,-1 0,-2-1,1-2,3-2,3-2,2-1,2-1,2-4</inkml:trace>
  <inkml:trace contextRef="#ctx0" brushRef="#br0" timeOffset="981">195 1,'0'9,"1"0,0 1,0-1,1 0,0 0,1 0,0 0,6 12,-7-16,1 0,-1-1,1 1,0-1,1 0,-1 0,1 0,-1 0,1-1,0 1,1-1,-1 0,1-1,-1 1,1-1,6 3,1-1,1 0,0-1,0-1,1 0,20 1,-25-4,-1 1,1-1,-1-1,1 1,-1-1,0-1,0 0,0 0,15-8,-23 11,53-31,63-47,-115 78,-1-1,0 1,1 0,-1-1,0 1,1 0,-1 0,1-1,-1 1,0 0,1 0,-1 0,1-1,-1 1,1 0,-1 0,1 0,-1 0,1 0,-1 0,1 0,-1 0,1 0,-1 0,1 0,-1 0,0 0,1 1,-1-1,1 0,0 1,0-1,-1 1,1 0,0 0,-1 0,1 0,-1 0,1 1,-1-1,0 0,1 0,-1 0,0 0,0 2,1 45,-1-39,-3 176,3-165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6:01.3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0,'20'0,"65"0,86 11,-124-6,-22-3,42 10,-55-9</inkml:trace>
  <inkml:trace contextRef="#ctx0" brushRef="#br0" timeOffset="781.01">74 166,'3'0,"4"0,4 0,3 0,2 0,2 0,0 0,0 0,1 0,-1 0,0 0,0 0,0 0,-1 0,1 0,0 0,-4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7:51.0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7:51.4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7:53.2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1 318,'3'0,"1"3,-1 4,0 4,-1 3,0 5,-1 2,-1 1,0 0,0-2,0 0,-4-1,0-1,0 0,1-4</inkml:trace>
  <inkml:trace contextRef="#ctx0" brushRef="#br0" timeOffset="657.99">61 254,'53'0,"164"5,-176-2,0 2,-1 2,51 16,-88-23,0 1,0 0,-1 0,1 0,0 0,-1 1,1-1,-1 1,0-1,1 1,-1 0,0 0,0 0,0 0,0 0,-1 1,1-1,0 1,-1-1,2 3,-2 2,1 0,-1 0,0 0,-1 0,1 0,-1 0,-1 7,0 9,-1 1,-8 34,6-40</inkml:trace>
  <inkml:trace contextRef="#ctx0" brushRef="#br0" timeOffset="1151.52">816 241,'3'0,"4"0,4 0,3 0,5 6,11 11,13 5,8 3,4-1,23 5,10-2,5-4,-4-1,-8-6,-4-2,-7-3,-20-4,-18-3</inkml:trace>
  <inkml:trace contextRef="#ctx0" brushRef="#br0" timeOffset="1800.52">1028 498,'3'0,"4"0,10 0,7 3,10 2,4 4,3 3,-1-3,-1-1,-3-3,-6-2,-5-2,-3 0,-2-1,-6-1</inkml:trace>
  <inkml:trace contextRef="#ctx0" brushRef="#br0" timeOffset="2304.03">1430 1,'-1'10,"-1"0,0 0,0 0,-1 0,-5 12,1-3,-18 51,-4 0,-71 123,85-167,-47 87,57-101,0 0,1-1,1 1,-1 1,2-1,0 0,-1 25,5-20,2-4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7:51.8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387 0,'-1'10,"0"0,0 0,-1 0,-1-1,1 1,-1-1,-1 1,0-1,-7 12,-7 9,-29 35,44-60,-37 42,-2-1,-53 46,5-7,78-72,4-3</inkml:trace>
  <inkml:trace contextRef="#ctx0" brushRef="#br0" timeOffset="870.51">365 28,'1'8,"1"0,0 0,0-1,1 1,0-1,0 0,1 0,0 0,0 0,9 10,5 11,-11-17,0 0,0 0,1 0,0-1,18 17,-22-23,1-1,1 1,-1-1,0 0,1 0,0 0,-1-1,1 0,0 0,0-1,0 1,1-1,-1-1,8 1,-6 0,-1-1,0 0,1 0,-1-1,0 0,1 0,-1-1,0 0,0 0,0-1,0 1,0-2,-1 1,0-1,1 0,-1 0,0-1,-1 1,7-8,41-49,29-30,-81 90,0 0,0 1,0-1,-1 0,1 0,0 1,0-1,0 0,0 1,0-1,0 1,0 0,0-1,0 1,0 0,1-1,-1 1,0 0,0 0,0 0,0 0,2 0,-2 1,0-1,0 1,0 0,0-1,-1 1,1 0,0-1,0 1,0 0,0 0,-1 0,1 0,0 0,-1 0,1 0,-1 0,1 2,2 6,-1 0,1 0,-2 0,1 11,-1-16,2 110,-1-19,4-67,-2-18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7:47.7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187 0,'-1'6,"1"1,-2-1,1 0,-1 0,0 0,-4 10,-1 1,-16 42,-2-1,-35 56,52-99,1 0,0 0,1 0,1 1,0 0,1 0,1 0,1 1,0-1,1 1,1 25,0-30,0 0,-1 0,-2 12,-1-6</inkml:trace>
  <inkml:trace contextRef="#ctx0" brushRef="#br0" timeOffset="614.28">368 106,'0'3,"0"7,0 5,-3 11,-1 6,-3-1,0-3,-8 10,-1 1,-2-1,0 3,-3 1,-1-2,3-4,2-8,4-6,4-7</inkml:trace>
  <inkml:trace contextRef="#ctx0" brushRef="#br0" timeOffset="1172.94">7 392,'3'0,"4"0,4 0,3 0,2 0,1 0,1 0,1 0,2 0,1 0,0 0,-1 0,-1 0,-1 0,-3 0</inkml:trace>
  <inkml:trace contextRef="#ctx0" brushRef="#br0" timeOffset="2948.28">536 434,'12'1,"-1"-2,1 0,-1 0,1-1,-1 0,0-1,0 0,11-6,-10 4,-4 1,0 0,1 1,14-4,-22 6,0 1,0 0,1-1,-1 1,0 0,0 0,1 0,-1 0,0 0,0 0,1 0,-1 1,0-1,0 0,0 1,0-1,1 0,-1 1,0 0,0-1,0 1,0 0,0-1,0 1,0 0,0 0,0 0,-1 0,1 0,0 0,-1 0,1 0,0 2,1 4,0 0,-1 0,0 0,0 1,-1-1,0 0,0 1,-1-1,1 0,-2 0,1 1,-1-1,-3 8,-6 14,-27 49,26-54,1-2,2-3,0 0,-2-1,-15 21,15-29,2-9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7:59.0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1,'13'1,"0"1,-1 1,1 0,0 1,-1 0,0 1,17 9,8 3,30 9,85 23,-131-43,0-2,0 0,0-2,1 0,-1-2,1 0,-1-1,37-7,-54 7,1 0,-1 0,0-1,0 1,0-1,0 0,0 0,0-1,0 1,-1-1,1 0,5-6,1-4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7:56.5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395 29,'-3'3,"-4"4,-7 7,-4 7,-5 5,-4 6,-4 2,-3 2,-1 0,-1-2,0-5,-4-3,6-4,3-3,6-3</inkml:trace>
  <inkml:trace contextRef="#ctx0" brushRef="#br0" timeOffset="1033">370 1,'2'3,"0"1,0 0,0-1,-1 1,1 0,-1 0,0 0,0 0,0 0,-1 0,0 0,0 8,2 6,-1-9,1 0,0 0,1 0,0 0,0-1,1 1,5 9,-6-14,-1 0,1 0,0 0,0-1,0 1,1-1,-1 0,1 0,0 0,0 0,0 0,0-1,0 0,0 0,1 0,4 1,18 4,1-2,-1-1,53 2,-64-6,0-1,-1-1,1 0,-1-1,1-1,-1 0,0-1,19-10,7-8,-27 14,1 1,16-6,-31 13,1 1,0 0,0-1,0 1,-1 0,1 0,0-1,0 1,0 0,0 0,0 0,-1 0,1 0,0 0,0 0,0 0,0 1,0-1,-1 0,1 0,0 1,0-1,0 1,-1-1,1 1,0-1,-1 1,2 0,-1 1,0 0,0-1,0 1,-1 0,1 0,0 0,-1-1,1 1,-1 0,0 0,0 0,0 3,0 6,-1 1,0-1,-4 14,-10 37,-40 103,51-154</inkml:trace>
  <inkml:trace contextRef="#ctx0" brushRef="#br0" timeOffset="2049.04">1153 318,'0'0,"1"-1,-1 0,0 0,1 1,-1-1,1 0,-1 1,1-1,-1 1,1-1,-1 0,1 1,0-1,-1 1,1 0,0-1,-1 1,1-1,0 1,0 0,-1 0,1-1,0 1,0 0,0 0,-1 0,1 0,0 0,0 0,1 0,27 0,0 3,1 1,-1 1,0 2,53 19,-80-25,1 0,-1 0,0 0,0 1,0-1,0 1,0-1,0 1,0-1,0 1,-1 0,1 0,-1 0,1 0,-1 0,0 0,0 0,2 5,-2-3,0-1,-1 1,0 0,1-1,-1 1,-1 0,1-1,0 1,-1-1,0 1,-2 6,-1 0,0 0,-1 0,-1 0,1-1,-2 0,1 0,-13 13,14-17,0-1,0 0,0-1,-7 5,-11 6,23-13,0-1,0 0,0 0,0 0,-1 0,1 0,0 0,0 0,0 1,0-1,-1 0,1 0,0 0,0 0,0 1,0-1,0 0,0 0,0 0,0 1,0-1,0 0,-1 0,1 0,0 1,0-1,0 0,0 0,0 0,1 1,-1-1,0 0,0 0,0 0,0 1,0-1,0 0,0 0,9 5,13-1,-22-4,141 4,-121-4,4-1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8:06.1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5255 0,'6'16,"0"0,0 0,3 20,-1-2,24 99,24 214,-33 142,-22-247,-5 163,-5-302,-36 160,10-76,-66 385,81-447,6 2,4 211,9-146,3 133,8-206,32 148,3 13,-29-101,15 118,-27-271,11 71,3 139,-9-92,0-13,1 60,-2-58,22 133,21-3,-47-244,37 207,-15-73,-24-140,-3-5</inkml:trace>
  <inkml:trace contextRef="#ctx0" brushRef="#br0" timeOffset="1599.56">378 5656,'40'-7,"-6"1,147 0,-69 4,672-13,-617 8,240-41,-28 13,-195 22,-141 10,741-48,1354 31,-1702 21,357 42,-400-13,280 20,-10 1,1-28,-620-22,196-4,-177-1,113-22,-142 22,0 0,-1 2,53 4,-21 0,594-2,-633 0</inkml:trace>
  <inkml:trace contextRef="#ctx0" brushRef="#br0" timeOffset="12091.83">378 4767,'0'1,"1"0,-1-1,0 1,1 0,-1-1,0 1,1 0,-1-1,1 1,-1-1,1 1,-1-1,1 1,-1-1,1 1,0-1,-1 1,1-1,0 0,-1 1,1-1,0 0,-1 0,1 1,1-1,25 6,-17-4,58 14,0-3,90 7,95-17,-134-5,-16 3,114-2,-24-19,-180 18,0 0,1-1,-1 0,0-1,1-1,-2 0,0-1,0 0,1 0,-2-2,0 1,15-13,22-19,58-36,-6 5,-37 18,-2-1,84-99,-97 103,2 2,4 1,0 4,84-51,-89 59,-1-2,-1-2,-2-1,46-54,42-39,-89 92,-2-2,-1-2,48-69,-37 32,-3-2,-5-2,-3-2,-4-3,34-120,63-171,-21 75,-43 45,3-7,-49 194,53-111,-55 141,-10 15,2 1,2 0,0 1,31-38,17-8,170-178,-7 21,-103 97,-25 36,-81 77,2 1,0 1,1 1,37-23,-42 30,2 0,-1 1,2 1,-1 1,0 0,2 2,22-4,38-2,0 3,147 5,-215 5,0-1,-1 2,0 0,0 0,1 1,-2 0,0 1,0 0,1 0,17 15,5 6,48 47,213 229,-274-276,33 53,-26-35,133 240,-25 13,-72-158,34 91,-73-164,23 106,-18-20,17 75,69 242,-100-410,3-1,41 91,68 103,-115-230,27 48,48 65,-64-100,-2 0,24 56,23 80,-44-106,2 0,55 97,-66-138,6 11,0-1,3-1,53 57,-3-14,-35-36,1-1,57 41,-63-58,3-1,65 28,-59-31,20 9,3-3,0-3,130 24,-73-27,161 3,-125-15,240 5,-314-9,0 3,0 4,140 33,-76-10,301 28,-308-51,226 20,-360-28,-13-3</inkml:trace>
  <inkml:trace contextRef="#ctx0" brushRef="#br0" timeOffset="14172.82">4718 5763,'-11'116,"7"-81,1-1,2 43,2-66,1-1,1 0,-1 0,2 0,-1-1,2 1,0-1,0 0,0 0,1 0,0-1,0 0,2 0,-1-1,0 1,1-2,17 12,-23-16,0-1,0 0,1 0,-1 0,0 0,1 0,-1-1,1 1,-1-1,1 1,-1-1,1 0,0 0,-1 0,2-1,-2 1,1 0,3-2,-3 0,1 1,-1-1,0 0,0 0,0 0,0-1,0 1,-1-1,2 1,-2-1,4-5,1-4,0-1,-1 1,0-1,-1-1,7-20,-3-2,-1 0,-2 0,-1-1,-2-1,-1 1,-6-54,4 88,-1 1,1-1,-1 0,0 1,0-1,0 0,0 1,0-1,-1 1,1 0,-1-1,0 1,1 0,-1 0,0 0,0 0,0 1,-1-1,1 0,0 1,-4-2,-6-2,1 0,0 2,-23-6,-5-1,24 5,3 3</inkml:trace>
  <inkml:trace contextRef="#ctx0" brushRef="#br0" timeOffset="36130.98">7783 5387,'-9'197,"0"10,10-150,-1-41</inkml:trace>
  <inkml:trace contextRef="#ctx0" brushRef="#br0" timeOffset="37244.83">7256 6342,'5'0,"0"0,0-1,0 0,1 0,-1-1,0 1,0-1,0 0,-1 0,1-1,-1 0,7-3,4-6,29-28,-7 6,-26 24,-9 7,1-1,1 1,-1 0,1 1,0-1,-1 1,1 0,0 0,0 0,6-2,-9 4,0 1,0-1,0 0,0 1,0-1,-1 1,1-1,0 1,0-1,0 1,0 0,1-1,-2 1,1 0,0 0,-1-1,1 1,-1 0,1 0,-1 0,1 0,-1 0,1 0,-1 0,0 0,1 0,-1 2,7 33,-7-32,3 24,-2 0,-1 0,-1 0,-6 32,-27 111,31-158,-28 103,24-92</inkml:trace>
  <inkml:trace contextRef="#ctx0" brushRef="#br0" timeOffset="37612.84">7726 6579,'0'3,"0"4,0 4,0 3,0 8,0 4,0-1,0 0,-3-3,-1 5,-3 1,0-2,0-2,3-4</inkml:trace>
  <inkml:trace contextRef="#ctx0" brushRef="#br0" timeOffset="38602.96">8243 6260,'-39'-1,"-32"1,63 0,1 1,0 0,0 1,1-1,-1 1,0 0,-10 5,15-5,-1 0,1-1,0 1,0 0,0 0,0 1,0-1,1 0,-1 1,1-1,-2 1,2-1,0 1,0 0,0-1,0 1,1 0,-1 0,1 0,0 0,-1-1,1 1,1 0,-1 3,0-1,1 0,0-1,-1 1,2 0,-1 0,0-1,2 1,-1-1,0 1,0-1,1 0,0 0,4 6,4 0,1-1,-1-1,1 0,0-1,1 0,0-1,0 0,1-1,13 3,-24-7,-1-1,0 0,0 1,2-1,-2 0,0 0,1-1,-1 1,0 0,0-1,1 0,-1 1,0-1,0 0,0 0,0 0,0 0,0-1,0 1,0 0,0-1,1-2,5-4,-1 0,-1 0,10-17,2-1,11-10,12-15,-41 51,0-1,0 1,0 0,0 0,0 0,1 0,-1 0,0-1,0 1,0 0,0 0,0 0,0 0,0 0,0 0,0-1,0 1,0 0,0 0,1 0,-1 0,0 0,0 0,0 0,0 0,0 0,0-1,1 1,-1 0,0 0,0 0,0 0,0 0,0 0,1 0,-1 0,0 0,0 0,0 0,0 0,0 0,1 0,-1 0,0 0,0 0,0 0,0 0,0 1,2-1,-2 0,0 0,0 0,0 0,0 0,0 0,0 0,3 14,-3 25,0-34,-12 171,5-81,6-79,2 0,0-1,0 1,2 0,0-1,0 1,3-1,-1 0,11 23,-4-15</inkml:trace>
  <inkml:trace contextRef="#ctx0" brushRef="#br0" timeOffset="39577.43">8947 6462,'-7'-5,"0"1,0 0,0 1,0 0,-1 0,0 0,0 1,1 0,-15-1,19 3,-1-1,1 1,0 0,-1 0,1 1,0-1,0 0,0 1,0 0,0 0,0 0,0 0,0 0,-1 1,1-1,1 1,-1 0,0 0,-2 3,-4 4,0 0,0 1,-10 18,-1-1,15-20,1-2,0 1,0 0,1 0,0 0,-3 10,5-15,1 1,-1-1,1 0,0 0,0 0,0 1,0-1,0 0,0 0,0 0,0 1,0-1,0 0,1 0,-1 0,1 0,-1 1,0-1,1 0,0 0,-1 0,1 0,0 0,0 0,-1 0,1 0,0-1,0 1,0 0,0 0,0-1,0 1,0-1,0 1,0-1,0 1,1-1,-1 1,0-1,0 0,0 0,1 0,2 0,19 3,2-2,-1-1,24-2,6-1,-50 3,1 0,-1 0,0-1,0 1,-1-1,1 0,0 0,0-1,1 1,-2-1,1 0,0 0,-1 0,0 0,6-5,-6 3,1 0,-1-1,2 1,-2-1,0 0,-1 0,1 0,-1 0,0 0,2-10,-3 10,10-27,-11 32,1-1,-1 0,0 1,1-1,-1 1,0-1,1 1,-1-1,1 1,-1-1,1 1,-1 0,1-1,-1 1,1 0,-1-1,1 1,-1 0,1-1,0 1,-1 0,2 0,-2 0,1 0,0 0,-1 0,1 0,0 0,-1 0,1 0,-1 0,1 0,0 0,-1 0,1 1,0-1,-1 0,1 0,-1 1,1-1,-1 0,1 1,-1-1,1 1,-1-1,1 1,4 4,-1 0,0-1,-1 2,1-1,-1 0,0 1,0 1,0-2,-1 1,3 12,1 10,4 30,-8-41,10 112,-9-100</inkml:trace>
  <inkml:trace contextRef="#ctx0" brushRef="#br0" timeOffset="40773">1856 5384,'0'3,"0"7,0 8,0 9,0 7,0 6,0 3,0 1,0-3,0 1,0 0,0-1,0-2,0-5,0-4,4-8,0-7</inkml:trace>
  <inkml:trace contextRef="#ctx0" brushRef="#br0" timeOffset="41779.01">869 6331,'0'1,"0"0,1 0,-1-1,1 1,-1 0,1 0,-1-1,1 1,-1 0,1-1,-1 1,1-1,1 1,-2-1,1 1,0-1,-1 1,1-1,0 0,0 1,0-1,-1 0,1 1,0-1,0 0,0 0,1 0,28 3,-27-3,205 2,-106-3,-87 1</inkml:trace>
  <inkml:trace contextRef="#ctx0" brushRef="#br0" timeOffset="42483.01">1520 6293,'8'-8,"0"-1,11-18,-10 16,-2 0,14-14,13-6,1 0,79-50,-113 80,1 0,-1-1,1 1,0 0,-1 0,1 1,0-1,0 0,0 1,0-1,0 1,0-1,0 1,0 0,0 0,0 0,0 0,-1 0,6 1,-6 0,1 0,-1 1,0-1,1 0,-1 1,0-1,0 1,0 0,0-1,0 1,0 0,-1 0,1-1,-1 1,1 0,-1 0,0 0,1 0,-1 0,0 0,-1 2,4 69,-9 87,6-154,-2 18,-2 0,-11 41,8-40</inkml:trace>
  <inkml:trace contextRef="#ctx0" brushRef="#br0" timeOffset="42899.08">2011 6424,'3'6,"1"4,0 5,-1 2,-1 4,0 2,-1 1,-1-3,0 0,0-4</inkml:trace>
  <inkml:trace contextRef="#ctx0" brushRef="#br0" timeOffset="43810.74">2543 6154,'-7'-4,"2"1,-1 0,0 0,0 0,0 1,0 0,-1 0,1 0,-11 0,8 0,-1 0,0 0,1 0,-1 1,1 1,-2-1,-10 2,18 0,1-1,-1 1,0 0,0 0,1-1,-1 2,1-1,-1 0,1 0,0 1,0-1,0 1,0 0,0 0,0 0,1 0,-1 0,0 0,1 0,0 0,-1 0,1 1,0-1,0 1,0-1,1 1,-2 2,1 1,-1 0,1 0,0 0,0-1,1 1,0 0,0 0,1 1,0-1,0 0,1 0,1 6,-1-9,-1 0,1-1,-1 1,1 0,0-1,0 1,0-1,0 1,1-1,-1 0,1 0,-1 0,1 0,0-1,-1 1,1-1,1 0,-1 1,0-1,0-1,0 1,0 0,6 0,-3-1,0 1,1-1,-2 0,1-1,0 1,0-1,0 0,-1 0,2-1,-2 0,7-3,1-2,2-1,20-17,-16 12,-6 4,46-30,-58 38,-1 1,0 0,1-1,-1 1,0 0,1-1,-1 1,1 0,-1 0,1 0,-1-1,0 1,1 0,-1 0,1 0,-1 0,1 0,-1 0,1 0,-1 0,1 0,-1 0,0 0,1 0,-1 0,1 0,-1 0,1 1,-1-1,1 0,-1 0,0 0,1 1,-1-1,0 0,1 1,-1-1,0 0,1 1,-1-1,0 0,1 1,-1-1,0 1,0-1,0 0,1 1,-1-1,0 1,0-1,0 1,0-1,0 1,0-1,0 1,0 3,0 1,0-1,-1 0,0 0,-1 8,-51 123,19-52,20-46</inkml:trace>
  <inkml:trace contextRef="#ctx0" brushRef="#br0" timeOffset="44895.61">3138 6200,'-37'-13,"32"12,-1 0,2 1,-1-1,0 1,1 0,-1 0,0 1,1-1,-1 1,0 0,0 1,1-1,-1 1,1-1,0 1,-1 1,-5 3,6-3,0 0,1 0,1 1,-1 0,0 0,1-1,0 1,0 0,0 0,0 0,1 0,-1 0,1 0,0 0,0 0,1 1,-1-1,1 0,0 7,1-7,-1-1,1 0,-1 1,1-1,0 0,1 1,-1-1,0 0,1 0,0 0,0 0,0-1,0 1,0 0,0-1,1 1,-1-1,1 0,0 0,1 0,-1 0,-1 0,2-1,-1 1,0-1,0 0,0 0,1 0,5 0,-4 1,1-1,0-1,-1 1,1-1,-1 0,1 0,-1 0,1-1,0 0,-1 0,0 0,0-1,1 0,-1 0,0 0,0 0,0-1,7-5,16-16,-1-1,-1-2,31-43,-56 69,0-1,0 1,-1 0,1 0,0-1,0 1,0 0,0 0,0 0,0 0,1 0,-1 1,0-1,1 0,0 1,2-2,-4 2,1 0,0 0,-1 0,1 1,0-1,-1 0,1 0,-1 0,1 1,-1-1,1 0,-1 1,1-1,-1 0,1 1,-1-1,1 1,-1-1,1 1,-1-1,0 1,1-1,-1 1,0 0,1-1,-1 1,2 5,0 1,0-1,-1 0,0 0,0 2,0 6,-1 259,-1-122,1-136</inkml:trace>
  <inkml:trace contextRef="#ctx0" brushRef="#br0" timeOffset="46762.89">1874 4792,'0'7,"-1"0,0 0,-4 13,-2 8,7-27,-17 96,-7 194,25-217,-1-59</inkml:trace>
  <inkml:trace contextRef="#ctx0" brushRef="#br0" timeOffset="47262.4">1682 5171,'0'3,"0"4,-3 4,-7 3,-5 2,-6 4,-5 3,-6 3,-2-1,-2 5,-1 1,-1-3,5 1,3-5,7-7</inkml:trace>
  <inkml:trace contextRef="#ctx0" brushRef="#br0" timeOffset="47634.7">1267 5185,'-3'0,"-8"3,-3 4,-7 4,-3 3,-4 5,2 2,0-1,-4 0,1 1,0-1,4-3,2-2,2-3,6-1,1-3,2-1</inkml:trace>
  <inkml:trace contextRef="#ctx0" brushRef="#br0" timeOffset="47987.7">515 5305,'-6'3,"-12"4,-10 7,-9 4,-3 2,2 0,5-2,2 0,5 2,5-4,5-4</inkml:trace>
  <inkml:trace contextRef="#ctx0" brushRef="#br0" timeOffset="48991.33">711 3659,'-1'7,"-1"1,0 0,-1-1,1-1,0 1,-1 0,-1 0,-5 9,0 0,-6 9,0-1,-1 0,-2-1,0-1,-2-1,-33 30,25-29,1-1,-3 0,0-2,0-2,-37 15,45-22,-1-2,0 0,-1-1,-1-2,1 0,0-2,0 0,-36-1,58-3,-1 1,1-1,-1 1,1-1,0 0,-1 0,1 0,0 0,-1 0,1 0,0-1,0 1,0-1,0 0,-1 1,1-1,1 0,-1 0,1 0,-1 0,1-1,0 1,-2-4,2 2,-1 1,1-1,0 1,0-1,1 1,-1-1,1 0,0 0,0 1,0-1,0 0,1 1,-1-1,1 0,2-6,-2 8,1 0,-1 1,0-1,1 0,-1 0,1 0,0 1,-1-1,1 1,1 0,-1-1,0 1,0 0,0 0,0 0,0 0,1 0,-1 1,0-1,0 1,1 0,-1-1,0 1,1 0,-1 0,0 0,1 1,-1-1,3 1,9 1,0 1,0 1,18 7,-30-11,35 14,-2 0,0 3,35 21,-51-26,-1 1,0 1,-1 0,0 1,-2 1,24 29,-15-11,-13-22</inkml:trace>
  <inkml:trace contextRef="#ctx0" brushRef="#br0" timeOffset="49464.96">1058 3723,'0'4,"0"6,0 8,-3 6,-4 6,-8 10,-3 3,-6 4,-7 10,-4 9,-1-4,1 1,3-6,4-5,6-9,8-12</inkml:trace>
  <inkml:trace contextRef="#ctx0" brushRef="#br0" timeOffset="50116.39">1094 4031,'0'-1,"0"-1,0 1,1 0,-1 0,1-1,-1 1,1 0,-1 0,1 0,0 0,-1 0,1 0,0 0,0 0,0 0,0 0,0 0,0 0,0 1,0-1,0 0,0 1,1-1,1 0,34-10,-31 10,48-8,1 3,-1 2,82 5,-106 0,64 4,-82-4,2 1,-2 2,0-1,-1 0,18 8,-26-9,1 1,0 0,-1 0,2 0,-2 0,0 0,0 1,0 0,0-1,-1 1,0 0,0 0,0 0,0 1,0-1,-1 0,0 1,0-1,0 1,0 4,1 8,-1 0,0 0,-1 0,-3 18,2-27,-1 1,0-1,-1 1,1-1,-1 0,-1 0,0 0,0-1,-1 1,1-1,-3 0,2 0,-10 10,-2 1</inkml:trace>
  <inkml:trace contextRef="#ctx0" brushRef="#br0" timeOffset="51426.93">7794 4372,'0'662,"-1"-641,-8 38,0 13,9-57</inkml:trace>
  <inkml:trace contextRef="#ctx0" brushRef="#br0" timeOffset="52114.12">8299 4870,'1'13,"-2"0,1-1,-2 1,0-1,0 2,-1-2,-1 0,0 0,-1 0,0 0,-1-1,0 0,-1 0,-13 16,-169 186,142-163,35-38,20-20</inkml:trace>
  <inkml:trace contextRef="#ctx0" brushRef="#br0" timeOffset="52530.82">8715 5005,'0'3,"0"4,0 3,0 4,0 2,0 1,0 2,0-1,-3 0,-4-2,0 1,-3 1,-4 1,3-1,2 1,0-4,0-7,3-5</inkml:trace>
  <inkml:trace contextRef="#ctx0" brushRef="#br0" timeOffset="52990.62">9683 4990,'-1'4,"0"0,0 0,-1 0,0 0,1 0,-1-1,-1 1,-4 4,1 2,-5 6,0-1,-2 0,0-1,-16 13,10-8,-20 23,34-36,0-1,0 0,-1 0,-9 6,-8 7,16-11</inkml:trace>
  <inkml:trace contextRef="#ctx0" brushRef="#br0" timeOffset="53319.18">9972 5068,'0'3,"0"4,0 7,-6 7,-6 6,1 1,-2 2,-6-1,0-2,-3-3,2-5,-1-7,2-8,2-7,0-9,2-4</inkml:trace>
  <inkml:trace contextRef="#ctx0" brushRef="#br0" timeOffset="55015.56">9470 3313,'-6'131,"4"-112,-2-1,0 1,-2-1,-13 34,2-19,-2 0,0-1,-2-1,-1-1,-2-1,-32 30,23-29,-1 0,-2-2,0-2,-74 41,89-56,1-1,-2-2,1 0,-1-1,0-1,-1-1,1-1,-1-1,0 0,0-2,-36-3,54 1,1 0,-1 0,0-1,1 1,-1-1,1 0,0 0,0-1,0 0,0 1,1-1,-1 0,1-1,-2 1,2 0,-3-6,-5-7,0-1,-13-25,23 39,-10-20,0 0,-8-30,15 41,1-1,0 0,1-1,1 1,0 0,1-14,0 24,1-1,-1 1,1 0,0 0,0 0,0 0,1 0,-1 1,1-1,-1 0,1 0,0 1,0-1,0 1,1 0,-1 0,0 0,1 0,0 0,0 0,0 0,0 1,0 0,5-3,7-2,2 2,-1 0,28-3,-24 4,23-4,0 1,1 3,79 3,-117 1,0 0,0 0,0 1,-1 0,1 0,0 1,0-1,-1 1,0 0,0 1,0-1,7 9,5 4,-3 0,16 21,-21-26,72 97,-37-47,2-2,85 84,-124-136,2 0,0-1,-1 0,14 7,-2-4</inkml:trace>
  <inkml:trace contextRef="#ctx0" brushRef="#br0" timeOffset="55428.54">10309 3553,'0'3,"0"7,0 8,0 3,-10 26,-8 15,-9 4,-4 6,-10 1,-4 3,-14 12,2-9,7-12,8-14,12-15</inkml:trace>
  <inkml:trace contextRef="#ctx0" brushRef="#br0" timeOffset="56706.27">10586 4042,'39'-13,"-35"13,1 0,-1 1,1-1,-1 1,2 0,-2 0,0 1,0-1,1 1,-1 0,0 0,0 0,-1 1,7 3,5 6,29 30,-19-17,-17-19,-1 1,0 1,-1-1,0 1,10 14,-14-17,1 1,-1 0,0 0,0 0,-1 0,0 0,0 0,0 0,-1 0,0 7,-4 21,3-28,0 2,1-2,-1 0,2 12,-1-15,1 0,-1-1,1 1,0 0,0-1,0 1,0-1,1 1,-1-1,1 0,0 1,-1-1,1 0,4 4,9 4,-1 0,0-1,2 0,-1-1,1-1,0 0,0-1,32 7,-1-3,-1-3,52 2,-50-7,-9-1</inkml:trace>
  <inkml:trace contextRef="#ctx0" brushRef="#br0" timeOffset="58105.35">1667 4225,'3'0,"4"0,5 0,2 0,2 0,2 0,0-3,2-1,1-3,2 0,-4-1,-2-1,-2 0,-6 0</inkml:trace>
  <inkml:trace contextRef="#ctx0" brushRef="#br0" timeOffset="59003.73">3542 4113,'1'-2,"0"1,0-1,0 1,1-1,-1 1,0 0,1 0,-1-1,1 1,-1 0,1 0,-1 0,1 1,0-1,0 0,0 1,3-2,1 0,2-3,0 1,-1-1,1-1,-2 1,9-9,11-9,208-146,-224 162,-6 3,1 1,-1 0,0 0,1 0,-1 1,0 0,1 0,0 0,0 0,1 0,-2 1,1 0,7 0,-11 1,0 0,0 0,0 1,0-1,0 0,0 1,0-1,0 1,0 0,0-1,0 1,0 0,0-1,-1 1,1 0,0 0,0 0,-1-1,1 1,-1 0,2 0,-2 0,1 0,-1 0,1 0,-1 2,5 33,-5-31,1 47,-2 1,-2-1,-3-1,-2 0,-23 83,18-82,12-46</inkml:trace>
  <inkml:trace contextRef="#ctx0" brushRef="#br0" timeOffset="59422.03">4146 4042,'3'0,"4"0,4 0,3 0,2 0,3 0,2 0,5 0,4 0,5 3,11 4,0 1,0 2,-3-1,-10-7,-10-5</inkml:trace>
  <inkml:trace contextRef="#ctx0" brushRef="#br0" timeOffset="60451.02">6009 3845,'-1'13,"-1"1,-1 0,0-1,-2 1,0-1,-8 18,6-15,-13 29,-2-1,-2-1,-1-1,-40 48,54-78,-1 1,-1-2,1 1,-1-2,-2 2,1-3,-24 13,-7-1,-60 20,100-39,-1-1,2 0,-1 1,0-1,0-1,-9 1,12-1,1 0,-1 0,0-1,-1 1,2 0,-1-1,0 0,1 1,-1-1,0 0,1 0,-1 0,1 0,-1 0,1 0,0 0,-1 0,1-1,0 1,0 0,0-1,-1-1,-3-7,1 0,0 0,0 0,1-1,0 1,1-1,0-14,0 9,2 0,0 1,1-1,3-22,-3 35,-1-1,1 1,0 0,0 0,0 1,0-1,0 0,1 0,1 0,-2 1,1-1,0 1,0 0,0-1,0 1,1 0,-1 0,5-2,-2 1,0 1,0 0,1 1,0-1,-1 1,1 0,0 0,-1 1,10 0,201 4,-209-3,0 0,0 0,0 1,0 0,1 1,-2 0,1 0,-1 0,13 8,3 5,26 24,-29-24,296 295,-292-285,-10-9</inkml:trace>
  <inkml:trace contextRef="#ctx0" brushRef="#br0" timeOffset="61856.03">1682 4102,'3'0,"4"0,4 0,3 0,6 0,2 0,1 0,1 0,2 0,1 0,5-3,4-1,2-3,-3 0,-3-2,-9 1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09:12.6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219 0,'-1'3,"1"-1,-1 1,0-1,0 0,0 0,0 1,-1-1,1 0,-3 3,-4 7,-91 200,95-202,0 0,0 0,1 0,1 0,-1 0,2 1,-2 13,3 1,3 48,-2-70,-1 1,1 0,0 0,0-1,0 1,1-1,-1 1,1-1,0 1,0-1,0 0,0 0,1 0,-1 0,1 0,0-1,5 5,4 0,-1 0,1-1,22 9,-6-3,-21-10,0 1,0-1,0 0,0-1,0 1,12-1,-5 0</inkml:trace>
  <inkml:trace contextRef="#ctx0" brushRef="#br0" timeOffset="1471.99">0 152,'1'0,"-1"-1,0 0,0 0,1 1,-1-1,1 0,-1 1,1-1,-1 0,1 1,-1-1,1 0,0 1,-1-1,1 1,0-1,-1 1,1 0,0-1,0 1,0 0,-1-1,1 1,0 0,0 0,0 0,1 0,27-4,-26 4,12-1,0 0,0 0,0 2,0 0,-1 0,1 1,0 1,-1 1,27 10,-26-8,-1 0,1-1,0-1,0 0,21 2,4 1,-24-4,-1 0,20 1,-20-4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0:23.0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268 1,'-9'10,"0"0,-11 19,-13 16,-112 127,139-165,0 1,1 0,0 1,0-1,1 1,0 0,1 0,-1 0,2 1,0-1,0 1,0-1,1 1,1 0,0 13,0-5,0 7,1-1,1 0,8 34,-1-17,-4-17,9 27,-11-40,0 1,-1-1,0 1,-1 0,0 18,-1-15,1-1,4 25,-4-36,0 1,1-1,-1 0,1 0,0 0,0-1,0 1,0 0,0-1,1 1,-1-1,1 0,0 0,-1 0,1 0,0 0,0 0,5 1,-4-1,1 0,-1 1,0-1,0 1,0 0,0 1,-1-1,1 0,4 7,-2 2,-2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0:32.6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389 170,'-8'1,"1"0,0 0,-1 1,1 0,0 0,0 1,0 0,1 0,-1 1,1 0,-11 7,0 3,0 0,-26 28,-58 87,28-33,68-90,0 1,1-1,0 1,0 1,0-1,1 0,0 1,0 0,0-1,1 1,-1 13,2-15,1 0,0 0,1 0,-1 0,1 0,0-1,0 1,1 0,0 0,0-1,0 1,1-1,0 1,0-1,0 0,6 6,13 13,2-2,0-1,2-1,39 24,-21-14,-41-28,60 38,-56-36,0-1,0 1,0-1,0-1,1 0,-1 0,11 2,-16-4,-1 0,1 0,-1 0,1 0,-1-1,1 1,-1 0,1-1,-1 1,1-1,-1 1,0-1,1 0,-1 1,0-1,1 0,-1 0,0 0,0 0,1-1,1-1,-1 0,0 0,-1 0,1-1,0 1,-1 0,0 0,2-6,-1-5,1 0,-2 0,1-19,-2 32,0-11,0 1,-1-1,0 0,-5-22,4 27,-1-1,0 1,-1 0,1 0,-1 0,-1 0,1 1,-8-9,-14-11,-1 0,0 2,-2 1,-1 1,-37-21,62 40,0 1,-1-1,1 1,-1-1,-7-1,10 4,0-1,1 1,-1 0,1 0,-1 0,1 0,-1 0,1 1,-1-1,1 1,-1 0,1 0,-1-1,-3 3,-5 4</inkml:trace>
  <inkml:trace contextRef="#ctx0" brushRef="#br0" timeOffset="732.98">699 170,'0'13,"-2"0,1-1,-1 1,-1-1,0 1,-1-1,-9 20,-5 4,-25 37,9-18,33-52,-1-1,1 1,0 0,0-1,0 1,0 0,0 0,1-1,-1 1,1 0,0 0,0 0,0 0,0 0,0 0,1 0,-1-1,1 1,1 5,0-4,0 0,1 0,-1 0,1-1,0 1,0-1,0 1,1-1,-1 0,1 0,5 3,4 1,0 0,0 0,1-1,-1-1,2-1,25 6,-25-7,1-1,-1 0,0-1,1-1,-1 0,0-1,1-1,-1-1,0 0,0 0,0-2,-1 0,21-10,-24 8</inkml:trace>
  <inkml:trace contextRef="#ctx0" brushRef="#br0" timeOffset="1152.98">876 410,'-1'0,"0"0,0 1,0-1,0 0,0 1,0-1,1 1,-1-1,0 1,0-1,1 1,-1 0,0-1,0 1,1 0,-1-1,1 1,-1 0,1 0,-1 1,-10 23,8-17,-8 17,0 0,2 1,2 1,0 0,2-1,0 2,0 38,6 18,-1-63</inkml:trace>
  <inkml:trace contextRef="#ctx0" brushRef="#br0" timeOffset="2093.99">1275 1,'2'24,"1"0,1-1,1 1,1-1,17 41,-3-5,-2-3,-8-29,-1 0,-1 0,-2 1,4 33,-7 2,-7 97,3-155,0 0,0 0,0 0,-1 0,0 0,0-1,0 1,0-1,-1 1,0-1,0 0,-5 6,-5 3,-1 0,-15 12,19-18,-8 6,0 0,-24 10,21-12,2 1,-21 15,28-19,-1 0,0 0,-27 10,33-15,-7 3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0:53.24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4 1,'-2'57,"1"-30,0-1,2 1,5 32,9-14,-12-37,1 0,-2 0,1 0,-1 0,1 12,-2 68,-2-53,1-20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0:56.93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105 64,'-1'3,"0"1,-1-1,1 0,0 0,-1 0,0-1,0 1,0 0,0-1,0 1,-3 2,-9 13,0 5,6-11,0 1,1 0,1 0,0 0,0 1,-5 25,10-37,1 0,0 0,0 0,0 0,0 0,0 0,1-1,-1 1,0 0,1 0,0 0,-1 0,1 0,0-1,0 1,0 0,0-1,0 1,3 2,-2-2,2 1,-1-1,0 1,0-1,1 0,-1-1,1 1,-1 0,6 0,4 2,0-2,0 1,0-2,23 0,1 0,-21 0,0 0,0-2,-1 0,27-5,-38 4,-1 1,1-1,-1 0,0 0,0 0,0 0,0 0,0-1,0 0,0 1,-1-1,0 0,1 0,-1-1,0 1,0 0,-1-1,1 1,-1-1,0 1,0-1,0 0,0 1,0-1,-1 0,0-7,0 6,1 1,-1-1,-1 0,1 0,-1 1,0-1,0 0,0 1,-1-1,1 1,-1-1,0 1,-1 0,1 0,-1 0,1 0,-1 0,0 1,-1-1,1 1,-6-5,2 4,-1 1,1-1,-1 1,0 1,0-1,0 1,-14-1,-1 1,-35 2,42 0</inkml:trace>
  <inkml:trace contextRef="#ctx0" brushRef="#br0" timeOffset="541.03">376 157,'0'3,"3"4,1 3,0 4,-1 2,-1 1,-1 2,0-1,-1 0,0 1,0-1,0 0,0 0,3-4,4-3,0-4</inkml:trace>
  <inkml:trace contextRef="#ctx0" brushRef="#br0" timeOffset="1381.55">496 22,'1'-1,"-1"1,0-1,1 0,-1 0,0 1,1-1,-1 0,1 1,-1-1,1 0,-1 1,1-1,0 0,-1 1,1-1,0 1,-1 0,1-1,0 1,0-1,0 1,-1 0,1 0,0-1,0 1,0 0,1 0,27-3,-26 2,13 0,-7 0,1 0,0 1,0 0,-1 0,1 1,0 0,11 3,-19-3,0 1,-1-1,1 0,-1 0,1 1,-1-1,1 1,-1-1,0 1,0 0,0-1,0 1,0 0,0 0,0 0,-1 0,1 0,0 0,-1 0,0 0,1 3,-1 45,-3-35,0 1,-1-1,-1-1,0 1,-1-1,-1 1,-15 24,-5 11,4-6,14-29</inkml:trace>
  <inkml:trace contextRef="#ctx0" brushRef="#br0" timeOffset="1911.55">545 194,'4'0,"3"0,4 0,2 0,3 0,2 0,-3 0</inkml:trace>
  <inkml:trace contextRef="#ctx0" brushRef="#br0" timeOffset="3102.93">771 88,'2'-3,"-1"1,1-1,-1 0,1 1,0-1,0 1,0 0,0-1,0 1,4-3,-2 2,1-1,-1 0,1 0,-1 1,1 0,0 0,0 0,1 1,-1 0,1 0,-1 0,7-1,-10 3,0-1,0 1,0 0,0 0,1 0,-1 0,0 0,0 0,0 1,0-1,0 1,0-1,0 1,0 0,0 0,0 0,-1 0,1 0,0 0,0 1,-1-1,1 0,-1 1,1-1,-1 1,0 0,0-1,1 1,-1 0,0 0,-1 0,1 0,1 3,0 2,-1 1,0 0,0 0,0-1,-2 10,1-11,0-1,0 1,0 0,1-1,-1 1,1-1,1 1,-1-1,1 0,4 10,-4-12,1-1,-1 1,1-1,0 0,-1 0,1 0,0-1,0 1,0-1,0 1,7 1,21 12,-27-11,1 1,-1-1,-1 1,1 0,-1 1,1-1,-1 1,-1-1,1 1,-1 0,0 0,0 0,-1 0,0 0,0 0,0 0,-1 0,0 1,0-1,-1 0,-1 9,2-13,-1 0,1 0,-1 0,0 0,1 0,-1-1,0 1,0 0,0 0,0-1,-1 1,1-1,0 1,-1-1,1 1,-1-1,1 0,-1 0,0 0,1 0,-1 0,0 0,0 0,0 0,0-1,0 1,1-1,-1 0,-4 1,-7 0,0 0,0-1,-22-3,10 1,-7-2,20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1:08.21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82 1,'0'3,"0"7,0 4,-3 7,-7 5,-5 1,-3 3,-1-5,3-6</inkml:trace>
  <inkml:trace contextRef="#ctx0" brushRef="#br0" timeOffset="418">956 57,'0'3,"0"4,0 4,0 3,-3 2,-1 1,-2 1,-1 4,-2 0,0 0,0-4,0-2,3-3</inkml:trace>
  <inkml:trace contextRef="#ctx0" brushRef="#br0" timeOffset="1248.33">463 14,'0'3,"0"4,-3 1,-1 2,-3 2,0 2,-5 5,-3 2,-6 1,-4-1,-2-1,-2-3,1-6,3-3,1-4,-3-3,-3-1,3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1:03.91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87 0,'-7'33,"0"-8,2 45,3 103,5-71,-3 2496,1-2569,7 38,-4-37,1 39,-3-45,1 1,1 0,10 34,-3-18,-3-11,2 0,19 39,-17-39,-7-16,-1-1,-1 1,0 0,-1-1,0 21,0-14,7 36,0-7,-2-2,-3 1,-2 96,-3-83,1-47</inkml:trace>
  <inkml:trace contextRef="#ctx0" brushRef="#br0" timeOffset="1436.01">354 1376,'-6'6,"-6"8,-3 10,-5 13,-3 7,-9 10,-5 6,-4 0,-2 3,4-6,7-11,9-10,4-10,7-11</inkml:trace>
  <inkml:trace contextRef="#ctx0" brushRef="#br0" timeOffset="2020.99">498 1856,'3'0,"4"0,1 6,-1 11,-1 12,-3 12,-4 12,-2-1,-6 3,-6 5,-2 0,-9-1,-1 2,2-7,1-7,0-2,2-5,3-10</inkml:trace>
  <inkml:trace contextRef="#ctx0" brushRef="#br0" timeOffset="2526">978 2503,'-1'7,"1"1,-1-1,-1 0,1 0,-1 0,-1 1,0-2,-5 12,-5 4,-17 23,13-20,-199 317,162-250,-77 184,119-249,5-10</inkml:trace>
  <inkml:trace contextRef="#ctx0" brushRef="#br0" timeOffset="2987.99">1249 3148,'-1'20,"-1"0,-1-1,-1 0,-1 0,0 1,-2-2,-10 26,-10 9,-37 55,25-46,-91 108,107-141,14-16</inkml:trace>
  <inkml:trace contextRef="#ctx0" brushRef="#br0" timeOffset="3499">1630 3552,'0'3,"0"4,0 7,0 9,0 7,0 6,-3 1,-4 1,-4 2,-3-2,-3-1,3-5,-1-7,3-5,4-6</inkml:trace>
  <inkml:trace contextRef="#ctx0" brushRef="#br0" timeOffset="3931">2265 3732,'0'6,"0"5,0 6,0 6,-6 6,-5 3,-3 3,-4 1,0 1,2-4,3-4,5-7</inkml:trace>
  <inkml:trace contextRef="#ctx0" brushRef="#br0" timeOffset="6025.33">2649 3689,'-4'1,"1"-1,-1 1,1-1,0 1,-2 0,2 0,0 1,0-1,0 0,0 1,0 0,0 0,0 0,-2 2,-6 6,0 1,-9 12,-3 1,-2 2,5-5,-41 33,54-49,0 0,0 0,-2-1,2 0,-1 0,0-1,0 0,-1-1,0 1,-13 0,-41-1,31-2</inkml:trace>
  <inkml:trace contextRef="#ctx0" brushRef="#br0" timeOffset="6561.11">645 3415,'0'3,"0"4,0 4,0 3,0 2,0 1,0 1,-3-2,-1-2,-2-2,-1-4</inkml:trace>
  <inkml:trace contextRef="#ctx0" brushRef="#br0" timeOffset="8120">971 144,'-1'11,"0"0,0 0,-2 0,1 0,-1-1,0 1,-7 13,-5 7,-20 29,24-43,0 0,1 0,1 1,1 1,1-1,1 1,-5 20,-5 29,8-41,3-7</inkml:trace>
  <inkml:trace contextRef="#ctx0" brushRef="#br0" timeOffset="9164.5">1057 105,'0'-1,"1"1,-1-1,0 0,1 0,-1 0,1 1,-1-1,1 0,-1 1,1-1,-1 1,1 0,0-1,-1 1,1-1,0 1,0-1,-1 1,1 0,0-1,0 1,0 0,-1 0,1-1,0 1,0 0,0 0,1 0,27 1,-27-1,-1 1,1 0,0 1,0-2,0 1,-1 0,1 1,-1-1,1 1,-1-1,0 1,1 0,-1-1,0 1,0 0,0 0,1 3,11 39,-8-23,0-2,-1 0,-1-1,-1 2,0-1,-2-1,-2 33,2-49,0-1,-1 1,1 0,-1 0,0 0,1 0,-1 0,0-1,0 1,0 0,0-1,0 1,0 0,-1-1,1 0,0 1,-1-1,1 0,-1 0,-1 1,2-1,-1-1,0 1,0 0,1 0,-1-1,0 1,0-1,0 1,-3-1,-7 2,-1-2,1 0,0 0,-14-2,0 0,-65 0,75 2</inkml:trace>
  <inkml:trace contextRef="#ctx0" brushRef="#br0" timeOffset="10197.04">494 741,'10'4,"1"-1,0 0,-1 0,1-1,-1 0,19 0,21 4,1 1,0-2,2-3,61-4,-19 0,52 2,-131 0</inkml:trace>
  <inkml:trace contextRef="#ctx0" brushRef="#br0" timeOffset="11467.22">697 1029,'26'0,"-12"-1,1 1,-1 0,0 1,27 6,-37-6,-1 0,2 1,-1-1,0 1,-1 0,1 0,-1 0,1 1,-1-1,0 1,0 0,0 0,-1 0,1-1,-1 1,2 1,-2-1,0 1,0-1,-1 1,3 5,-2 0,0-1,0 1,-1-1,0 1,0 0,-1-1,0 1,-1 0,0-1,-3 13,0-5,-1-1,0 0,-2 0,-12 23,4-19,13-17,0 0,-1 0,1 1,0-1,1 0,-1 1,0 0,-1 5,3-8,0 1,0 0,0-1,0 1,1 0,-1-1,0 1,0-1,1 1,-1 0,0-1,1 1,-1-1,1 1,-1-1,1 1,-1-1,1 1,-1-1,1 0,-1 1,1-1,-1 0,1 1,0-1,-1 0,1 0,0 1,-1-1,3 0,22 6,-21-5,35 4,0-1,76-3,-75-2,-23 1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1:18.53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431 36,'-2'3,"0"1,0-1,0 1,0 0,1 0,0-1,-1 1,2 0,-1 0,0 1,0 6,-2 11,-8 12,-1 0,-1 0,-3-1,-23 39,29-55,-4 9,2 0,-12 33,20-45</inkml:trace>
  <inkml:trace contextRef="#ctx0" brushRef="#br0" timeOffset="1004.91">470 28,'5'0,"-1"-1,1 0,-1 0,0 0,1-1,-1 1,0-1,6-3,-6 2,1 1,-1 0,1 0,0 1,7-2,-10 2,0 1,0 0,0 0,0 1,-1-1,1 0,0 0,0 1,0-1,-1 1,1 0,0 0,-1-1,1 1,-1 0,1 0,-1 0,1 1,2 1,0 2,1 1,-1-1,0 1,0 0,0 0,-1 0,0 1,0-1,-1 1,0-1,0 1,0 0,-1 0,0 0,-1 0,1 0,-1 0,-1 0,0 9,0-14,1 0,-1 0,0 0,1 0,-1 0,0 0,0 0,0 0,0 0,-1 0,1-1,-1 1,1-1,-1 1,1-1,-1 1,0-1,1 0,-1 0,0 0,0 0,0 0,0 0,-2 0,-9 3,0 0,1-1,-15 1,-14 4,12 5,17-8</inkml:trace>
  <inkml:trace contextRef="#ctx0" brushRef="#br0" timeOffset="1609.91">0 656,'56'1,"85"13,-16-2,-5-1,-59-2,-38-5</inkml:trace>
  <inkml:trace contextRef="#ctx0" brushRef="#br0" timeOffset="2644.92">0 988,'31'0,"-15"-1,0 0,-1 2,1 0,0 1,-1 0,1 1,21 8,-32-10,0 1,0 0,0 1,0-1,-1 1,1 0,-1 0,1 0,-1 1,0 0,-1-1,1 1,-1 1,1-1,-1 0,-1 1,1 0,0 0,-1-1,0 1,0 1,-1-1,0 0,2 9,-2-4,0-1,0 0,-1 0,0 0,-3 17,2-21,0 0,-1-1,1 1,-1 0,0-1,-1 0,1 1,-1-1,0 0,0 0,0-1,-6 6,-11 8,0-1,-41 23,10-7,50-31,0-1,0 1,-1 0,1 0,0 0,0 0,0 0,1 0,-1 0,0 0,-1 2,2-2,0-1,0 1,0-1,0 0,0 1,0-1,-1 1,2-1,-1 1,0-1,0 0,0 1,0-1,0 1,0-1,0 0,0 1,1-1,-1 1,0-1,0 0,0 1,1-1,-1 1,3 1,0 0,0 0,1 0,-1 0,0-1,7 3,3 1,5 3,0-1,1-1,-1-1,2 0,26 2,-30-6</inkml:trace>
  <inkml:trace contextRef="#ctx0" brushRef="#br0" timeOffset="4433.89">1052 536,'4'0,"1"1,-1-1,1 1,-1 0,1 0,-1 1,0-1,0 1,0 0,5 3,38 29,-9-5,-28-24,0 0,0-1,21 6,-24-9,-1 1,1 0,-1 0,1 1,-1 0,0 0,0 0,0 1,0 0,0 0,6 7,-11-11,-1 1,1 0,-1 0,0 0,1-1,-1 1,0 0,1 0,-1 0,0 0,0 0,0 0,0 0,1 0,-2 0,1 0,0-1,0 1,0 0,0 0,0 0,-1 0,1 0,0 0,-1 0,1 0,-1-1,1 1,-1 0,0 0,1-1,-1 1,1 0,-1-1,0 1,-1 0,-30 19,32-20,-61 27,-2-3,-108 26,157-47,-14 5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1:24.36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673 1,'2'0,"-1"1,1-1,-1 1,1-1,-1 1,1-1,-1 1,0 0,1 0,-1 0,0 0,0 0,1 0,-1 0,0 1,0-1,0 0,0 0,-1 1,1-1,0 1,0-1,-1 1,1-1,-1 1,0-1,1 1,-1-1,0 4,2 8,0 0,0 20,-2-23,0 8,-1 1,-1-1,0 0,-1 0,-1 0,-1 0,-1-1,0 1,-1-1,-1-1,0 0,-1 0,-1 0,-1-1,0-1,-13 14,5-8,0-1,-1-1,-1 0,-1-2,0 0,-1-2,-35 17,38-22,0-1,0-1,-1-1,0 0,0-2,0 0,-1-2,1 0,-39-3,54 0,-1 0,1 0,0-1,1 0,-1 0,0-1,1 0,-1 0,1 0,0 0,0-1,0 0,0 0,1 0,-1-1,1 1,0-1,1 0,-5-8,3 5,0 0,1-1,0 0,1 0,0 0,0 0,1 0,0-1,0 1,1-1,1 1,0-11,1 15,0 0,0 0,0 0,1 1,0-1,0 0,0 1,0 0,1-1,-1 1,1 0,1 0,-1 0,0 1,1-1,7-5,5-2,0 0,33-16,-48 27,31-16,0 3,40-13,-67 25,0 1,-1-1,1 1,0 0,0 0,0 0,0 0,0 1,0 0,0 0,-1 1,1-1,0 1,-1 0,1 0,-1 0,0 1,0-1,0 1,0 0,4 4,9 10,0 0,0 1,14 21,-13-15,9 10,2 3,63 62,-84-93,0-1,0 1,1-1,17 7,-20-10,5 3</inkml:trace>
  <inkml:trace contextRef="#ctx0" brushRef="#br0" timeOffset="1164.58">21 819,'430'23,"-329"-14,112-5,-199-4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1:26.56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18,'18'-1,"31"-5,2 0,-49 5,56-3,73 5,-113 0,-1 1,0 1,-1 0,1 1,0 1,-1 0,0 2,30 15,-45-21,0-1,1 1,-1 0,0 0,1 0,-1 0,0 0,0 0,0 1,0-1,0 0,0 0,0 1,0-1,0 1,-1-1,1 0,-1 1,1 0,-1-1,1 1,-1-1,0 1,0-1,0 1,0 0,0-1,0 1,0-1,-1 1,1 0,0-1,-1 1,1-1,-1 1,0-1,1 0,-1 1,0-1,0 0,0 1,-2 1,-3 5,-1-1,-1 0,1 0,-1 0,-12 7,-19 10,-1-2,-60 23,8-4,87-38,-1-1,1 1,0 1,0-1,-8 8,12-10,0 0,1-1,-1 1,1 0,-1 0,0-1,1 1,-1 0,1 0,0 0,-1 0,1 0,0 0,-1 0,1 0,0 0,0-1,0 1,0 0,0 0,0 0,0 0,0 0,0 0,1 0,-1 0,0 0,1 0,-1 0,0 0,1 0,-1-1,1 1,0 0,-1 0,1-1,0 1,-1 0,1 0,0-1,0 1,-1-1,2 1,3 3,1-1,-1 0,1 0,-1 0,1-1,0 0,0 0,12 2,54 3,-39-5,93 11,88 5,-188-17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1:35.71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2177 1,'1'0,"0"0,-1 1,1-1,0 1,0-1,-1 0,1 1,0-1,-1 1,1-1,0 1,-1 0,1-1,-1 1,1 0,-1-1,1 1,-1 0,0 0,1-1,-1 1,0 0,1 0,-1 0,0-1,0 1,0 2,4 26,-4-26,0 10,0 1,-2-1,1 1,-1-1,-1 0,-1 0,0 0,0 0,-1-1,-1 1,0-1,0-1,-12 15,-1 0,-1-2,-1 0,-1-1,-39 30,53-46,0-1,-1 0,0-1,0 0,0 0,0-1,-1-1,-12 4,18-5,-1-2,0 1,0 0,1-1,-1 0,0 0,0 0,0-1,0 0,1 0,-1 0,0 0,1-1,-1 0,1 0,-1 0,1 0,0-1,-5-3,-4-5,0-1,0-1,1 1,1-2,-12-17,18 24,1 1,0-1,1 0,0 0,0-1,0 1,1 0,0-1,0 0,1 1,0-1,0 0,1 0,0-8,1 14,-1-1,1 1,0-1,0 1,0 0,0 0,1-1,-1 1,0 0,1 0,0 0,-1 1,1-1,0 0,0 0,0 1,0 0,0-1,1 1,-1 0,0 0,5-2,6-1,-1 0,1 1,15-1,-15 2,-10 1,15-2,-1 0,35 0,-47 4,1-1,-1 1,1 0,-1 0,0 0,0 1,1-1,-1 2,0-1,-1 0,1 1,0 0,7 6,34 35,20 16,-54-49,0 0,-1 1,0 1,-1 0,-1 0,10 17,-6-9,24 30,-24-37</inkml:trace>
  <inkml:trace contextRef="#ctx0" brushRef="#br0" timeOffset="-3514.55">162 189,'0'3,"0"4,0 9,0 9,-3 9,-7 7,-4 6,-4 7,-1 0,-1-3,4-4,1-7,0-10,3-8,3-4,3-8,3-9,2-5</inkml:trace>
  <inkml:trace contextRef="#ctx0" brushRef="#br0" timeOffset="-2396.58">121 83,'44'1,"1"3,-1 1,0 2,43 13,57 11,-142-31,0 1,0 0,1 0,-1 0,0 0,0 0,-1 1,1-1,0 1,0-1,0 1,-1-1,1 1,-1 0,0 0,1 0,-1 0,0 0,0 0,0 0,0 0,-1 0,1 0,0 1,-1-1,0 0,1 1,-1-1,0 0,0 0,0 1,-1-1,1 0,-1 3,0 1,0-1,0 1,-1-1,1 1,-1-1,-1 0,1 0,-1 1,0-2,0 1,0 0,-8 7,4-6,0-1,-1 0,0-1,0 0,0 0,0-1,-1 0,1 0,-10 1,8-2,0 1,1 0,-1 0,1 1,0 0,-17 11,19-9,-1 0,0 0,0-1,-1 0,1-1,-1 0,0 0,-1-1,1 0,0 0,-1-1,1-1,-1 0,-18 1,-112-5,125 3</inkml:trace>
  <inkml:trace contextRef="#ctx0" brushRef="#br0" timeOffset="-1462.2">801 217,'10'1,"0"1,0 1,0 0,-1 0,1 0,-1 2,0-1,13 9,7 2,181 80,-205-93,-1 1,1-1,0 1,-1 0,0 0,5 4,-8-6,0 0,-1-1,1 1,0 0,0 0,-1 0,1 0,-1 0,1 0,-1 0,1 0,-1 0,1 1,-1-1,0 0,0 0,0 0,0 0,0 0,0 1,0-1,0 0,0 0,0 0,0 0,-1 0,1 0,-1 1,1-1,-1 0,1 0,-1 0,1 0,-2 1,-5 6,-1 0,1-1,-1 0,-1 0,1-1,-1 0,-10 5,-72 33,76-38,-177 64,182-67,0 1,0 0,-16 10,10-3</inkml:trace>
  <inkml:trace contextRef="#ctx0" brushRef="#br0" timeOffset="8612.78">2032 940,'-8'1,"-1"0,1 0,0 1,0 0,0 1,-15 6,-8 3,-6 0,3-3,0 2,1 1,1 2,-41 24,65-32,1 0,0 0,0 1,1 0,-1 0,2 1,-1 0,1 0,0 0,1 1,0-1,-4 13,4-10,1 0,0 0,0 0,1 0,1 0,0 0,1 1,0-1,0 0,3 13,-1-17,0-1,1 0,-1 0,1 0,0 0,1-1,0 1,-1-1,2 0,-1 0,1 0,-1-1,1 1,0-1,1-1,9 7,-4-4,1 0,0 0,0-1,1-1,0 0,-1 0,20 2,-26-6,-1-1,1 1,-1-1,0 0,1 0,-1 0,0-1,0 0,0 0,0 0,0-1,6-3,6-6,29-23,-37 27,-1-1,-1 1,1-1,-2-1,1 0,-1 0,-1 0,0 0,0-1,-1 0,0 0,-1 0,0 0,1-13,1-19,-1 0,-4-59,0 101,0-5,-1-1,1 0,-1 1,-1-1,1 0,-1 1,0-1,-1 1,0 0,0 0,0 0,0 0,-7-7,1 2</inkml:trace>
  <inkml:trace contextRef="#ctx0" brushRef="#br0" timeOffset="9209.84">2063 1355,'0'3,"0"4,0 4,0 6,0 3,0 4,0 1,-3 3,-1-2,0-1,1-2,1-2,1-2,0-3</inkml:trace>
  <inkml:trace contextRef="#ctx0" brushRef="#br0" timeOffset="10333.18">2445 1137,'-1'4,"1"-1,-1 1,0-1,0 1,0-1,0 1,-1-1,1 0,-1 0,-2 4,-10 22,11-17,1 0,0 0,1 0,0 0,1 1,1-1,0 0,3 19,-3-26,1 1,-1-1,1 0,0 1,0-1,0 0,1 0,0 0,0-1,0 1,0-1,1 1,0-1,0 0,0-1,0 1,0-1,1 1,0-1,9 4,-6-5,1 0,0 0,1-1,-1 0,0-1,0 0,0 0,0-1,1 0,-1-1,0 0,-1 0,1-1,0 0,-1-1,15-8,-17 7,0 0,-1-1,1 1,-1-1,-1-1,1 1,3-8,25-51,-26 52,-2-1,0 0,0 0,-1 0,2-15,-6 23,1 1,-1 0,0 0,0 0,-1 0,1 0,-1 0,0 0,-1 0,1 0,-1 0,0 1,0-1,0 1,-1-1,0 1,0 0,-4-5,-11-13,12 14,0 1,-1-1,0 1,-13-10,8 9</inkml:trace>
  <inkml:trace contextRef="#ctx0" brushRef="#br0" timeOffset="11351.22">3024 894,'-1'4,"0"0,0 0,0 0,0 0,0 0,-1 0,-4 7,-1 5,-2 8,0 0,0 1,2 0,-5 29,12-53,0 1,-1-1,1 1,0-1,0 1,0 0,0-1,0 1,1-1,-1 1,0-1,1 1,-1-1,1 1,0-1,-1 0,1 1,0-1,0 0,0 1,0-1,0 0,0 0,0 0,0 0,0 0,1 0,-1 0,0-1,1 1,-1 0,0-1,4 2,3 0,1-1,-1 0,1 0,0-1,10 0,21 1,-35 0,0 1,0 0,0 0,0 0,0 0,-1 1,1 0,-1 0,0 0,0 0,0 1,0 0,0 0,-1 0,0 0,0 0,0 1,0-1,2 7,5 11,-1 0,11 45,-19-63,3 7,-2 1,1-1,-2 1,1 15,-1-25,-1 0,0 0,0 0,0 0,-1 0,1 0,0 0,-1 0,1 0,-1 0,0 0,0 0,1 0,-1 0,0-1,-1 1,1 0,0-1,0 1,-1-1,1 1,-1-1,1 0,-1 0,0 1,1-1,-1 0,0-1,0 1,0 0,0 0,-3 0,-1 0,-1 0,1-1,-1 1,0-1,1-1,-1 1,0-1,1 0,-1-1,1 0,-1 0,1 0,0-1,0 0,0 0,0 0,1-1,-1 0,1 0,0 0,0-1,-5-6,-4-4</inkml:trace>
  <inkml:trace contextRef="#ctx0" brushRef="#br0" timeOffset="12058.25">2954 724,'352'0,"-336"0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2:02.32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146 103,'0'11,"-1"-1,0 1,-1-1,0 1,-1-1,0 0,0 0,-7 12,-5 5,-25 37,-12 20,49-77,1-1,0 1,0 0,1 0,0-1,0 1,0 0,1 0,0 1,0-1,1 0,0-1,0 1,1 0,2 9,0-4,1 0,0-1,0 0,1 0,1 0,-1 0,15 15,-17-22,-1-1,0-1,1 1,0-1,-1 1,1-1,0 0,0 0,1-1,-1 1,0-1,0 0,1 0,-1 0,6 0,5-1,0 0,0 0,16-4,-27 3,0 1,-1-1,1-1,-1 1,1 0,-1-1,0 0,0 0,1 0,-1 0,0 0,4-5,30-38,-11 12,-15 21,0-1,-1 0,-1-1,0 0,-1-1,0 0,-1 0,-1 0,0-1,-1 0,-1 0,0-1,-1 1,-1-1,-1 1,-1-27,0 33,-1-1,0 0,0 1,-1 0,-1-1,0 1,-6-15,7 20,-1 0,0 0,0 0,0 1,0-1,-1 1,1 0,-1 0,0 0,0 0,-1 1,1 0,-1 0,0 0,1 0,-7-1,-63-28,-39-12,93 39</inkml:trace>
  <inkml:trace contextRef="#ctx0" brushRef="#br0" timeOffset="951.6">548 372,'0'3,"0"4,0 7,0 7,-3 5,-2 6,-1 2,-5 2,1-3,-1 0,-2 3,2 1,-1-3,2-3,3-17,2-10</inkml:trace>
  <inkml:trace contextRef="#ctx0" brushRef="#br0" timeOffset="1567.04">714 178,'-8'90,"0"-5,9-81,-1 0,1 0,0 0,0 0,1 0,-1 0,1 0,0 0,0 0,0-1,0 1,1-1,-1 0,1 1,0-1,0 0,0-1,0 1,1 0,-1-1,1 0,4 3,8 3,-1-1,1 0,1-1,17 5,-20-8,0-1,-1 0,1-1,24-1,-23-1</inkml:trace>
  <inkml:trace contextRef="#ctx0" brushRef="#br0" timeOffset="2015.39">935 209,'-3'0,"-1"6,-2 8,-1 8,-2 6,0 7,3 1,-2 3,1 1,2 0,1-2,2-3,1-5,1-8</inkml:trace>
  <inkml:trace contextRef="#ctx0" brushRef="#br0" timeOffset="3551.83">1303 40,'0'494,"0"-491,0-1,0 1,0 0,0 0,1 0,-1 0,1-1,0 1,0 0,0-1,0 1,0 0,3 3,-3-5,1 1,-1-1,1 0,0 1,0-1,0 0,0 0,0 0,0 0,0-1,0 1,0 0,0-1,1 0,-1 1,0-1,0 0,3 0,1 0,0 0,0 0,0-1,1 1,-1-1,0 0,0-1,0 0,0 0,-1 0,10-5,-11 4,0 0,-1 0,1 0,-1-1,0 1,0-1,0 0,0 1,-1-1,1-1,-1 1,0 0,0 0,-1-1,2-7,2-4,-1 0,-1 0,2-31,-5 42,0-1,-1 1,0 0,1 0,-2 0,1 0,0 0,-1 0,0 0,0 1,-1-1,1 1,-1-1,0 1,0 0,-5-5,-19-15,16 16</inkml:trace>
  <inkml:trace contextRef="#ctx0" brushRef="#br0" timeOffset="4496.36">1606 54,'21'2,"0"0,0 1,-1 1,35 12,-27-8,39 7,-53-13,-6-1,1 0,0 1,-1 0,1 0,8 4,-15-5,0 0,-1 0,1 0,-1 0,1 0,0 0,-1 0,0 1,1-1,-1 0,0 1,0-1,0 1,0 0,0-1,0 1,0 0,0 0,-1 0,1-1,-1 1,1 0,-1 0,0 0,0 0,0 0,0 0,0 2,-2 10,-1 0,-1 0,0 0,-1 0,0-1,-1 0,-1 0,0 0,0-1,-1 0,-15 17,12-19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2:13.686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164 244,'-2'18,"0"-1,0 1,-2-1,0 0,-11 26,-3 15,14-39,1 0,1 1,1-1,0 0,4 34,-3-51,0 0,1 0,0 0,-1-1,1 1,0 0,0 0,-1 0,1-1,1 1,-1-1,0 1,0-1,1 1,-1-1,0 0,1 1,0-1,-1 0,1 0,0 0,-1 0,1-1,0 1,0 0,1-1,-1 1,-1-1,1 0,4 1,7 0,0 0,1-1,22-3,-9 1,19 2,-27 0,2 0,-2 0,36-8,-49 7,-1 0,0-1,0 1,0-1,-1 0,1-1,-1 1,1-1,0 0,-1 0,0 0,-1-1,1 1,-1-1,1 0,-1 0,0 0,0-1,3-5,5-12,-7 17,-1-1,0 0,0 1,-1-1,1-1,-1 1,-1 0,1 0,-1-1,0 1,-1-1,2 1,-2-1,0 1,-2-1,0-7,-1 2,-1 1,0 0,-1 0,0 0,-1 0,0 0,-1 1,0 1,-1-1,-13-13,2 6,0 0,-1 1,0 1,-26-13,40 25,0 0,0 1,0-1,-1 1,0 0,0 1,1 0,-13-1,-57 4,37 0,4-2,-60-9,74 6</inkml:trace>
  <inkml:trace contextRef="#ctx0" brushRef="#br0" timeOffset="602.62">863 339,'0'4,"0"3,-4 7,0 4,-3 5,-3 1,-3 3,-3 3,-1-1,-2-2,4 0,1-1,1-3,5-1,0-6,2-1,1-4</inkml:trace>
  <inkml:trace contextRef="#ctx0" brushRef="#br0" timeOffset="1232.26">1086 22,'0'5,"-1"1,1 0,-1-1,0 1,-1-1,1 1,-1-1,0 0,-5 9,-1-1,-1-1,-11 14,13-18,-1 1,2-1,0 1,0 0,1 1,-8 18,13-25,-2 0,1-1,1 1,-1 0,1 0,0-1,0 1,0 0,0 0,0-1,1 1,-1 0,1 0,1-1,-1 1,0-1,0 1,3 4,-1-3,0 0,1 0,-1-1,1 1,-1-1,1 0,0 0,2-1,-2 1,5 1,4 2,2-1,-1 0,0-1,1-1,0 0,21 1,-3 1,47 9,8 2,-72-15</inkml:trace>
  <inkml:trace contextRef="#ctx0" brushRef="#br0" timeOffset="1618.86">1267 141,'-1'0,"-1"1,0-1,0 1,0-1,0 1,0 0,1-1,-1 1,0 0,1 0,-1 0,1 0,0 1,-1-1,-1 2,-19 25,19-25,-19 29,0 0,2 2,1 0,-18 47,33-69,1 0,-3 20,5-28,1 0,0 0,-1 0,1 0,1 0,-1 0,1 0,-1 0,1 0,0 0,1 0,1 4,-2-6,1 0,0-1,0 1,0 0,1-1,-1 0,0 1,0-1,1 0,-1 0,0 0,1 0,-1-1,1 1,-1-1,1 1,3-1,11 2</inkml:trace>
  <inkml:trace contextRef="#ctx0" brushRef="#br0" timeOffset="2534.98">1882 8,'-2'1,"0"0,0 0,0 0,0 1,0-1,1 0,-1 1,0-1,1 1,-1 0,1 0,-1-1,0 1,1 0,-2 3,0 0,-14 18,0 1,3 1,-24 50,32-58,1 1,0 0,1 0,0 0,1 0,1 0,1 25,1-34,1 0,0 0,0 0,2-1,-1 1,0 0,8 15,-9-21,1 0,0 0,0 0,0 0,0 0,0-1,1 1,-1-1,1 1,1-1,-1 0,0 0,0 0,0-1,0 1,0-1,0 0,1 0,-1 0,0 0,1 0,-1-1,6 1,-5-1,1-1,-1 1,0-1,0 0,0 0,0 0,1 0,-1-1,0 0,-1 0,1 0,0 0,-1 0,0-1,1 1,-1-1,0 0,1 0,-2 0,1-1,-1 1,1-1,-1 1,0-1,-1 0,1 0,0 0,0-4,1-3,0-3,0 1,0 0,-2-1,1-26,-2 37,0 0,0 0,-1 0,0 0,1 0,-1 0,0 0,0 1,0-1,-1 0,1 0,-1 1,0-1,1 1,-1 0,0-1,0 1,-1 0,1 0,0 0,-1 0,1 1,-1-1,-1 1,2-1,-1 1,-5-1,-27-5,19 6</inkml:trace>
  <inkml:trace contextRef="#ctx0" brushRef="#br0" timeOffset="3394.98">2063 26,'11'-1,"-1"0,0-1,21-5,17-3,-5 7,1 1,-1 3,0 1,55 10,166 49,-248-57,-4-1,0 1,-1-1,1 2,19 10,-29-14,1 1,-1 0,0-1,0 1,0 0,1 0,-1 0,0 1,0-1,-1 0,1 1,-1-1,0 1,1 0,-1-1,0 1,-1 0,1 0,0-1,-1 1,0 0,1 0,-1 0,0 0,-1 3,-1 6,-1-1,0 0,-1 0,0 0,-1-1,0 1,-1-1,1 0,-2 0,0-1,-1 0,-15 16,-11 7,-72 50,86-67,1-2,13-10,0 1,0 0,0 1,1 0,0-1,-1 2,-5 7,11-12,-1-1,1 1,0 0,-1-1,1 1,0 0,0-1,0 1,-1 0,1-1,0 1,0 0,0-1,0 1,0 0,0 0,1-1,-1 1,0 0,0-1,0 1,1 0,-1-1,0 1,1-1,-1 1,0 0,1-1,-1 1,1-1,-1 1,1-1,-1 1,1-1,-1 0,2 1,24 11,-23-11,18 6,-1-2,1-1,24 3,-15-4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2:18.158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0 2,'4'0,"0"1,-1-1,1 1,-1 0,2 0,-2 1,1-1,-1 1,0-1,4 3,34 27,-18-15,12 7,2-1,0-3,2-1,0 0,1-4,80 20,-112-32,-1 0,0 0,2 0,-2 1,0 0,7 5,-13-7,0-1,0 1,0 0,0 0,1 0,-1 0,0 0,0 0,0 0,0 0,0 0,0 0,-1 0,1 0,-1 1,1-1,-1 0,1 1,-1-1,0 0,1 1,-1-1,0 0,0 1,0-1,0 1,0-1,0 0,-1 2,1-2,0 0,-1 1,1-1,-1 0,1 0,-1 1,0-1,1 0,-1 0,0 0,-2 2,-5 4,0 0,1 0,-2-1,1 0,-2 0,2 0,-2-1,-15 5,-7 6,-24 13,-131 62,158-79</inkml:trace>
  <inkml:trace contextRef="#ctx0" brushRef="#br0" timeOffset="893.77">981 15,'-34'35,"6"-7,0 1,-25 38,34-38,-1 3,-23 52,37-68,0-1,1 1,1-1,1 2,0-1,-1 0,2 34,2-46,0-1,1 1,-1 0,1-1,0 1,1 0,-1 0,1-1,-1 1,1-1,0 0,0 0,0 1,0-2,1 1,4 5,-2-4,0-1,-1 0,2 0,-1 0,1 0,-1 0,1-1,-1 0,1 0,6 0,1 0,0-1,1 0,-1 0,0-2,1 0,-1 0,0-1,0 0,15-7,-17 4,1 0,-1-1,-1 0,1-1,-1 0,0 0,-1-1,0-2,1 2,-2-1,-1-1,1 0,-1 0,0-1,8-18,-11 14,-1-1,-1 1,0 0,-1 0,0-1,-1 1,-3-18,1-7,2 15,1 7,-1 2,-1-1,-5-24,5 37,1 1,-1-1,0 1,0 0,-1 0,1 0,-1 0,1-1,-1 1,0 0,0 0,0 0,-2 1,2-1,-1 1,1 0,-1 0,0 0,0 0,0 0,0 0,-4-1,-7 0</inkml:trace>
  <inkml:trace contextRef="#ctx0" brushRef="#br0" timeOffset="1330.95">1139 458,'0'6,"0"5,0 3,0 7,-3 5,-4 7,-4 4,-3-4,0-5,4-3,2-7</inkml:trace>
  <inkml:trace contextRef="#ctx0" brushRef="#br0" timeOffset="2315.47">1526 32,'-1'8,"0"0,0 0,-1 0,-1 0,0-1,0 1,0 0,-6 10,4-9,1 0,0 1,0 1,-3 15,3-2,1 1,2-1,1 1,1-1,1 0,2 1,7 32,-7-39,2 0,0 1,2-1,1-1,-1 1,2-2,0 0,2 0,21 26,-27-38,0 1,0-1,0 0,0 1,0-1,0-1,2 0,-2-1,1 1,0-1,0 0,0-1,1 0,-1 0,7 0,10 0,0-2,0-1,29-5,-40 5,0-1,-1 0,0 0,0-2,0 0,-1 0,22-14,-27 16,-1-1,0-1,0 1,1-1,-2 0,1 0,-1-1,0 0,-1 1,1-1,-1 0,0 0,-1 0,1 0,-1-1,3-10,2-24,3-79,-10 101,-1 0,0 0,-2-1,0 2,-1-1,-10-26,11 38,-2 0,1 1,-1-1,0 1,0 0,0 1,-2-1,1 1,0 1,0-1,-10-5,-9-7,16 10,0 1,-1 1,0-1,1 1,-1 1,-2 0,2 0,0 1,-1 0,-1 1,1-1,1 2,-1 0,-20 2,11-1</inkml:trace>
  <inkml:trace contextRef="#ctx0" brushRef="#br0" timeOffset="3320.77">2488 96,'-1'4,"1"0,-1 0,0-1,-1 1,1 0,-1-1,1 0,-1 1,0-1,-3 3,2-3,2 0,-1 0,0 1,0 0,1-1,0 0,0 1,0-1,-1 4,2-6,1 1,-1-1,0 1,1-1,-1 0,1 1,-1-1,1 0,0 1,-1-1,1 0,0 0,0 0,0 0,0 0,0 0,0 0,0 0,0 0,0 0,2 0,-2-1,0 1,1-1,-1 1,0-1,3 1,141 47,-106-38,1 3,-2 1,1 1,49 29,-85-42,0 0,-1 0,1 0,-1 1,2-1,-2 1,0-1,0 1,0 0,0 0,-1-1,1 1,-1 1,0 0,0-1,0 0,0 0,0 4,0 3,0 0,-1 0,0 0,-3 19,1-24,1 0,-1 0,0 0,0 0,0 0,-1 0,0 0,0-1,-1 0,1 1,-7 5,-1 1,-1 0,-23 16,15-15,0-1,-1 0,1-1,-2-1,1-1,-2-1,1-1,-1-1,1-1,-1-1,-1-1,-36-2,58 0,0 0,-1 0,1 0,-1-1,1 0,0 1,-2-1,2 0,0 0,0 0,0 0,0 0,0-1,0 1,0-1,0 1,0-1,0 0,1 1,-1-1,1 0,0 0,-1 0,1 0,0-1,0 1,-1-4,-2-12</inkml:trace>
  <inkml:trace contextRef="#ctx0" brushRef="#br0" timeOffset="3978.43">2477 39,'3'0,"4"0,4 0,7-3,5-1,6-1,7-2,9 1,4 1,-4 1,-6 2,-1 0,-3 2,-6 0,-4 0,-2 0,-7 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3:08.7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1 473,'1'-1,"1"0,-1-1,1 1,-1 0,1 0,-1-1,0 1,0-1,0 1,0-1,0 0,0 1,0-1,-1 0,1 1,0-3,1-1,75-181,-36 84,13-43,-49 138,-3 14,-1 21,-1-23,-1 63,-1-23,6 59,-3-92,0 0,2 0,-1-1,1 0,1 1,0-1,2 0,-1-1,0 2,9 9,-7-12,1-1,1 1,0-1,0-1,0 0,0 0,2-1,-1 0,1 0,-1-1,1-1,1 0,-1 0,13 1,-19-4,0-1,-1 0,1 0,-1-1,1 1,-1-1,0 0,1 0,-1-1,0 1,0-1,0 0,1 0,-1 0,0-1,-1 1,1-1,-1 0,4-4,6-7,1 0,-2-1,12-21,0 1,-12 19</inkml:trace>
  <inkml:trace contextRef="#ctx0" brushRef="#br0" timeOffset="615.99">1081 102,'0'4,"-3"88,1-80,0-1,0 1,-1-1,0 0,-10 20,-10 13,9-19,0 3,-11 34,22-55,1 1,0-1,1 1,-1 0,2 0,-1-1,1 1,0 0,1 0,0 0,0 0,0-1,4 11,-3-15,-1-1,0 0,0 1,1-1,0 0,-1 0,1 0,0 0,0-1,0 1,0 0,0-1,0 1,1-1,-1 0,0 0,1 0,0 0,0 0,-1 0,1-1,4 1,7 1,0-2,1 1,15-3,-7 1,-2 1,-7 0,1 0,0-1,-1 0,1-2,-1 1,22-8,-34 9,0 0,0 1,-1-1,1 0,0-1,-1 1,1 0,-1 0,0-1,1 1,-1-1,0 1,0-1,0 0,0 1,0-1,0 0,0 0,0-3,0 1,0-1,0 1,-1-1,0 0,0 0,-1-8,-3-9</inkml:trace>
  <inkml:trace contextRef="#ctx0" brushRef="#br0" timeOffset="1065">1138 300,'3'0,"4"0,5 0,2 0,5 0,4 0,-4 0</inkml:trace>
  <inkml:trace contextRef="#ctx0" brushRef="#br0" timeOffset="1478">1095 88,'3'0,"7"0,5 0,3 0,2 0,0 0,-4 0</inkml:trace>
  <inkml:trace contextRef="#ctx0" brushRef="#br0" timeOffset="2203.03">1434 88,'25'2,"-1"0,1 1,24 8,-19-5,34 4,-53-10,-2 1,0 0,1 1,-1 0,1 1,-1 0,17 8,-23-9,2 0,-2 1,0-1,1 1,-1 0,0 0,-1 0,1 1,-1-1,1 1,-1-1,0 1,0 0,-1 0,1 0,-1 0,0 0,0 0,0 0,0 6,0-4,0 1,-1-1,0 1,0-1,-1 1,0-1,0 1,-1-1,1 0,-1 1,-5 9,1-5,0-1,-1 0,-1 0,0 0,-13 12,-87 75,31-32,76-64,-1 1,0-1,0 1,1 0,-1 0,1 0,-1 0,1 0,0 0,0 0,0 0,0 1,0-1,0 0,0 4,1-5,1 0,-1 1,0-1,1 1,-1-1,1 0,-1 0,1 1,0-1,-1 0,1 0,0 0,0 0,0 0,0 0,0 0,0 0,0 0,0 0,1 0,-1-1,0 1,0 0,1-1,-1 1,0-1,3 1,10 3,-1-1,1 0,-1 0,2-2,-1 1,19-2,4-2,43-7,-42 2,-7 0</inkml:trace>
  <inkml:trace contextRef="#ctx0" brushRef="#br0" timeOffset="2791.03">2054 554,'2'-1,"-1"0,1-1,-1 0,1 1,-1-1,1 0,-1 0,0 0,0 0,0 0,0 0,0 0,0-3,2-3,122-259,-89 182,-36 84,0 1,0 0,0-1,1 1,-1-1,0 1,0-1,0 1,0 0,1-1,-1 1,0 0,0-1,1 1,-1 0,0-1,1 1,-1 0,0-1,1 1,-1 0,1 0,-1 0,0-1,1 1,-1 0,2 0,-2 0,1 0,-1 0,0 0,1 0,-1 0,1 0,-1 0,1 0,-1 0,1 0,-1 0,0 0,1 0,-1 0,1 1,-1-1,0 0,1 0,-1 0,1 1,-1-1,0 0,1 1,-1-1,0 0,0 1,1-1,-1 0,0 1,0-1,1 0,-1 1,0 0,13 29,-12-27,86 215,-66-165,24 93,-33-99,-4-30,-5-13,-3-11,-3-5</inkml:trace>
  <inkml:trace contextRef="#ctx0" brushRef="#br0" timeOffset="3132.03">2095 547,'4'0,"3"0,4 0,9 0,5 0,6 0,2 0,2 0,0 0,0-3,7-3,2-5,-5-3,-12 1</inkml:trace>
  <inkml:trace contextRef="#ctx0" brushRef="#br0" timeOffset="3528.02">2946 194,'0'3,"0"4,0 10,0 10,-3 14,-3 11,-6 4,-8-3,-2-7,4-8,4-8,5-6,4-6</inkml:trace>
  <inkml:trace contextRef="#ctx0" brushRef="#br0" timeOffset="4082.03">2886 183,'33'0,"0"2,51 7,-50-5,2-2,-1-1,0-1,1-3,42-7,-16 3,-28 3,83-6,-115 10,0 0,1 0,-1 0,0 0,0 0,0 1,0-1,0 1,0-1,1 1,-1 0,0 0,0 0,4 2,-5-2,0 1,0-1,-1 0,1 0,0 0,0 1,-1-1,1 0,-1 1,1-1,-1 1,0-1,1 1,-1-1,0 1,0-1,0 1,0-1,0 0,-1 1,1-1,-1 3,-4 11,0-1,-1 0,-2-1,1 0,-1 0,-1 0,-14 15,-6 14,2-3,-39 62,54-80</inkml:trace>
  <inkml:trace contextRef="#ctx0" brushRef="#br0" timeOffset="4485.02">3734 179,'3'0,"2"3,-2 4,1 10,-2 5,-1 4,0 11,-1 4,0 0,0-3,-3 1,-1-2,0-4,-3-9,1-5,1-2,0-5</inkml:trace>
  <inkml:trace contextRef="#ctx0" brushRef="#br0" timeOffset="4980.03">4253 221,'-14'27,"-89"198,70-151,21-51,2 1,-9 26,19-49,-1 0,1 1,-1-1,1 0,0 0,0 1,0-1,-1 0,1 1,0-1,1 0,-1 1,0-1,0 0,1 0,-1 1,0-1,1 0,-1 0,1 0,0 0,-1 1,1-1,0 0,1 0,-1 0,-1 0,1-1,0 1,0 0,1 0,-1 0,0-1,0 1,0-1,0 1,0-1,1 1,-1-1,0 0,0 1,3-1,6 1,1 0,0-1,0 0,15-3,-5 1,28-3,-30 1</inkml:trace>
  <inkml:trace contextRef="#ctx0" brushRef="#br0" timeOffset="5362.02">4163 466,'4'0,"3"0,4 0,3 0,3 0,0 0,1 0,2 0,-2 0,-3 0</inkml:trace>
  <inkml:trace contextRef="#ctx0" brushRef="#br0" timeOffset="5735.04">4213 194,'4'0,"3"0,7 3,4 4,3 1,2 1,2 1,2-3,6-2,-2-2</inkml:trace>
  <inkml:trace contextRef="#ctx0" brushRef="#br0" timeOffset="6115.54">4660 207,'165'-1,"175"3,-273 7,-41-5,-10-2</inkml:trace>
  <inkml:trace contextRef="#ctx0" brushRef="#br0" timeOffset="6473.05">5074 300,'0'3,"-3"4,-1 3,-3 4,-7 8,-3 8,-12 11,-3 6,-3 2,-2 3,1-4,1-3,5-8,8-9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3:05.9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99 1,'0'564,"-3"-517,-1-1,-15 65,13-81,-5 13,7-29</inkml:trace>
  <inkml:trace contextRef="#ctx0" brushRef="#br0" timeOffset="510">423 120,'-2'38,"-2"0,-1-1,-18 62,11-50,-8 62,11-3,-19 123,7-97,20-114</inkml:trace>
  <inkml:trace contextRef="#ctx0" brushRef="#br0" timeOffset="939">0 646,'3'0,"4"0,4 0,2 0,3 0,5 0,1 0,6 0,2 0,-2 0,-3 0,-5 0</inkml:trace>
  <inkml:trace contextRef="#ctx0" brushRef="#br0" timeOffset="1814">858 572,'-6'0,"1"1,0 0,0 0,-1 1,1 0,0 0,0 0,1 0,-1 1,0-1,1 1,-1 1,1-1,0 1,0-1,1 1,-1 0,1 0,-1 1,-1 4,-4 4,2 0,-1 0,2 1,0 0,-8 29,11-31,-5 16,2 1,-5 57,10-79,1 0,0-1,0 1,1 0,-1 0,2 0,-1-1,1 1,0-1,0 1,1-1,0 0,0 0,0 0,1 0,0 0,0-1,8 9,-9-12,0 1,1 0,-1-1,0 0,1 1,0-2,0 1,-1 0,1-1,0 1,0-1,1 0,-1-1,0 1,0-1,0 1,0-1,1-1,-1 1,0 0,5-2,-1-1,0 0,-1 0,1-1,0 0,-1 0,0 0,0-1,0 0,9-10,-12 12,97-97,-84 82,-1 0,-1-1,22-40,-35 56,0-1,0 1,-1-1,0 0,1 1,-1-1,0 0,-1 0,1 0,-1 0,0 0,0 0,0 0,0 0,-1 0,0 0,-1-5,0 4,-1 0,1 0,-1 0,0 0,0 1,-1-1,1 1,-1 0,0 0,0 0,-6-3,-6-4,-1 1,-1 0,0 1,0 1,-35-10,37 14,0 0,-18-2,14 4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3:19.3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369 1,'-5'7,"-1"1,1 0,0 0,0 1,-4 11,-5 9,-123 188,104-173,-2-2,-67 63,89-93</inkml:trace>
  <inkml:trace contextRef="#ctx0" brushRef="#br0" timeOffset="434.97">591 65,'0'3,"0"4,0 7,0 7,-3 6,-1 4,-6 6,-5 3,1 4,0-3,-2-3,3-7</inkml:trace>
  <inkml:trace contextRef="#ctx0" brushRef="#br0" timeOffset="1000.51">519 65,'3'1,"1"0,-1 0,1 1,-1-1,0 1,0 0,0 0,0 0,2 3,2 0,2-1,-1 1,-1-1,1-1,2 0,-2 0,1 0,-1-1,2-1,-2 1,12-1,12 0,48-5,-57 3,96-12,-60 6,72-1,-126 8,0 1,0-1,0 1,0 0,1 0,-1 0,0 1,0-1,0 1,0 0,-1 1,9 4,-10-4,0-1,-1 1,0-1,1 1,-1 0,0 0,0 0,0 0,-1 0,1 0,-1 0,0 1,0-1,0 1,0-1,1 0,-2 1,1 6,-2 4,-1 1,1-1,-2 0,0 0,0 0,-1 0,-1 0,0-1,-10 16,-10 15,-38 50,49-75,-2 4</inkml:trace>
  <inkml:trace contextRef="#ctx0" brushRef="#br0" timeOffset="1584.51">1110 489,'2'0,"1"0,0-1,0 1,-1-1,1 0,-1 0,1 0,-1 0,1 0,-1 0,2-1,-2 1,0-1,0 0,0 0,0 1,3-5,3-4,-1 0,11-18,-9 13,0 1,68-100,-64 95,1 3,1 0,0 0,24-17,-38 32,1-1,-1 1,0 0,1 0,-1 0,1 0,-1 1,2-1,-2 0,1 1,0-1,-1 1,1-1,0 1,-1 0,1 0,0 0,0 0,-1 0,1 0,0 0,-1 0,3 1,-2 1,0-1,2 1,-2-1,0 1,0 0,-1 0,1 0,0 0,-1 0,1 1,-1-1,1 0,-1 1,1 4,11 28,-1 1,-3 0,7 46,-6-34,-10-46,2 8,0 0,0 0,-1 0,-1 21,-4-12</inkml:trace>
  <inkml:trace contextRef="#ctx0" brushRef="#br0" timeOffset="1959.51">1233 408,'0'-1,"0"0,1 1,-1-1,0 1,0-1,1 0,-1 1,0-1,1 1,-1-1,1 1,-1-1,0 1,1-1,-1 1,1-1,-1 1,1 0,0-1,-1 1,1 0,-1 0,1-1,0 1,-1 0,1 0,1 0,21-4,-21 4,67-4,-45 4,-1-2,1 0,0-1,29-9,-43 9,1-2,-1 1,0-1,18-11,-10 3</inkml:trace>
  <inkml:trace contextRef="#ctx0" brushRef="#br0" timeOffset="2313.51">1915 93,'0'3,"0"4,0 4,0 6,0 6,-6 8,-6 5,-2 5,-3 6,-2 0,0-9,2-9</inkml:trace>
  <inkml:trace contextRef="#ctx0" brushRef="#br0" timeOffset="2836.56">1886 164,'15'-1,"-2"-1,0 0,2-1,-2-1,23-8,27-7,5 7,-1 3,0 3,129 4,-187 2,1 1,0 0,0 0,-1 1,15 4,-22-5,0 0,1 0,-1 0,0 0,1 1,-1-1,0 1,0 0,0-1,0 1,-1 0,2 0,-1 0,-1 1,1-1,-1 0,0 0,0 1,0-1,0 1,0-1,0 1,-1-1,1 5,1 19,-2-1,0 1,-2 0,0 0,-2 0,-1-1,-2 0,0-1,-2 1,0-1,-2-1,-13 24,13-30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6T15:13:16.2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55 49,'-5'97,"-17"104,-4 43,24-183,8-97,2-53,-7 76,2-31</inkml:trace>
  <inkml:trace contextRef="#ctx0" brushRef="#br0" timeOffset="609.54">104 0,'59'3,"-1"3,60 13,-56-8,-56-11,0 2,0-1,0 1,0-1,0 2,0-1,7 5,-11-6,0 0,0 1,-1-1,1 1,0-1,-1 1,0 0,1 0,-1-1,0 1,0 0,0 0,0 0,0 0,-1 0,1 1,-1-1,1 0,-1 0,0 0,0 1,1-1,-2 0,1 4,-1 0,-1 0,1 0,-1 0,0 0,-1-1,0 1,1-1,-2 0,1 1,0-1,-1-1,0 1,0-1,-1 1,1-1,-1 0,0-1,0 1,0-1,-6 3,-7 3,-1 0,0-1,0-1,-34 7,-149 22,171-31</inkml:trace>
  <inkml:trace contextRef="#ctx0" brushRef="#br0" timeOffset="1031.54">792 106,'-1'4,"1"0,-1 1,-1-1,1 0,0 0,-1 0,-4 7,-2 5,-96 228,22-53,71-170,5-14,6-7,0 0,-1 0,1 0,0 0,0 0,0 0,0 0,-1 0,1 0,0 0,0 0,0 0,0-1,0 1,-1 0,1 0,0 0,0 0,0 0,0 0,0-1,0 1,-1 0,1 0,0 0,0 0,0-1,0 1,0 0,0 0,0 0,0-1,0 1,0 0,0 0,0 0,0 0,0-1,0 1,0 0,0 0,1-18,2-4</inkml:trace>
  <inkml:trace contextRef="#ctx0" brushRef="#br0" timeOffset="1832.54">820 22,'40'-7,"-8"0,-13 5,58-3,-71 5,0 0,1 1,-1 0,0 0,0 0,0 1,0 0,0 0,9 5,-11-4,0 0,-1 0,0 1,0-1,0 1,0 0,0 0,-1 0,1 0,-1 0,0 0,-1 1,1-1,-1 1,0 0,0-1,1 7,-1 0,0 0,-1-1,0 1,0 0,-1 0,-3 15,2-20,0 0,0 0,0 0,-1 0,0 0,0-1,0 1,-1-1,0 0,0 0,0-1,-8 8,4-6,0 0,0-1,-1 0,1-1,-1 0,0 0,-14 4,-6-2,0 0,0-3,-1 0,-40-2,23-3,30 1,-1 1,1 0,-28 4,44-4,1 0,-1 0,0 0,0 0,1 0,-1 0,0 1,0-1,1 0,-1 1,0-1,1 0,-1 1,0-1,1 1,-1-1,1 1,-1-1,1 1,-1 0,0 1,1-2,0 1,0 0,0-1,0 1,0 0,0-1,0 1,0 0,0-1,1 1,-1 0,0-1,0 1,1-1,-1 1,0 0,1-1,-1 1,1 0,29 24,-28-24,54 35,2-2,2-3,101 37,-146-62,1-1,-1-1,1 0,0 0,0-2,26 1,-24-3</inkml:trace>
  <inkml:trace contextRef="#ctx0" brushRef="#br0" timeOffset="2168.19">1490 198,'0'3,"0"4,0 7,0 7,0 6,0 7,-3 7,-4 2,-4 1,-2-2,-3-2,-2-5,3-5,1-5,2-6</inkml:trace>
  <inkml:trace contextRef="#ctx0" brushRef="#br0" timeOffset="2697.19">1748 325,'84'1,"88"-3,-162 1,0-1,0 0,0 0,0-1,-1 0,19-10,-1 2,-27 10,1 1,0 0,0-1,0 1,-1 0,1 0,0 0,0-1,0 1,0 0,0 0,0 0,-1 0,1 1,0-1,0 0,0 0,0 0,0 1,-1-1,1 0,0 1,0-1,-1 1,1-1,0 1,0 0,1 1,-1 0,0 0,0 0,1 0,-2 0,1 0,0 0,0 0,0 0,0 4,0 7,1 0,-2 26,-1-36,-1 27,-1-1,-2 1,-1-1,-2 0,-17 46,7-32,-2-1,-49 77,61-108,0 0,0-1,-1 0,0 0,-1-1,0 0,-17 11,22-17,-1 1,0-1,0 0,0-1,-1 0,1 0,0 0,-1-1,0 1,1-2,-1 1,0-1,1 0,-1 0,0-1,-11-2,7 0,1-1,-1 0,1-1,0 0,0-1,1 0,-1-1,2 1,-1-2,1 1,0-1,-12-16,0-2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6:25:19.378"/>
    </inkml:context>
    <inkml:brush xml:id="br0">
      <inkml:brushProperty name="width" value="0.05" units="cm"/>
      <inkml:brushProperty name="height" value="0.05" units="cm"/>
      <inkml:brushProperty name="ignorePressure" value="1"/>
    </inkml:brush>
    <inkml:brush xml:id="br1">
      <inkml:brushProperty name="width" value="0.05" units="cm"/>
      <inkml:brushProperty name="height" value="0.05" units="cm"/>
      <inkml:brushProperty name="color" value="#E71224"/>
      <inkml:brushProperty name="ignorePressure" value="1"/>
    </inkml:brush>
    <inkml:brush xml:id="br2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1930 554</inkml:trace>
  <inkml:trace contextRef="#ctx0" brushRef="#br0" timeOffset="393">1876 945</inkml:trace>
  <inkml:trace contextRef="#ctx0" brushRef="#br0" timeOffset="-2678">389 177,'3'3,"2"6,0 7,-2 8,0 15,-1 8,-1 9,-1 3,0-5,0 9,0 2,-1-8,1-8,0-11,0-8,0-5,0-4,0-4</inkml:trace>
  <inkml:trace contextRef="#ctx0" brushRef="#br0" timeOffset="-2132.02">788 280,'0'4,"0"8,4 12,1 14,0 14,-1 8,-1 3,-1-5,-1-2,-1-7,0-6,0-3,-4-6,-2-4,1-4,-3-4,1-1,1-3</inkml:trace>
  <inkml:trace contextRef="#ctx0" brushRef="#br0" timeOffset="-1534.56">497 566,'4'0,"4"0,6 0,6 0,8 0,3 0,-4 0</inkml:trace>
  <inkml:trace contextRef="#ctx0" brushRef="#br0" timeOffset="-527.64">1232 670,'-12'0,"0"0,-1 1,0 1,1 0,0-1,0 2,0 1,-19 7,-3 3,19-8,1 0,-28 14,38-17,0 0,1-1,-1 1,1 1,0-1,0-1,0 2,1 0,-1 0,1-1,-2 1,2 0,1 0,-4 9,3-8,1 2,-1-1,1 1,0 0,1 0,0 0,0-1,0 1,1-1,0 1,3 9,-2-12,0 0,0 0,0-1,1 1,-1-1,1 1,0-1,0 0,0 0,0 1,0-1,0-1,1 0,0 1,-1-1,1 0,0 0,0 0,6 0,30 9,0-5,1 3,48-1,-85-8,2 1,1-1,-1 1,0-1,0-1,2 1,-2-1,0 0,0-1,0 1,0-1,6-2,-8 1,-1 0,0 1,1-1,-1 2,-1-1,1-1,0-1,0 1,-1 1,1-2,-1 1,0-1,0 1,-1-1,0-1,1 1,-1 1,1-5,0-8,1 0,-2 1,0-1,-3-26,2 36,-1-14</inkml:trace>
  <inkml:trace contextRef="#ctx0" brushRef="#br0" timeOffset="9988">4334 726,'2'-1,"0"0,0 0,0-1,1 1,-1-1,0 2,0-2,-1 0,1 0,-1 0,1 0,-1 0,0 0,1-2,4-6,19-17,0 1,3 2,32-25,-10 8,12-18,-46 43,2-1,-1 2,2 0,-1 1,34-20,-51 33,0 1,0-1,0 1,0-1,1 1,-1-1,0 1,0 0,0 0,0-1,0 1,0 0,0 0,1 0,-1 0,0 0,0 0,0 1,0-1,0 0,0 1,0-1,2 1,-2 0,1 1,-1-1,0 0,0 0,0 1,0-1,0 1,0-2,-1 2,1-1,0 1,-1-1,1 1,-1 2,2 8,0-1,-2 0,0 20,0-22,-2 63,-1-8,4 0,11 75,-7-108,0 54,-6-69</inkml:trace>
  <inkml:trace contextRef="#ctx0" brushRef="#br0" timeOffset="5743">3152 550,'5'0,"-1"0,0 0,1-1,-1 0,1 0,-1 1,0-1,2-1,-2 0,0 1,0-2,0 1,-1 0,6-4,-4 2,0-1,0 0,-1 0,0 1,0-1,-1 0,0 0,0 0,3-8,-1 1,-1 0,-1-1,0-1,-1 3,0-2,-1 0,-1 0,-2-24,2 35,-1-1,0 1,0-1,0 0,0 2,-1-2,1 1,-1-1,1 1,-1 0,-1 0,1 0,0 0,0 0,0 0,-1 1,1-1,0-1,-1 2,0 1,1-2,-1 1,0 0,1 1,-2-1,-3 0,-9-3,0 2,-1 0,-22 1,28 0,-24 0,-44 4,63-1,1 0,1 1,-3 1,3 0,-19 9,24-10,-16 8,1-1,-41 24,60-30,-1 0,1 0,0-1,1 3,-1-2,1 0,-1 1,2 1,-1-2,-1 2,2-1,0-1,1 3,-1-2,1 2,-2 9,1 17,1 0,5 46,-1-20,-2-51,1 0,-1 1,1-1,1 2,4 13,-4-20,0 1,1 0,0 0,0 1,0-1,0 0,0 0,0-2,1 2,-1-1,1 0,4 2,4 3,0-1,1-1,2 0,-2-3,0 2,1-1,0-1,0 0,0-1,0 0,0-1,1 0,-1-2,15-1,-25 2,0-1,0 0,0 0,0 0,-1 0,1-1,0 2,-1-2,1 0,-1 0,1 0,-1-1,0 2,1-1,-1-1,0 0,-1 0,1 0,-1 0,3-5,-1 1,0-1,0 0,-1 0,0-1,0 1,-1 1,1-17,-2 23,-1-1,0 1,0-1,0 1,0 0,-1 0,1 0,0-1,0 2,-1-1,1 0,0 0,-1 0,1 0,-1 0,0 0,1 0,-1 0,0 0,0 0,0-1,-1 1,0 0,0 0,-1 0,1 0,0 0,0 0,-1 0,1 0,0 1,-3-1,-9-1,2 1,-1 1,-17 2,18-2,-8 1</inkml:trace>
  <inkml:trace contextRef="#ctx0" brushRef="#br0" timeOffset="7797.67">3364 36,'28'-9,"-13"2,-7 5,4-2,-1 0,1 1,-1 1,1 0,17-1,-26 3,0 0,0 0,0 1,-1-1,0 1,1-1,-1 1,1 0,0 0,-1 0,1 0,-1 0,0 0,1 1,-1 0,0-1,0 1,0 0,0 0,0-1,0 3,-1-2,1 0,-1 1,1-1,-1 0,0 0,0 0,1 3,2 11,1 1,1 22,1 6,-4-29,-1-1,0 3,-1-1,-2 18,1-26,-2 0,1 1,-1 0,-1-1,0 0,0 0,-1-1,-9 15,12-21,-2 1,1 0,1 1,-1-1,0 0,1 0,-2 8,2-10,1 0,1 0,-1 0,0-1,0 1,0 0,0 0,1 0,-1-1,0 1,0 0,1 0,-1-1,1 1,-1 0,1-1,-1 1,1-1,-1 0,1 1,0-1,-1 1,1-1,0 1,-1-1,1 1,0-1,0 0,-1 0,1 1,0-1,0 0,0 0,-1 0,1 0,0 0,0 0,0 0,1 0,18 1,-2 0,21-3,-10 1,-10 0</inkml:trace>
  <inkml:trace contextRef="#ctx0" brushRef="#br0" timeOffset="8460.53">3626 735,'0'4,"3"0,6 1,3-2,6 0,5-2,2 0,2 0,-2-1,-1-1,0 1,-1 0,-2 0,-3 0</inkml:trace>
  <inkml:trace contextRef="#ctx0" brushRef="#br0" timeOffset="8987.54">3642 858,'0'2,"4"3,5-1,5 0,2-3,7 1,3-1,0-1,-1 0,-3 4,-7 0</inkml:trace>
  <inkml:trace contextRef="#ctx0" brushRef="#br0" timeOffset="13422">1784 1845</inkml:trace>
  <inkml:trace contextRef="#ctx0" brushRef="#br0" timeOffset="13767">1784 2100,'0'4,"0"1</inkml:trace>
  <inkml:trace contextRef="#ctx0" brushRef="#br0" timeOffset="15330">2690 2135,'19'-2,"-1"1,28-7,27-3,-66 11,-1 0,1 0,0 0,0 1,0 0,0 0,-1 1,9 2,-11-2,-1-1,1 1,-1 1,0-1,0 1,0 0,0-1,0 2,0-1,-1 0,1 1,-1-2,0 2,0-1,1 1,-2-1,0 1,1 0,-1 0,0-1,0 8,0-1,0 0,0 0,-1 1,-1-1,0 0,0 0,-5 15,2-18,1 0,-1 0,0 0,0 0,0 0,-1-2,0 1,0 0,-1-1,0 0,0 1,0-1,-1 0,1-1,-2-1,-10 7,-1-2,-1 0,-3-1,3 0,-1-2,-23 4,38-9,0 0,0 0,0 0,0 0,0 0,0-1,1 0,-1 0,0-1,-1 0,-7-4,-5-3,-35-21,34 17,6 4,-6-2,0-2,-28-22,43 30,2 1,-2 0,1-2,-1 1,1 0,1-1,-1 1,1 0,1-1,-1 1,1-2,0 2,-2-13,2-8,0 1,2-3,1 2,7-35,1 17,24-74,-23 91,0 1,2 0,0 1,2-1,2 2,20-26,-33 47,0 1,1-1,-1 0,0 1,1 0,0 0,1 0,-2 1,1-1,0 0,0 1,1 0,-1 0,0 0,0 1,0-1,7 1,5 0,1 1,-1 1,21 4,25 9,66 23,-90-26,-34-11,0 1,0 0,-1 0,1 0,0-1,-1 1,1 1,-1-1,0 1,-1 0,0-1,1 1,0 0,-1 0,0 1,0-2,0 2,0-1,-1 2,1-2,-1 1,2 6,1 5</inkml:trace>
  <inkml:trace contextRef="#ctx0" brushRef="#br0" timeOffset="16615.3">3237 1474,'1'-3,"-1"2,1-1,-1 0,1-1,0 0,0 1,0 1,0-1,0 0,0 0,0 1,1-1,-1 0,1 0,-1 1,1 0,0 0,0-1,-1 1,1 0,4-2,1 0,-1 1,0-1,1 0,-1 1,13-3,-17 4,1 1,0-1,-1 1,1 0,0 0,0 0,-1 0,1 0,1 0,-1 1,-1 0,1-1,0 1,-1 0,1-1,-1 1,1 2,-1-2,0 1,1-1,-1 1,0-1,3 4,-2-1,0 1,0-2,-1 2,0-1,0 0,0 1,-1 1,1-2,-1 1,0 0,0 8,1 5,-1 0,-1 0,0 2,-2-4,-4 25,4-36,1 0,-1-1,-1 1,1-1,-1 0,0 0,0 0,0 0,0-1,-1 1,-6 5,-5 3,-32 16,4-2,43-26,0 0,-1 0,1 0,0 0,0 0,-1 1,1-1,0 0,0 0,-1 0,1 1,0-1,0 0,0 0,-1 0,1 1,0-1,0 0,0 0,0 1,0-1,-1 0,1 0,0 1,0-1,0 0,0 1,0-1,0 0,0 0,0 1,0-1,0 0,0 0,0 0,0 0,1 0,-1 1,0-1,0 0,0 0,0 1,0-1,0 0,1 1,16 5,22-3,31-3,-50-1</inkml:trace>
  <inkml:trace contextRef="#ctx0" brushRef="#br0" timeOffset="17187.93">3679 2040,'3'0,"6"0,11 3,6 2,6 0,0-2,7-1,-1 0,-2-1,-2 3,3-1,-4 2,-1-2,-3-1,1 0,-2-2,-3 1,-5-1</inkml:trace>
  <inkml:trace contextRef="#ctx0" brushRef="#br0" timeOffset="17920.93">3858 2243,'4'0,"4"0,9 0,4 0,6 0,3 0,2 0,-1 0,-1 0,-3 0,-5 0</inkml:trace>
  <inkml:trace contextRef="#ctx0" brushRef="#br0" timeOffset="18437.93">4082 1762,'-4'0,"-1"14,-3 20,-3 15,-4 17,-4 1,-1 5,-4 2,-3-1,5-6,5-11,6-12,4-14</inkml:trace>
  <inkml:trace contextRef="#ctx0" brushRef="#br0" timeOffset="19129.36">4524 2047,'7'-1,"-1"1,1-1,-1 0,0-1,0 1,0 0,0-1,0-1,0 1,-1 0,8-6,4-4,0-2,15-13,-4 4,24-19,3 3,0 2,4 3,67-33,-121 65,-1 1,1-1,0 1,0-1,0 1,-1 0,11-1,-13 2,0 0,0 0,0 1,0-1,0 0,0 1,0 0,0-1,1 1,-1 0,0 0,0 0,0 0,-1 0,1 0,0 0,-1 0,1 0,-1 1,3 4,1 2,0 1,-1-1,1 0,-1 2,-1 0,0-1,0 0,-1 0,1 14,1 13,-2 40,-2-17,-3-1,-3 0,-2 0,-31 110,34-152</inkml:trace>
  <inkml:trace contextRef="#ctx0" brushRef="#br0" timeOffset="11262">385 1529,'0'4,"0"7,0 10,0 5,-4 18,-4 17,-1 10,-2 4,-1 7,0-6,1-4,3-13,2-11,-1-12,5-11,5-13,3-10</inkml:trace>
  <inkml:trace contextRef="#ctx0" brushRef="#br0" timeOffset="11816.65">936 1651,'-3'3,"1"0,0 0,0 1,0-1,0 0,0 1,1 0,-2 5,-5 12,-3 2,-46 114,49-113,1 1,0 0,-2 44,7-44,-3 2,0-2,-8 26,9-36,-1-2,-1 0,0 0,0-1,-2 0,1-1,-15 16,11-17,1-3</inkml:trace>
  <inkml:trace contextRef="#ctx0" brushRef="#br0" timeOffset="12376.66">458 2013,'7'-3,"6"-3,4 2,4 1,8 1,3 0,-1 1,-2 1,0 0,-4 0,-2 0,-4 1</inkml:trace>
  <inkml:trace contextRef="#ctx0" brushRef="#br0" timeOffset="13080.77">967 1999,'33'0,"-15"1,0-1,1 0,-1-1,0-1,0 0,1-1,27-10,-38 10,-4 1,2 0,-2 0,1 1,0 0,0-1,5 0,-9 2,-1 0,1 0,-1 0,1 0,-1 0,1 1,-1-1,1 0,-1 0,1 0,-1 0,0 0,1 1,-1-1,1 0,-1 0,1 1,-1-1,0 0,1 1,-1-1,0 0,1 1,-1-1,0 0,1 1,-1 0,0 1,1-1,-1 1,0-1,0 1,0-1,0 1,0-1,-1 0,1 0,0 1,-1-1,0 3,-15 37,-3 0,-32 53,35-69,1-6</inkml:trace>
  <inkml:trace contextRef="#ctx0" brushRef="#br0" timeOffset="145057">3072 2930,'9'275,"0"-48,39 499,-16-340,-2 372,-30-576,-2 220,-39 0,5-72,27 82,-3 46,3 53,10-325,-1 722,-2-859,-3-2,-2 1,-3 0,-1-1,-23 53,30-85,0 2,1-3,0 4,1-1,1 22,1-22</inkml:trace>
  <inkml:trace contextRef="#ctx0" brushRef="#br0" timeOffset="146784.51">0 8485,'144'-1,"218"3,-3 20,52-7,-212-14,152 36,-130-9,-11-11,131 13,731 39,-5-69,-504-2,255-19,-51 1,-25 20,796-14,-1432 10,600-11,-5 44,-315 16,178 12,-117-34,-224-4,12 0,-170-18,-13-1,82 12,-74-1,-34-5,1-2,47 3,237 3,-25-1,-258-8</inkml:trace>
  <inkml:trace contextRef="#ctx0" brushRef="#br0" timeOffset="148118.9">2339 8891,'-8'0,"0"0,0 0,0 0,0 0,1 0,-1 2,0 0,-1 0,2 1,-1 0,1 0,0 1,0 0,0 0,0 0,1 1,0-1,-12 10,10-5,-100 97,105-103,0 2,-1-1,2 0,-1 0,0 2,1-2,0 1,0 0,0 0,1 0,0-1,0 1,0 1,1 0,-1-1,1 1,0-1,1-1,0 2,0-1,0-1,0 1,1 1,0-1,0-1,0 1,1 0,-1 0,1-2,0 2,7 7,4 3,2-1,1-1,20 17,-30-26,1 1,0-1,0 1,1-1,-1-1,1-2,-1 1,1 1,0-2,17 2,34 1,1-4,-2-2,61-9,-111 10,-1 0,0-1,-1-1,1-1,0 1,-1 1,13-9,-17 9,0 0,0 0,1-1,-1 0,-1 0,1 1,-1-1,0-1,0 1,0-1,0 1,0 0,-1-1,0 1,0 0,0 0,0-1,0-5,0 0,0-1,-1 1,0-1,0 2,-2-2,1 1,-1 0,0 1,-1-1,0-1,0 1,-1 1,-1 0,1 0,-2 1,0-3,-7-6,-11-17,20 26,0 1,0 0,-1 1,1 0,-1-1,-2 0,2 0,-1 1,0 1,0-1,-7-2,-14-7,15 7</inkml:trace>
  <inkml:trace contextRef="#ctx0" brushRef="#br0" timeOffset="151279">2444 8877,'-4'0,"0"-4,-4-1,-4 1,0-2,-1-1,-3 2,2 0</inkml:trace>
  <inkml:trace contextRef="#ctx0" brushRef="#br0" timeOffset="165378">3809 7906,'0'-5,"1"0,0 1,0-1,0 0,3-3,4-22,-3-62,-4 53,6-37,-1 37,59-289,-44 213,-19 88,2-1,2 1,0 0,2 2,12-27,-5 17,-3-1,9-38,1 3,-11 33,91-255,-19 30,-66 198,34-137,54-176,-84 329,2-3,1 3,4 1,3 0,40-51,-55 79,203-276,-172 215,-34 54,1 3,27-35,196-244,-21 25,-152 168,0 0,77-77,76-139,-175 267,5 0,98-97,-77 93,86-64,-150 123,0 2,0-1,1 1,0-1,-1 1,1-1,0 2,1-2,-1 1,0 0,0 1,2 0,-2 0,0 1,1-1,-1 1,1 0,-1 1,1-1,-1 1,0 0,1 1,-1-1,7 4,28 11,-3 3,1 2,-2 0,47 34,3 6,-57-43,-1 3,-1-1,-1 3,-1 0,23 27,-37-34,-1 0,0 0,15 33,-15-25,21 32,6-5,29 65,11 34,49 103,-93-192,52 74,-18-33,-10 13,16 29,8 14,-66-134,115 210,95 296,-205-484,3-2,2 0,41 57,9 17,-18-33,78 94,-47-68,10 15,6-5,168 154,-194-210,4-3,2-3,164 86,306 100,-361-166,152 54,-140-72,-5-4,0 21,-75-29,126 56,-50-21,-166-71,458 166,-338-131,242 66,-57-19,-200-53,187 34,-202-52,51 6,-150-27</inkml:trace>
  <inkml:trace contextRef="#ctx0" brushRef="#br0" timeOffset="192489">4712 8331,'1'83,"-3"90,-8-104,5-46,-1 37,5-33,1 0,-1 2,-1-1,-2 0,-10 37,-1-4,11-46</inkml:trace>
  <inkml:trace contextRef="#ctx0" brushRef="#br0" timeOffset="193326.29">4339 9331,'0'10,"-1"0,0 0,-1 1,0-1,-1 0,0 0,-1-1,-9 17,-3 4,-32 35,0 4,47-68,0 0,0 1,0-1,0 1,0 0,0-1,1 1,-1 0,1-1,-2 0,2 1,0 0,0 0,0-1,0 2,0-2,0 1,0-1,2 2,-1-1,0-1,0 1,0-1,1 0,-1 0,0 1,1-1,-1-1,0 1,1 0,0-1,-1 1,1 0,-1-1,1 1,0-1,-1 1,1-1,2 1,5 0,12 2,1 1,-2 1,-1 1,1 0,1 1,19 11,-24-11,-1 0</inkml:trace>
  <inkml:trace contextRef="#ctx0" brushRef="#br0" timeOffset="193760.04">4428 9535,'-4'0,"-1"3,-3 8,-4 12,-3 9,-3 9,2 5,-2 0,1-4,3-5,4-7,3-7</inkml:trace>
  <inkml:trace contextRef="#ctx0" brushRef="#br0" timeOffset="194421.44">4690 9470,'-1'17,"-1"2,-7 28,2-15,-3 2,8-27,0-2,0-1,0 2,1-1,0 1,-1 0,1 0,1 1,0-3,0 3,1-2,3 10,-3-14,0 1,0 0,0-1,1 1,-1 0,1-1,-1 2,1-3,-1 2,1-1,0 0,0 1,0-1,0 0,0 0,0 0,0-1,0 1,0-1,0 1,1-1,3 1,7 0,1-1,22-1,-19 0,60-1,-56 1</inkml:trace>
  <inkml:trace contextRef="#ctx0" brushRef="#br0" timeOffset="194876.46">4838 9535,'-4'10,"-1"12,1 15,-4 9,-2 8,-2 1,-1-1,3-9,2-5,2-12</inkml:trace>
  <inkml:trace contextRef="#ctx0" brushRef="#br0" timeOffset="195219.46">5113 9919,'0'3,"0"7,0 7,0 4,-4 3,-5 2,-3 4,-1-5</inkml:trace>
  <inkml:trace contextRef="#ctx0" brushRef="#br0" timeOffset="196261.18">5421 9517,'0'3,"-1"0,1 0,-2 0,1-1,0 2,0-1,-1-1,1 1,-4 3,-3 5,-4 13,2-3,1 3,1-2,1 1,1 2,0-2,2 1,0 30,3-40,1-2,1 0,0 1,1-1,1-1,1 1,3 13,-5-21,0 0,0 0,1 0,-1-1,1 0,-1 1,1-1,1 0,-1 0,0 0,1 0,-1 0,2 0,-1-2,0 1,0 1,0-1,0-1,0 1,2-1,-2 0,1 0,-1-1,6 1,37 2,1-2,52-6,-95 5,2 0,-2-1,0 0,0 0,0-1,0 1,-1-1,0 0,1-1,0 2,-1-2,0 0,0 0,0 0,7-6,-9 5,0 2,2 0,-2-1,-1-1,1 1,0-1,-1 2,0-2,0 0,0 1,0 1,-1-2,1-1,-1 1,0 1,0-1,0 0,-1 0,1 2,-1-2,0 1,-2-4,1-1,-1 2,-1-1,0 1,0 1,0-2,-1 2,0-1,0 0,0 1,0-1,-1 3,1-2,-9-3,-12-7,1 1,-31-11,30 14,-5 3,15 5</inkml:trace>
  <inkml:trace contextRef="#ctx0" brushRef="#br0" timeOffset="198772.17">4525 5674,'0'47,"14"264,15-113,-10-106,-10-49,4 55,1 64,7 110,-17-222,13 99,-10-92,-3-1,-5 81,-1-41,2 682,0-761</inkml:trace>
  <inkml:trace contextRef="#ctx0" brushRef="#br0" timeOffset="201396.17">5806 4358,'-1'13,"-2"-2,1 0,-1 2,0-3,-1 1,0 0,-8 15,4-7,-213 404,-47-17,254-384,2 1,1 0,1 2,0-2,2 1,-6 32,11-44,-6 17</inkml:trace>
  <inkml:trace contextRef="#ctx0" brushRef="#br0" timeOffset="201831.17">6491 4875,'0'3,"0"4,0 20,-7 32,-16 39,-24 43,-31 39,-25 27,-13 9,-13-3,-3-17,13-30,19-44,28-39</inkml:trace>
  <inkml:trace contextRef="#ctx0" brushRef="#br0" timeOffset="202198.56">6795 5972,'0'7,"0"20,0 16,0 23,-10 16,-14 25,-19 25,-18 19,-21 14,-5-10,7-16,14-26,9-27,14-29</inkml:trace>
  <inkml:trace contextRef="#ctx0" brushRef="#br0" timeOffset="202665.26">7814 7078,'-3'7,"-10"14,-11 16,-29 27,-21 24,-10 5,-6 2,3-9,3-17,14-14,20-21</inkml:trace>
  <inkml:trace contextRef="#ctx0" brushRef="#br0" timeOffset="203123.27">8757 7348,'0'3,"0"5,0 11,-7 9,-13 17,-18 13,-20 14,-3 2,1-5,6-8,10-7,12-11,12-10</inkml:trace>
  <inkml:trace contextRef="#ctx0" brushRef="#br0" timeOffset="212803.27">4268 7086,'0'4,"0"3,-5 11,1 8,-8 6,-12 13,-8 9,-8 6,0-2,0 4,3-2,5-10,7-7,8-10,6-9</inkml:trace>
  <inkml:trace contextRef="#ctx0" brushRef="#br0" timeOffset="213160.28">4239 7570,'0'4,"0"4,0 11,0 9,0 6,0 5,0 4,-7 14,-6-2,-1-4,2-14</inkml:trace>
  <inkml:trace contextRef="#ctx0" brushRef="#br0" timeOffset="213486.27">4318 7939,'0'3,"0"9,0 8,0 4,0 5,0 1,0-5</inkml:trace>
  <inkml:trace contextRef="#ctx0" brushRef="#br0" timeOffset="-214012.05">3456 5687,'1'76,"0"-14,-7 69,3-115,0 0,-1-1,0 0,-1 1,-1-2,-2 1,1-1,-1 0,-10 14,5-13,0 2,-2 0,0-3,-1 1,0 0,-26 15,40-27,-1-1,1-2,-1 1,0 0,0 0,1 0,-1-1,-1 1,1 0,0 0,0-1,0 0,0 0,0 1,0-2,0 1,-5-1,3 0,0 0,1 0,-1-1,1 1,0-1,0-1,0 0,0 1,1-1,-7-6,5 4,0 0,0-1,0 1,1-2,0 1,0-1,0 0,1 2,0-2,0 1,1-3,0 3,1-2,-2-8,3 14,1-2,-1 1,1-2,0 3,-1-2,2 1,-1 0,0 0,1 2,-1-2,1-1,0 1,0 1,0 0,1-1,3-4,6-3,-1 2,22-15,2 0,-30 18,0 1,1 0,0 0,0 1,0-1,0 2,0-1,8-2,-11 4,0 0,0 1,0 0,0 0,0 0,0 0,0 0,0 0,0 1,0-1,-1 1,1 0,0 0,0 0,-1 0,1 0,0 1,-1 0,1-1,3 4,21 18,0 2,40 46,-31-29,-27-33,-1 2,10 19,-12-18</inkml:trace>
  <inkml:trace contextRef="#ctx0" brushRef="#br0" timeOffset="-213506.01">3962 5785,'0'4,"0"11,-5 8,-4 10,-3 3,-5 4,2 1,-1-2,-2-3,4 3,-1-3,3 2,1 1,-4-4,3-4,-1-3,2-4,3-7</inkml:trace>
  <inkml:trace contextRef="#ctx0" brushRef="#br0" timeOffset="-212321.25">3416 6562,'6'-4,"0"1,-1-2,1 1,0 2,0-2,0 1,1 0,-1 1,1 0,-1 0,1 0,1 1,-1 0,0 0,-1 0,1 1,9 1,-12-1,0 1,0-1,0 1,0 0,0 0,-1 0,1 1,0-1,0 0,-1 1,1 0,-1 0,0 0,0 1,0 0,0-2,0 2,0 0,-1 0,0-1,1 1,-1 0,0 1,-1 0,1-2,-1 2,1 0,-1 0,0-1,0 1,0 5,1 13,0-2,-2 2,-1 0,0 0,-2-2,-7 29,-3-28,12-19,-1-1,1 1,-1 1,1-1,0 0,0 1,-1-2,2 2,-1-1,0 1,0-1,1 1,-1 2,2-5,-1 1,0-1,1 1,-1-1,1 1,-1-1,0 1,1-1,-1 1,1-1,0 1,-1-1,1 0,-1 1,1-1,0 0,-1 0,1 1,0-1,-1 0,1 0,1 0,17 1,-15-1,122-3,-106 3</inkml:trace>
  <inkml:trace contextRef="#ctx0" brushRef="#br0" timeOffset="-200161.52">9018 8249,'0'3,"0"5,0 8,0 4,0 7,0-1,0 5,0-2,0 2,0 13,0 6,0-4,0-5,0-3,-4-4,-1-6,1-6</inkml:trace>
  <inkml:trace contextRef="#ctx0" brushRef="#br0" timeOffset="-198986.51">8790 9274,'-1'-2,"1"0,0 0,-1 1,1-1,-1-1,0 2,1-1,-1 0,0 1,0-1,0 0,0 1,0-1,-1 1,1 0,0 0,-1 0,1-1,-1 2,0 0,1-1,-1 0,0 0,1 0,-1 1,0-1,0 0,0 1,-3-1,3 1,-1-1,0 0,1 1,-1 0,0 0,1 0,-1 0,0 0,0 1,0-1,1 1,-1 0,0-1,1 1,-1 1,1-1,0 0,-1 0,1-1,0 2,-3 1,2 2,0-1,0 0,0 3,1-2,0-1,0 1,0 0,0 0,1 0,0 1,0-1,1 2,-1-3,2 11,0 0,1 0,1-1,0 1,6 17,0-11,0-2,2-1,1 2,17 22,-11-17,18 34,-26-42,-1 3,-1 1,8 24,-15-39,1 0,-1-2,-1 2,1-1,-1 3,0-2,0-1,-1 0,0 0,0 1,0 0,-1 0,1 0,-2-1,1 0,-1 0,-4 6,2-4,-1 2,0-4,0 1,-1 1,-1-1,1 0,-1-1,1 2,-1-2,-1-2,1 1,-1 0,1-1,-2 0,1 0,-18 4,24-7,-1-1,1 1,0-1,-1 0,1 0,0 0,0 0,0 0,0-1,0 1,0-1,-1 1,2-1,-1 0,1 0,0-1,0 1,-1 0,1 1,-2-7,-5-4,0 0,-11-25,19 35,-3-3,1-3,-1 1,2-1,-2 0,2 1,0 0,1 0,0-1,-1-13,3 17,-1-1,1 0,0 1,1-1,-1 1,1-1,1 1,-1 0,0 1,0-1,1 0,0 0,0 1,0-1,0 0,1 1,5-4,9-5,-1 1,3 0,0 3,0-2,0 2,29-7,-35 11,44-8,-49 11,0 0,0 0,0-1,0 0,0-1,-1 0,13-6,-17 6,0 0,0-1,0 0,-1 0,1-2,-1 2,0-1,1 0,-1 2,-1-3,0 1,0 0,0 0,1-8,0 2,-1-3,0 0,0 2,-2-25,0 34,0 0,-1 0,1 0,-1 0,1 1,-1-1,0 1,0-1,-1 0,1 0,-1 2,1-1,-1-1,0 0,0 1,0-1,-3-1,-9-5</inkml:trace>
  <inkml:trace contextRef="#ctx0" brushRef="#br0" timeOffset="-197990.84">9517 9408,'0'-1,"-1"0,1-1,0 1,-1 1,1-1,-1-2,1 2,-1 0,0 1,1-1,-1 0,0 1,0-1,0 0,0 0,0 0,0 0,0 0,0 1,0 0,-1-2,-28-10,29 12,-18-7,-1 1,-2 3,1-1,-32-2,-88 4,110 2,24 0,-1 0,1 1,-1 0,0 0,2 0,-15 6,17-5,1-1,-1 0,1 1,0 1,0-1,0 1,0-1,0 0,1 1,-1 0,1 0,0 1,-1-2,-2 8,1-3,1 2,0-2,0 1,1 0,0 1,-2 15,3-21,1 3,0-1,0 0,0 1,1-1,0-1,1 1,-1 0,1-1,0 1,0 0,0-1,3 6,-3-8,0 0,1 0,-1 0,0-1,1 1,-1 0,1-1,0 0,-1 0,1 1,0-1,0 0,0 0,0 0,0-1,4 1,8 1,-2-1,19-1,-16-1,38 2,-10 0,-3-2,49-8,-85 8,0 0,-1 1,2-2,-1 1,-1-1,1 0,-1 0,0 0,7-4,-9 4,0 0,0 0,0 0,0-1,-1 2,0-1,0 0,1 0,-1-1,0 1,0 0,0 0,0 1,0-2,-1 0,1 1,-1-1,1-3,-11 195,7-154,-3 0,-2-2,-17 48,-19 21,28-65</inkml:trace>
  <inkml:trace contextRef="#ctx0" brushRef="#br0" timeOffset="-197558.79">9759 9834,'0'8,"0"5,0 4,0 12,0-1,0 11,-3 2,-2 0,1-4,0-8</inkml:trace>
  <inkml:trace contextRef="#ctx0" brushRef="#br0" timeOffset="-196837.82">9917 9726,'1'-3,"0"1,0 0,0 0,0 1,0-1,0 0,0 0,1 0,-1 1,0 0,1-1,2 0,3-5,27-31,0 2,53-42,-43 51,-36 24,-1-1,0-1,-1 1,1-1,-1 0,1-1,7-6,-12 10,17-18,-19 20,1 0,-1-1,1 1,-1 0,1 0,-1 0,1 0,-1-1,1 1,-1 0,1 0,0 0,-1 0,1 0,-1 0,1 1,-1-1,1 0,-1 0,1 0,-1 0,1 1,-1-1,1 0,-1 0,1 1,-1-1,1 0,-1 1,0-1,1 1,-1-1,0 1,1-1,-1 0,0 1,1-1,-1 1,0-1,0 1,0 0,0-1,1 1,-1-1,0 1,0-1,0 0,0 1,3 11,0-1,-1 2,0-1,-1 0,-1 0,0 13,-11 76,-41 155,41-217</inkml:trace>
  <inkml:trace contextRef="#ctx0" brushRef="#br0" timeOffset="-195887.82">10615 9504,'1'42,"9"67,-6-86,2 1,0-1,3 0,12 27,-4-16,-8-18,-1 0,0-1,-2 3,1-1,5 29,-12-44,1 0,-1 1,0-1,0 0,0 0,-1 0,1 0,0 1,-1-2,0 1,1 1,-1-1,0 0,0 0,0 0,0 0,-1 0,1 0,0-1,-1 1,0-1,0 1,0 0,0-1,0 0,1 0,-1 0,0 0,0 0,-1-1,1 1,0 0,0-1,0 1,-1-1,-2 1,0 0,0-1,1 0,-1 0,0 0,0 0,1-1,-1 0,0 0,0 0,0 0,1 0,-1-1,1 1,0-2,0 1,0-1,-4-2,1-1,0-1,1 1,0 0,0-1,0 0,2-1,-2 1,2-1,0 1,-5-17,8 20,-1-2,2 1,-1 1,1-1,-1 0,2 1,-1-1,0 1,1 0,0 0,0-2,0 2,1 0,-1-1,1 0,0 2,0-1,0 0,1 0,-1 1,1-1,5-5,1 2,0 1,0 0,0 0,0 1,1 0,-1 0,2 0,12-3,38-18,-56 22,0 1,0-1,0 1,-1-1,1 2,-1-3,0 0,6-8,-4 7,-1-4,-1 2,0-1,4-11,-2 3</inkml:trace>
  <inkml:trace contextRef="#ctx0" brushRef="#br0" timeOffset="-194364.66">9172 6688,'-1'123,"-1"10,17 137,-3-196,-3-14,1 76,-11-76,1 54,10-60,0 6,-8 264,-3-167,1-144,-1 29,2-3,11 63,-7-70,-3-19,0 1,8 17,-5-18</inkml:trace>
  <inkml:trace contextRef="#ctx0" brushRef="#br0" timeOffset="-189544.73">4930 7555,'3'-1,"0"1,0-1,0 0,1-1,-2 1,1 0,0-1,2 1,1-3,10-3,137-41,-73 27,-77 20,0 0,0 0,0 1,0-2,0 2,0-1,0 1,4 0,-6 0,0 1,0-1,0 2,0-2,0 1,-1-1,1 1,0-1,0 1,0 0,0-1,-1 1,1 0,0 0,-1 0,1-1,-1 1,1-1,-1 1,1 0,-1-1,1 1,-1 0,0 0,0 0,0 1,1-1,2 14,-2 0,0 0,-1-1,-1 2,-6 20,-20 77,14-70,-14 91,6-35,12-61,5-17</inkml:trace>
  <inkml:trace contextRef="#ctx0" brushRef="#br0" timeOffset="-189121.76">5391 7906,'3'0,"5"0,4 0,5 0,2 0,0 0,2 0,1 0,0 0,-2 0,1 0,1 0,1 0,3 0,2 0,-1 0,1 0,-6 0</inkml:trace>
  <inkml:trace contextRef="#ctx0" brushRef="#br0" timeOffset="-187735.14">6475 7584,'9'20,"-1"-1,-2-1,0 3,-1-1,-1 0,0-1,-2 2,-1-1,-1 1,-4 28,3-43,0-1,-1 1,0-1,0 0,-1 0,1 1,-1-1,-1 0,1-1,-1 1,0 0,0-1,0 1,-1-2,1 2,-1-1,0 0,0-1,-8 4,2-2,-1 0,1-1,-1 0,1 0,-1-1,0 1,1-2,-26 2,29-4,-1 0,1 0,-1-1,-15-2,20 3,2-1,-1 0,1-1,0 1,0 0,0 0,0 0,0 0,0-1,0 1,1-1,-1 0,0 1,0-1,1 0,1 2,-2-2,1-1,0 2,0-1,-1-3,-2-5,0-1,1 2,-2-19,4 23,1 2,0-1,1 1,-1 0,1-1,-1 0,1 1,0 0,0-1,0 0,0 1,1 1,0-3,4-3,-3 4,1-1,-1 1,1 1,0-2,0 1,0 2,1-1,-1-2,2 2,0 1,0 0,-1-1,0 1,1 0,-1 0,1 1,0-1,0 1,0 0,7 1,-2 0,1 0,-2 2,0 0,1 0,-1 0,0 2,1-2,0 1,-2 2,13 6,11 9,-1 1,-1 2,29 27,-26-21,65 40,-15-25,-65-34</inkml:trace>
  <inkml:trace contextRef="#ctx0" brushRef="#br0" timeOffset="-183435.73">9718 7430,'0'-3,"3"-1,6 3,4 8,4 11,-2 10,-3 5,0 13,-1 11,-3 5,-4 2,-1-9,-2-9,-1-14</inkml:trace>
  <inkml:trace contextRef="#ctx0" brushRef="#br0" timeOffset="-183050.73">10359 7749,'0'3,"0"12,0 10,0 11,0 6,0 8,-3 0,-5 3,-3 0,0-4,7-15,5-15</inkml:trace>
  <inkml:trace contextRef="#ctx0" brushRef="#br0" timeOffset="-182710.14">11428 8042,'4'4,"1"5,-1 3,0 4,-2 3,0 1,-1 1,-1 0,0 0,0 0,0-1,-1 1,1-4</inkml:trace>
  <inkml:trace contextRef="#ctx0" brushRef="#br0" timeOffset="-181328.22">11419 6838,'-5'0,"0"1,0 0,1 0,-1 0,1 0,-1 0,1 0,0 1,-1 1,-4 2,-42 30,27-16,-39 25,-2-2,-69 33,128-73,0 0,0 0,1 0,-1-1,-1 0,1 0,-1 0,1-1,0 0,0 0,0 0,-1-1,1 0,0 0,0-1,0 0,0 0,1 1,-1-2,1 0,-1 0,1 0,0 0,0-1,0 0,0-1,1 2,-1-2,1 1,1 0,-1-1,1 0,0 1,0-3,0 2,1 0,-1-1,1 1,1-1,-1-1,0-7,2 9,-1-2,1 2,0 0,1-1,0 1,0-2,2-5,-3 10,1 0,0 0,0 2,0-2,0 0,1 0,-1 1,0-1,1 0,-1 1,1-1,-1 2,1-1,0 0,-1 0,1-1,0 2,0-1,0 0,0 0,0 1,0-1,3 0,7 0,-1-1,0 1,-1 1,1 1,0 1,0-1,0 1,0 1,-1 0,19 6,7 6,56 34,-7-4,-84-45,24 13,36 18,-53-25,0 0,0 1,1-1,-2 1,0 0,-1 1,8 11,-9-13,5 10,2 1,0-1,24 20,-23-26</inkml:trace>
  <inkml:trace contextRef="#ctx0" brushRef="#br0" timeOffset="-180608.22">12423 6703,'-1'19,"-1"2,-1-3,-2 2,0 0,-1-2,0 2,-2-2,0-1,-1 2,-1-2,-1 1,-19 22,14-19,-28 48,33-48,-1-1,-29 37,15-21,18-27</inkml:trace>
  <inkml:trace contextRef="#ctx0" brushRef="#br0" timeOffset="-179432.22">12518 6987,'2'0,"1"-1,-1 0,0 0,0 0,1 0,-1-1,0 1,0-1,0 0,2-1,14-11,-11 12,-1-1,0 1,0 0,0 1,1-1,-1 1,0 1,1-1,-1 1,10 1,-11 0,-2-1,1 1,-1 0,0 0,1 1,-1-1,0 1,0-1,0 1,0-1,0 2,0-1,-1 1,1 0,-1-1,0 0,1 1,-1 0,0 0,2 4,3 10,2 0,-2 0,-1 1,-1 0,-1 1,0-1,-1-1,-2 3,0-1,-2 24,0-39,-1 1,0 0,0-1,0 1,-1 0,0-1,0 0,0-1,0 2,0-2,-2 0,-7 7,7-6,0 2,1-2,-1 2,1-1,0 0,-7 11,11-14,-1 0,1 0,-1 1,1-2,0 1,-1 0,1 0,0 0,1 0,-1 0,0 0,1 0,-1 0,1 0,-1 0,1 0,0 0,0 0,0-2,0 2,0 0,0 0,0-1,1 1,-1 0,1-1,2 3,-1-2,0 1,0-1,0 0,0 0,0 0,1-1,-1 1,0-1,1 0,9 2,40 3,-41-6,1 1,21 4,9 10,-3 2,60 30,-86-40,9 5</inkml:trace>
  <inkml:trace contextRef="#ctx0" brushRef="#br1" timeOffset="-137753.75">11137 2935,'-117'0,"21"-2,-147 14,211-7,-2 1,3 2,-3 1,4 1,-48 23,57-23,-1 0,2 3,1 0,0 1,0 1,2 0,0-1,-23 28,35-35,0 0,1 0,-1 0,1 0,1 1,0 0,0-1,0 3,1-2,1 0,-1 0,1 0,1 1,0 11,1-10,1 0,0 0,1 0,0-2,0 1,1 0,0 1,1-1,0-1,0 0,1 1,8 6,-1-1,0-1,1 1,0-2,2-1,0-1,0 2,1-3,0 0,1-1,23 10,-11-10,1 0,-2-2,4 0,-2-3,52 3,-59-6,22 3,1-3,-2-3,56-7,-98 10,0-1,0 0,0 0,0 0,0 0,0 0,0 0,-1 0,1 0,0-1,0 1,0-1,-1 0,0 0,1 0,2-4,-3 2,0-1,0 1,-1 1,0-1,1 0,-2 0,1 0,0 0,-1 0,0 1,0-9,-1-7</inkml:trace>
  <inkml:trace contextRef="#ctx0" brushRef="#br1" timeOffset="-137382.75">11426 2916,'0'3,"0"14,0 15,0 12,0 8,0 12,0 5,0-4,0-6,0-13,0-13</inkml:trace>
  <inkml:trace contextRef="#ctx0" brushRef="#br1" timeOffset="-137032.75">11641 2955,'0'3,"0"12,0 5,0 8,-3 4,-2 11,-2 8,-2 1,-1 3,-7 0,0 0,1-7,6-9,-1-11,-1-10,1-11,3-7</inkml:trace>
  <inkml:trace contextRef="#ctx0" brushRef="#br1" timeOffset="-136599.75">11426 3262,'7'0,"9"0,10 0,4 0,3 0,0 0,2 0,-3 0,-5 0</inkml:trace>
  <inkml:trace contextRef="#ctx0" brushRef="#br1" timeOffset="-135613.25">11990 3303,'0'-1,"-1"0,1 0,0 0,0 0,0 0,0 0,0-1,1 1,-1 0,0 0,1 1,-1-1,0 0,1 0,-1 0,1 0,-1 0,1 0,0 0,0 0,-1 0,1 1,0-1,0 0,0 0,0 1,0-1,0 1,0 0,0-1,0 1,0 0,0-1,0 1,0 0,0 0,0-1,0 1,0 0,1 0,-1 0,2 1,0-1,1 1,0 0,-1-1,0 1,0 0,1 1,-1-1,-1 1,1 0,0 0,0 0,-1-1,5 5,2 5,-1 1,0 1,-1-2,-1 1,1 2,-1-2,-2 1,1 1,-2-1,0 0,1 16,-2-18,-2-1,1 0,-1 0,-1 1,0-1,0 0,-1 1,-1 0,0-2,0 0,-1 3,0-3,-1 0,0 1,-2-1,1 0,-14 15,19-24,1 0,0 1,0-1,-1 0,1 0,0 1,0-1,-1 0,1 0,0 0,0 0,0 0,0 0,-1 1,1-1,0 0,0 1,0-1,0 0,0 1,0-1,0 0,0 1,0-1,0 0,0 1,0-1,0 0,0 1,0-1,0 0,1 0,-1 1,0-1,0 0,0 1,0-1,1 1,14 4,25-2,-37-3,22 0</inkml:trace>
  <inkml:trace contextRef="#ctx0" brushRef="#br1" timeOffset="-135023.25">12694 3166,'3'0,"5"0,10 0,3 0,9 0,15 4,17 1,12-1,12 0,5-3,6 4,-9 0,-10-1,-15 0,-22-2,-18-1</inkml:trace>
  <inkml:trace contextRef="#ctx0" brushRef="#br1" timeOffset="-134558.72">12992 3401,'3'4,"9"1,6-1,14 1,5 2,4 2,-2 3,0 0,-7-3</inkml:trace>
  <inkml:trace contextRef="#ctx0" brushRef="#br1" timeOffset="-131402.75">15163 2618,'-124'-1,"-132"3,251-2,1 0,-1 1,1 0,-1 0,1 0,0-1,-1 2,1 0,0 0,0 0,-7 5,2 0,1-1,1 1,-11 14,6-6,-9 5,-45 36,42-37,2-1,-19 24,28-29,-9 13,-37 31,51-50,0 3,0-2,2 0,-1 2,1-1,0 2,1-1,0 0,1-1,-1 3,3-1,-1-1,-1 15,0 2,2 3,0 0,7 51,-4-67,1 0,1-2,8 25,-10-32,1-1,1 1,-1 1,1-3,0 2,0-1,0 0,0 0,1 0,0 0,-1-1,2 0,3 4,8 2,0-1,0-2,2 2,-1-3,-1 1,3-2,-2 1,0-2,1 0,1-1,27-1,-31-1,9 0,-1 0,37-6,-53 5,-1-1,1 1,-1-1,0-1,1 1,-1-1,0 0,0-1,0 2,0-2,-1 0,0-1,7-4,-3-2,0 0,-1 0,-1 0,1-1,-1 0,-1 1,-1-1,0-2,-1 1,4-17,-7 20,1 0,-1 0,-1-2,0 2,0 0,-1 0,-1 0,0-1,0 2,-1-2,-1 1,1 0,-11-16,-4 0,1 0,-2 3,0 0,-3-1,-33-25,52 46,-1 0,0 0,-1 1,0 0,1 0,-1 0,1 0,-1 1,1-1,-9 0,1 0,0 2,-1-1,-12 3,7-1</inkml:trace>
  <inkml:trace contextRef="#ctx0" brushRef="#br1" timeOffset="-129721.73">16080 2608,'-6'-2,"0"0,-1-1,1 1,-1 0,1 0,-1 1,-8-1,13 2,-1 0,1 0,0 0,0 0,0 0,0 0,0 2,0-2,0 0,0 0,0 1,0 0,0 0,0 0,0 0,0 0,1 0,-1 1,0-1,1 1,-1-1,1 0,-1 0,1 1,0 0,-2 3,0 2,0 1,1 1,0-1,0-1,1 1,1 1,0 0,0 0,0 7,3 11,9 39,0-28,1-1,1-1,4-1,25 42,-18-32,-16-30,-2 0,0 0,-1 0,-1 1,0 0,-2 0,1-1,-2 2,0 30,-3-41,0 1,-1-1,1-1,-1 2,-1-2,1 1,-1 0,0-1,-1 2,1-2,-1 0,0 0,-1 0,1-2,-2 2,1-1,0 0,0 0,-1 1,-6 1,0 1,-1-1,-2 1,2-2,-1 0,0 0,-1-1,2-1,-19 2,23-5,1 0,0 0,-1 0,1-1,0-1,-1 0,1 0,0 0,0-1,0 0,1-1,-1 0,1 1,0-2,-10-6,-2-5,0 1,1-1,-29-35,39 41,2 2,-1 0,1-2,1 0,-6-12,10 20,-1 0,2-1,-1 1,0-1,0 1,1 0,-1-1,1 1,0 0,0-1,0 0,0 1,1-1,-1 0,1 1,-1-1,1 1,0 0,0-1,0 1,0 0,2-1,-2 2,0-1,1-1,0 1,0 0,2-2,5-2,0 1,1 0,0 1,0-1,0 2,2 1,11-3,12-5,95-34,-3-6,-3-4,158-90,-270 137,-1-1,1 1,0-3,-3 2,1-1,0-1,-1 0,0 0,9-14,-14 16,1 0,-1 0,-1 0,0-1,0 1,-1 0,0-1,0 1,-1-2,-1 2,1-1,-2-1,1 2,-4-16,1 10,-2 2,1-1,-2 0,0 1,-1 0,0 1,0-2,-1 2,-1 0,0 1,-1-1,1 2,-2 0,0 0,0 1,-1-1,0 1,-20-8,27 14,1 1,-1 0,0 1,1-1,-1 0,0 1,0 0,1 0,-1 0,0 0,0 1,1-1,-1 1,-10 1,-8 7</inkml:trace>
  <inkml:trace contextRef="#ctx0" brushRef="#br1" timeOffset="-129336.73">17013 3293,'0'3,"0"6,0 6,0 7,0 12,-3 5,-6 7,-7 11,-1-1,-3 2,1-4,-2-8,4-10</inkml:trace>
  <inkml:trace contextRef="#ctx0" brushRef="#br1" timeOffset="-128311.04">17259 2666,'8'-20,"0"0,-8 17,0 1,1 0,-1-1,1 1,-1-1,1 0,0 2,0-2,0 1,0 0,1-1,-1 1,1 1,-1-2,1 1,0 0,0 0,-1 0,2 0,-1 1,0 0,0 0,0-1,1 1,-1 0,0 0,1 0,0 0,-1 0,1 1,3-1,26-2,-1 2,1 0,37 3,6 1,-8-4,-25 0,83 6,-121-4,0-1,-1 1,1 0,0 0,0 1,-1-1,1 0,-1 0,1 1,-1 0,0 1,0-1,0 0,0 1,0 0,3 3,-5-3,1-2,-1 2,0 0,2-1,-2 1,0 0,-1-1,1 1,-1 0,1 0,-1 0,0 0,0 0,0 0,0-1,-1 1,1-1,-1 1,0 0,1 0,-1-1,-3 3,0 2,1-1,-1 2,-1-3,0 2,1-1,-2-1,1 1,-12 7,-57 36,62-41,-117 61,-5 5,133-74,0 0,1 1,-1-1,1 0,-1 1,1-1,-1 1,0-1,1 1,0-1,-2 0,2 0,-1 1,1-1,0 1,-1 0,1-1,0 1,-1 0,1 0,1-1,-1 0,0 1,0-1,0 0,1 0,-1 1,0-1,0 0,0 1,1-1,-1 0,0 0,2 0,-2 1,0-1,1 0,-1 0,0 0,1 0,-1 0,0 0,1 1,-1-1,1 0,30 2,114-16,-97 8,1 1,64 3,-110 2,0 0,-1 1,1-1,0 1,-1 0,1 0,0 0,0 0,-1 0,0 1,1-1,-1 1,0 0,0-2,0 2,1 0,-1 0,0 0,-1 1,1-1,-1 0,0-1,1 2,-1-1,0 1,0 0,-1-1,1 0,0 6,2 6,-1 2,-1-1,-2 29,0-27,2-11,-2 0,1 0,-1 0,0-2,0 2,-1 0,-4 10,5-13,-1 0,0 0,0 0,0-2,-1 2,0 0,1-1,-1 0,0 1,1-2,-1 1,-1 0,1-1,0 1,-6 1,-145 43,66-21,-34 8,75-21</inkml:trace>
  <inkml:trace contextRef="#ctx0" brushRef="#br1" timeOffset="-127338.04">18105 2579,'15'-1,"1"-1,1 0,23-6,15-3,242-21,-293 31,1 1,0 0,1 0,-1 0,0 1,0-1,0 0,-1 2,1-1,6 3,-9-3,0 0,0 0,-1 1,1-1,-1 0,1 0,-1 0,1 1,-1 0,0-1,0 1,0 1,0-1,0-1,0 1,0 0,0 0,-1 0,1 0,-1 0,0 0,0-1,1 1,-1-1,-1 1,1 3,-1 2,-1 0,0 1,0-1,0 0,-1 0,0-1,0 1,-1 0,0-1,0-1,-6 7,-8 10,-33 27,32-33,-31 20,11-10,38-25,0-1,0 1,-1-1,1 1,0 0,0 0,0 1,0-2,0 1,1 0,-1 0,0-1,1 1,-1 0,0 0,1 1,-1-1,1 0,0 0,-1 0,1 0,0 1,0-1,0 0,0-1,0 1,0 1,0-1,0 0,0 0,1 0,-1 1,0-1,1 0,-1 0,1 0,-1 0,1-1,0 1,-1 0,1 0,0 0,0 0,-1 0,3 1,5 4,-1-1,1 0,0-2,0 1,10 3,-6-2,1 1,22 11,-1 0,37 24,-61-35,-1 0,0 1,-2 1,1-1,-1 2,0-2,0 1,0 0,-2 2,1 0,-1-1,6 14,-3 4,-1 2,-1-1,-1 0,-2 2,-1-2,-4 42,2-66,0 0,0 1,-1-1,0 1,0 1,-1-2,0 1,0-1,0 0,0 1,0-1,-4 5,3-6,0 0,0 0,0-1,0 1,-2-1,2 0,0-1,-1 1,0-1,1 1,-1-2,0 1,0 0,0 0,0 0,-7 0,-37 1,-4-2</inkml:trace>
  <inkml:trace contextRef="#ctx0" brushRef="#br1" timeOffset="-110321.73">7745 8474,'-1'1,"1"-1,-1 0,0 1,1-1,-1 0,1 0,-1 0,0 1,1-1,-1 1,1-1,-1 1,1-1,-1 0,1 1,0 0,-1-1,1 1,0 0,0-1,-1 2,-6 20,4-17,-3 15,1 0,1-1,-2 37,4 62,3-72,0-27,1 3,6 18,0 12,-6-35</inkml:trace>
  <inkml:trace contextRef="#ctx0" brushRef="#br1" timeOffset="-109117.1">6714 9221,'-16'-1,"-2"1,2 1,-2 0,2 2,0 0,-1 1,-17 5,15-3,1 2,0 0,0 3,1-2,-29 25,35-27,2 1,-1 2,2-2,0 3,0-1,0 0,2 0,-1 2,-9 20,10-17,2-1,0-1,0 2,2-1,-2 20,4-30,0-1,0 0,0 1,1 0,0 0,0 0,0 0,0 0,0-1,1 1,-1 0,1-1,0 0,1 1,-1-1,0 1,1-2,0 1,1 0,-1 0,0 0,0-2,1 1,5 5,-2-4,0 0,1 0,-1 0,1 0,0 0,0-2,1 1,-1-1,0 0,0 0,1-1,-1 0,0 0,0-1,0 0,1-1,-1 1,9-3,-16 3,8-2,-1-1,1 1,-1-1,0-2,10-4,-16 8,1-1,-1 0,0 2,0-2,0 0,0 0,0 0,0 1,-1-1,0-2,0 2,0 1,0-2,0 1,-1-1,1 1,-1-4,0 6,1-11,0-3,-1 2,-4-24,3 35,0-2,0 0,0 0,0 2,-1-2,1 0,-1 1,0-1,0 1,0 0,-1 0,1 0,-1 1,0-1,0 0,0 1,0-1,-5-1,-10-5,1 2</inkml:trace>
  <inkml:trace contextRef="#ctx0" brushRef="#br1" timeOffset="-108088.56">7126 9228,'0'35,"-1"34,3 1,13 70,-7-101,-2-13,3 49,-9-74,0 1,0 0,0-2,0 2,0 0,-1-1,1 1,-1-1,1 1,-1-1,0 1,0-1,1 0,-1-1,0 2,0-1,0 0,0 0,-1 1,1-1,0 0,-3 1,1 1,0-3,0 2,-1-1,1 1,0-1,-1 0,1-1,-1 1,-1-1,-5 1,5-1,0 0,-1-1,1 1,0-1,0 0,0-1,-6-1,9 2,-1 1,1-2,0 1,0 0,0-1,0 1,0-1,0 1,0-1,-1 0,1 2,1-1,-1-1,-1-3,1-1,0 2,0-2,0 1,1-2,0 2,0 0,0-12,5-44,-2 28,-2 26,1 0,-1 1,1 0,0 0,0 0,1 1,0-2,0 0,1 2,-1-1,2 2,0-1,-1-1,1 2,0-1,0 0,0 0,1 0,0 1,0 0,0 0,0 1,0-1,1 2,0-1,0 0,2 0,-2 1,0 0,12-1,-11 1,0 1,0-1,-1 1,1-1,0 0,0 0,0-1,-1 0,0-1,0 1,0-1,0 0,-1 0,0 0,9-11,-5 5,1 0,-1 1,11-23,-18 28,0 0,0 1,-1-1,1 0,-1-1,0 1,0 0,0-1,-1 2,0-1,1 0,-2 0,1 0,0-1,-3-8,-2 2</inkml:trace>
  <inkml:trace contextRef="#ctx0" brushRef="#br1" timeOffset="-107609.55">7266 9585,'0'3,"0"4,3 5,2 3,-1 3,0 1,-2-1</inkml:trace>
  <inkml:trace contextRef="#ctx0" brushRef="#br1" timeOffset="-106592.21">7496 9255,'10'0,"14"-1,1 2,0 1,32 6,-51-7,1 0,-1 1,0 0,0 1,0-2,-1 2,1 0,-1 0,0 1,0-1,0 1,0 0,-1 0,1 0,-1 1,1 0,-2-1,5 7,-7-9,0 1,1 0,-1 0,0 0,0-1,-1 1,1 1,-1-1,0 0,1-1,-1 2,-1-1,1 0,0-1,-1 1,1 0,-1 0,0 0,0-1,-3 5,0 0,0 0,-1 0,-1-1,0 0,1-1,-10 9,15-13,0-1,0 0,0 0,0 0,0 1,0-1,0 0,-1 0,1 0,0 1,0-1,0 0,0 0,0 0,0 1,1-1,-1 0,0 0,0 0,0 0,0 1,0-1,0 0,0 0,0 0,0 1,0-1,1 0,-1 0,0 0,0 0,0 0,0 1,0-1,1 0,-1 0,0 0,0 0,0 0,1 0,-1 0,0 0,0 0,0 0,1 0,-1 0,0 0,0 0,0 0,1 0,-1 0,0 0,0 0,0 0,1 0,-1 0,20 3,-12-2,-3 0,0 0,-1 1,0 0,1 0,-1 0,0 1,0-2,0 1,-1 1,1 1,-1-1,1 0,-1 1,0 0,0 0,-1-1,1 1,-1 0,0 1,0-2,1 1,-2 1,2 8,-1-8,-1 0,1 2,-1-2,-1 2,1-2,-1 3,0-3,-1 2,1-1,-1 0,-1 0,1-1,-1 3,0-3,-1 0,0 1,-5 7,6-10,-1-1,0 1,1-1,-1 1,0 0,0-1,-1 0,1 0,-7 2,-8 2</inkml:trace>
  <inkml:trace contextRef="#ctx0" brushRef="#br1" timeOffset="-105748.16">7898 9340,'0'-1,"1"0,-1 1,0-1,1 0,-1 0,0 1,1-1,-1 0,1 1,-1-1,1 1,-1 0,1-1,0 1,-1-1,1 1,0-1,-1 1,1-1,0 1,0 0,-1-1,1 1,0 0,0 0,0-1,0 1,0 0,27-3,-19 3,2 0,-2 1,2 0,-2 1,1 0,-1 0,17 6,-21-6,0 0,-1 1,1-1,-1 1,1 1,-1-1,0 0,0 0,-1 1,1 0,-1-1,0 2,0-1,0 1,4 7,0 4,-2 1,0 2,-1-2,-1 0,1 33,-3-30,-1-18,1-1,-1 2,1-1,-1 0,1 0,0 0,0 1,0-2,0 1,0 0,1 1,-1-1,1-1,2 3,29 19,-11-9,1 3,28 26,-43-35,0 0,-1 0,1 1,-2 1,0-1,6 12,-11-21,-1 2,1-1,-1 0,1-1,-1 1,0 0,1 0,-1 0,0 0,0 0,0 0,0-1,0 1,0 0,0 0,0-1,0 1,0 0,0 0,0 0,-1-1,1 1,0 0,-1-1,1 1,-1 0,1-1,-1 1,1 0,-1 0,1-1,-1 1,0-1,0 2,-1-2,-1 1,1-1,0 1,-1 0,1-1,0 0,-1 1,1-1,0 0,-1 0,-3-1,-20-2</inkml:trace>
  <inkml:trace contextRef="#ctx0" brushRef="#br1" timeOffset="-99893.73">11041 7629,'0'3,"0"9,0 4,-7 11,-7 6,-7 8,-4 0,-2 1,1-4,2-10,2-4,8-5,5-1,4 0,3 0,2-4</inkml:trace>
  <inkml:trace contextRef="#ctx0" brushRef="#br1" timeOffset="-99502.73">12126 7927,'-7'3,"-7"6,-3 1,-6 7,-4-1,0 5,5-2,5 1,7 1,-1-1,4 4,2 0,2 0,2-2,0 1,2-5</inkml:trace>
  <inkml:trace contextRef="#ctx0" brushRef="#br1" timeOffset="-102362.73">7568 4531,'1'2,"2"1,-2 0,1 0,-1-2,0 2,0 0,-1 0,1 0,0-1,-1 1,0-1,0 5,1 2,10 157,0 2,-5-64,-3-39,17 87,-13-77,7 116,-13 605,-2-400,5-311,21 115,-17-150,-3 6,-4 109,-3-72,2 801,8-802,-4-60</inkml:trace>
  <inkml:trace contextRef="#ctx0" brushRef="#br1" timeOffset="-101503.73">8411 6354,'-1'34,"-2"-3,-3 2,0 0,-1 0,-1-3,-3 2,-25 50,-130 201,87-159,-21 52,91-162</inkml:trace>
  <inkml:trace contextRef="#ctx0" brushRef="#br1" timeOffset="-101006.92">8580 6892,'0'8,"0"19,-7 22,-14 30,-5 9,-11 10,-4 8,-10-2,6-14,3-5,7-14,4-14,9-14,8-9,6-7,4-3,4-1,0-5</inkml:trace>
  <inkml:trace contextRef="#ctx0" brushRef="#br1" timeOffset="-100617.45">9248 7328,'0'6,"1"22,-2 2,0 0,-3-1,-12 54,-1-34,-49 94,-42 40,58-101,35-55,4-6</inkml:trace>
  <inkml:trace contextRef="#ctx0" brushRef="#br1" timeOffset="-100265.44">9967 7591,'0'4,"0"4,0 7,0 19,0 6,-4 10,-4 0,-6 4,2 1,1-6,4-12</inkml:trace>
  <inkml:trace contextRef="#ctx0" brushRef="#br1" timeOffset="-98277.06">8192 3261,'-4'0,"-5"15,-7 22,-8 17,-4 9,-3 7,4-3,-3 1,4-12,3-2,1-9,3-4,3-16,4-13</inkml:trace>
  <inkml:trace contextRef="#ctx0" brushRef="#br1" timeOffset="-97267.9">8129 3221,'17'-18,"-15"14,1 1,-1 0,1 1,-1-1,1 1,0 0,0 1,0-2,0 0,0 2,1-1,7-2,-8 3,0 0,0 0,1 1,-1 0,0-1,0 1,1 0,-1 1,0-1,0 1,1-1,-1 1,0 0,0 0,0 0,0 1,0-1,0 1,-1 0,1 0,0 0,-1-1,2 0,-2 1,4 4,4 6,0 2,-1-1,15 26,-16-24,11 12,12 29,-28-51,-1-1,1 2,-1 0,-1-1,1 2,-1-1,1 9,-2-14,0 1,0-1,0 1,-1-1,1 0,0 1,-1-2,1 1,-1 0,1 1,-1-1,1 0,-1 0,0 0,0 0,1 1,-1-1,0 0,0-1,-1 1,-1 2,1-1,0-1,-1 0,0 0,0 0,0 0,0 0,-4 1,-7-1,-1 0,1 0,-14-2,18 1,-24-1,22 0,-1 0,1 1,-1 0,0 1,1 0,-21 5,20-1</inkml:trace>
  <inkml:trace contextRef="#ctx0" brushRef="#br1" timeOffset="-96081.6">7687 3924,'7'0,"9"0,11 0,10 0,13 0,11 0,4 0,5 0,-1 0,-11 0,-7 4,-9 0,-8 0,-10 0</inkml:trace>
  <inkml:trace contextRef="#ctx0" brushRef="#br1" timeOffset="-94346.9">7878 4161,'32'-1,"52"-8,-53 4,-28 4,0 0,2 1,-2 0,0 0,1 0,-1 0,0 0,1 1,-1-1,0 1,0 0,0 0,1 0,-1 1,0-1,0 1,0 0,3 1,-3 0,-1 0,1 0,-1 1,0-2,0 1,-1 0,1-1,-1 2,2-2,-2 2,0 0,0-1,-1 0,1 1,-1 0,0 4,2 31,-7 62,1-86,3-12,1 0,-1 0,1 0,0-2,-1 2,1 0,1 0,0 5,-1-7,1 0,-1 0,2 0,-1 0,0 0,-1 0,1 0,0-1,0 0,0 1,0 0,0 0,0-1,0 0,1 1,-1-1,0 1,0-1,0 0,1 1,-1-1,0 0,2 1,11 0,-1 0,0 0,16-2,-16 0,-1 1,0 0,23 4,-20 0</inkml:trace>
  <inkml:trace contextRef="#ctx0" brushRef="#br1" timeOffset="-90604.73">8845 4446,'2'0,"0"1,1-1,-1 1,0-1,0 1,1 0,-1 0,0 0,0 0,0 0,0 0,0 0,0 0,0 1,0-1,0 1,2 3,26 37,-17-22,280 351,-266-338,29 44,-40-52,1-1,27 27,-20-25,2-4,50 38,-71-57,0 0,1 1,-1 0,0 1,9 8,-15-13,1 0,0 0,0 0,0 0,-1-1,1 1,0 0,0 0,-1 0,1 0,0 0,0 0,0 0,-1 0,1 0,0 0,0 0,-1 1,1-1,0 0,0 0,0 0,-1 0,1 0,0 0,0 0,0 0,-1 1,1-1,0 0,0 0,0 0,0 0,0 1,-1-1,1 0,0 0,0 0,0 1,0-1,0 0,0 0,0 1,0-1,0 0,0 0,0 0,0 0,0 0,0 0,0 0,0 1,0-1,0 0,0 0,0 0,0 1,0-1,0 0,0 0,1 0,-1 1,0-1,0 0,0 0,0 0,1 1,-20-5,-15-10,-31-16,44 19,2 2,-1 0,0 2,-2 0,1 0,-32-3,-10 1,26 4,-56-2,75 7</inkml:trace>
  <inkml:trace contextRef="#ctx0" brushRef="#br1" timeOffset="-80580.73">14636 4660,'-6'2,"-1"-1,1 1,0 1,0-1,0-1,0 2,1 0,-10 5,-7 4,-10 3,0-1,1 2,1 2,-55 42,75-50,1 1,0 2,-11 15,-6 9,4-8,2 0,2 2,1 0,1 0,-16 52,23-55,1 1,2 0,1 0,1 1,2 0,3 53,1-72,0 0,1-1,0 0,1 1,0-1,1 0,0-1,1 0,-1 0,2 0,0 0,12 13,-8-13,-1 0,0 0,1-1,0 0,1-1,-1 0,3 1,-2-2,25 8,-25-13,-1 1,1 0,0 0,0-2,0 1,0-1,1-1,-1 0,-1-1,2 0,-1 0,19-7,-2-2,0-2,0 0,39-26,-63 37,-1-1,0-1,0 1,0 0,0-1,0 0,-1 0,0 0,0 0,0-1,0 2,-1-2,0 0,0 1,2-7,-2 4,-1 0,0 1,-1-1,0 0,0 0,0 1,-1-2,0 2,0-1,-4-9,1 6,-1-2,0 1,0 0,-1 1,-1-1,0 2,0 0,-1 0,-2-2,2 3,-1 1,-19-15,2 8,1 1,-1 0,-2 2,1 0,-1 2,-39-7,45 12</inkml:trace>
  <inkml:trace contextRef="#ctx0" brushRef="#br1" timeOffset="-78216.73">16773 4842,'0'-1,"0"1,0-1,1 1,-1 0,0 0,1-1,-1 1,0-1,1 1,-1 0,1-1,-1 1,1 0,-1-1,0 1,1 0,-1-1,1 1,0 0,-1 0,1 0,-1 0,1-1,0 1,19-3,-17 2,20-2,0 1,1 1,-1 0,45 4,-53 0,0 0,-1 1,2 0,-2 0,1 3,-2-2,1 2,20 11,-8-1,48 40,-63-47,-1 0,0 1,0 0,-1 0,-1 1,10 20,-16-31,-1 2,0-1,0 1,0-1,0 1,-1-1,1 2,-1-2,0 1,0 0,0-1,0 1,0-1,0 1,-1 0,1 0,-1-2,0 2,0-1,0 0,-3 4,0-1,0 1,0-2,0 0,-1 1,0-1,0-1,0 0,-10 6,-15 5,-18 7,46-20,0 1,-1-1,1 1,0 0,0-1,0 1,0 0,0 0,1 0,-1 1,0-1,1 0,0 0,-2 4,3-4,0 0,0-1,0 1,1 1,-1-1,0 0,1 0,0 0,-1-1,1 1,0 0,0 0,0-1,0 1,0 0,0 0,1-1,-1 0,1 0,-1 1,1-1,-1 0,1 1,0-1,3 1,7 5,1 0,17 7,-29-14,9 3,-1 2,0 0,1-1,-1 2,14 10,-19-12,0 0,0 2,0-1,0-1,-1 2,0-1,0 0,0 1,-1-1,3 12,2 12,-2 2,-1-1,-2 1,-1 0,-2-1,-5 33,5-53,0 2,-1-1,0-1,-2-1,-4 14,6-20,1 0,-1 0,0 0,0 0,0-1,0 0,0 1,-1 0,0-1,1 0,-1 1,0-1,0 0,0-1,0 1,0 0,0-1,-1 0,1 1,-6-1,-2 0,1 0,0 0,0-1,0 0,-1-1,2 0,-1 0,-1 0,-15-7,-3-2,-49-23,28 9</inkml:trace>
  <inkml:trace contextRef="#ctx0" brushRef="#br1" timeOffset="-77362.73">17858 4763,'0'0,"0"-1,0 1,0 0,1-1,-1 1,0-1,0 1,0-1,1 1,-1 0,0-1,0 1,1 0,-1-1,0 1,1 0,-1-2,0 2,1 0,-1 0,0 0,1 0,-1 0,1 0,-1 0,1-1,-1 1,0 0,1 0,-1 0,1 0,-1 0,1 0,-1 0,1 0,-1 0,2 0,-2 0,0 0,1 1,-1-1,1 0,0 0,25 8,-24-7,119 46,98 32,-49-40,-95-22,84 27,-155-43,1 1,0 0,-2 0,1 0,1 0,-1 1,0 0,0 0,-1-1,1 2,-1-1,0 1,4 3,-6-4,1 0,-1 0,0-1,0 1,0 0,0 0,-1 0,0 0,1 0,-1 0,0 0,0 0,-1 1,1-1,-1 0,1 0,-1 0,0 0,0 0,-3 3,0 3,-1 0,-1 1,1-1,-2-1,1 0,-1 0,0 1,0-2,-1-1,-2 0,-12 9,-7 2,-2-1,-42 15,44-20,26-10,0 1,0-1,0 0,1 0,-1 0,0 1,1 0,-1 0,1 0,0 0,0 1,-2 1,3-2,1 0,-1-1,1 1,-1 0,1-1,0 0,0 1,0 0,0 0,0 0,0-1,0 1,0 0,1-1,-1 0,1 1,0 0,-1-1,1 0,0 0,0 1,1 2,63 92,16 22,-76-109,61 122,-65-130,0 1,0 1,1-1,-1 2,-1-2,1 0,-1 0,1 1,-1-2,0 2,0-1,0 1,-1 2,0-4,1 0,-1 0,-1 1,1-1,0 0,0 0,0 0,0-1,0 1,0 0,0 0,-1 0,1-1,0 1,0 0,-1-1,1 1,-1-1,1 1,0-1,-1 0,1 1,-1-1,1 0,-2 0,-18 1,0-2,-1 0,1-1,0-1,0 0,-39-12,33 8,-169-48,111 27</inkml:trace>
  <inkml:trace contextRef="#ctx0" brushRef="#br1" timeOffset="-79563.73">15355 4981,'0'8,"1"0,1-1,-1 0,1 1,5 12,1 1,31 97,6-2,104 184,-144-290,0-1,0 0,-1-1,0-1,0 3,3 11,-6-19,-1 0,0-1,1 1,-1 0,0 0,0-1,-1 1,1 0,0 0,-1 0,1 0,-2 0,2-1,-1 1,0-1,0 1,0 0,0 0,0 0,0 0,0-1,-1 0,1 0,-1 1,1-1,-1 0,1 0,-1-1,0 1,1 0,-1 0,-3 1,-2 0,0-1,0 1,0-1,0 0,0 0,-2-1,2 1,0-2,0 1,0-1,0 0,0-1,0 1,0 0,-9-5,7 3,0-1,0 1,1-3,0 1,0 1,1-2,-1 1,1-1,1-1,-1 1,-5-9,9 11,0 0,1 1,-1-1,1-1,0 2,0-2,1-1,-1 2,1-1,0 0,1 1,-1-1,1 0,0 1,0-1,1 0,-1 0,1 1,0 0,0-1,1 1,2-6,1 0,1-1,0 2,1-2,0 3,1 0,0-2,18-13,-5 6,42-22,-46 28,1 1,-2-1,0-1,23-23,-17 13,-13 13,0 0,0 0,-1 0,-1-2,0 1,1-1,-2 0,8-17,-8 12,0-4,0 0,-1 0,4-29,-9 46,0 1,-1-1,1 0,0-1,-1 1,0 1,0-1,0 0,0 0,0 1,-1-1,1 1,-1-1,1 1,-1-1,0 1,0 0,-1 0,1 0,-4-3,-5-1,1-1,-2 0,-19-7,14 6,-162-70,156 68</inkml:trace>
  <inkml:trace contextRef="#ctx0" brushRef="#br1" timeOffset="-79149.73">16263 5522,'0'4,"0"4,0 10,0 6,0 6,0 16,0 9,0 4,-3-2,-7 12,-2-7,-1-3,3-10,2-14</inkml:trace>
  <inkml:trace contextRef="#ctx0" brushRef="#br1" timeOffset="-75013.73">20459 4947,'11'0,"-13"0,-25 0,-33 0,-87 9,121-4,0 0,-1 1,2 1,0 2,0 0,-25 13,20-6,2 1,0 1,1 3,2-2,-1 4,-33 37,30-26,2 2,2 0,1 1,-23 50,37-64,1-3,1 3,2-2,1 3,-5 27,9-35,0 2,1-2,0-1,2 2,0 0,1-1,11 31,-10-37,1 0,1 0,0 0,0-2,1 2,0-2,0 0,1 1,0-2,1 2,0-2,18 10,-15-9,2 0,-1-2,1 0,2 0,-2-2,1 1,0-1,0-1,21 1,15 1,96-7,-130 1,-2-1,1 0,0 0,-1-2,1-1,-1 0,0 1,-1-3,0 1,19-13,-30 17,-1 1,1-2,0 2,-1-2,1 1,-1-1,0 0,0 0,0 1,0-1,-1 0,1-1,-1 1,0 0,2-6,-1-6</inkml:trace>
  <inkml:trace contextRef="#ctx0" brushRef="#br1" timeOffset="-74169.72">19755 5279,'7'0,"6"0,8 2,8 3,5 3,5 0,2 1,3 1,3-3,-2 1,-1 0,-6-2,-4-3,-6 0,-4-2,0 0,-8-1</inkml:trace>
  <inkml:trace contextRef="#ctx0" brushRef="#br1" timeOffset="-60201.73">25564 5829,'0'3,"-4"15,-5 10,-3 9,-5 9,-2 1,-1 0,1-9</inkml:trace>
  <inkml:trace contextRef="#ctx0" brushRef="#br1" timeOffset="-59844.73">25669 5296</inkml:trace>
  <inkml:trace contextRef="#ctx0" brushRef="#br1" timeOffset="-65837.73">21754 5093,'-2'1,"-1"-1,0 1,1 0,-1-1,0 1,1 0,-1 0,1 0,0 0,-1 1,-2 2,-10 5,-35 16,-109 36,17-8,136-49,0 0,0 0,0-1,0 2,1 0,0-1,0 1,1 1,0 0,0-1,-4 9,-21 24,-175 139,108-101,88-67,-8 3,2-1,-17 22,28-31,1 0,0 1,0 0,0-1,0 1,1-1,-1 2,1-1,0 1,-1-1,2 0,-1 0,0-1,1 2,-2-1,2 0,0 0,0 1,0-1,3 4,-2-4,0 1,1-3,0 2,0 0,-1-1,2 1,-1-1,0-1,0 2,1-1,-1 0,1-1,0 1,-1 0,6 0,4 4,0-2,18 5,55 13,1-4,0-2,1-5,126 2,-208-14,-1 1,0 0,0 0,0 1,0-1,1 1,-1-1,0 1,1 0,-1 0,0 2,-1-1,1 0,0 0,-1 0,1-1,-1 2,0 0,0-1,0 1,3 3,3 4</inkml:trace>
  <inkml:trace contextRef="#ctx0" brushRef="#br1" timeOffset="-63595.71">22200 5441,'-50'42,"31"-27,-27 28,40-35,0-2,0 1,1 2,0-1,1 0,0-1,-5 17,8-19,-1 1,1 0,-1-2,2 2,-1-1,1 1,-1 1,2-2,-1 1,1-1,2 9,-1-9,0 1,0-3,0 1,0 0,1 0,0-1,0 1,0-1,1 1,-1-1,1 0,0 0,0 0,8 4,10 5,-1-1,2-2,0-1,1 0,-1-1,37 6,-19-7,2-2,82-1,-82-4,-25 1</inkml:trace>
  <inkml:trace contextRef="#ctx0" brushRef="#br1" timeOffset="-63209.71">22518 5660,'-3'4,"-9"10,-5 6,-5 7,-3 3,-3 1,3 0,4-5,4-2,6 0,4-2,3 0,3-2,1-4</inkml:trace>
  <inkml:trace contextRef="#ctx0" brushRef="#br1" timeOffset="-62580.58">23276 5474,'0'3,"-1"0,1-1,-1 0,0-1,0 2,0-1,-1 0,1 0,0-1,-3 4,-3 3,-73 106,16-29,61-80,0-1,0 1,0 0,0 0,1 0,0 0,-1 8,2-11,1 0,0 0,0 0,0 0,0-1,0 1,1 0,-1 0,1-1,-1 1,1 0,-1 0,1-1,0 0,0 1,0 0,0-1,1 1,-1-1,1 1,-1-1,0-1,1 2,-1-1,1 0,2 1,7 5,1-3,0 2,0-2,0 0,1-1,24 5,80 3,-107-10,297 2,-285-3,11-1</inkml:trace>
  <inkml:trace contextRef="#ctx0" brushRef="#br1" timeOffset="-62210.04">23516 5644,'-4'0,"-4"3,-2 4,-3 3,-1 4,0 7,0 3,-1 13,-2 3,1 1,4-5,5-4,2-4,3-8</inkml:trace>
  <inkml:trace contextRef="#ctx0" brushRef="#br1" timeOffset="-61835.52">24229 5992,'0'4,"-4"6,-11 10,-10 7,-3 4,-1 1,-1 0,2-4,6-3</inkml:trace>
  <inkml:trace contextRef="#ctx0" brushRef="#br1" timeOffset="-60970.63">24689 5312,'-1'5,"1"1,-1-2,-1 1,1 0,-1-1,1 2,-2-1,1 0,0 0,-4 3,-36 45,28-35,-7 9,-15 16,-31 54,60-84,1-1,1 0,0 0,2 2,-1-1,2 0,0 2,0-3,2 1,-1 2,2-2,0 1,6 24,-6-33,1 1,0 0,0-1,0 1,1-2,0 2,0-1,0-1,2 0,-2 0,1 1,1-2,-1 2,0-1,1-1,0 1,0-1,0 0,0 0,1-1,-1 0,1 0,-1 0,2 0,-1 0,0-1,0 0,0-1,0 1,8-1,-12 0,0 0,-1-1,0 1,1 0,-1-1,1 1,-1-1,1 1,-1-1,1 0,-1 1,1-1,-1 0,1 0,-1 0,0 0,0 0,0-1,1 1,-1 1,1-2,-1 0,1-2,-1 1,0 0,1 0,-2 0,1-1,0 0,-1 2,1-2,-1 1,0-3,-1-4,0 0,-1 0,0 0,0 1,-2 0,-5-13,7 17,0 2,-1-2,0 1,0 1,1-1,-1 0,-1 0,0 0,1 1,-2-1,1 1,0 1,0-1,-1 1,0-1,1 1,-1 0,-1 1,1 0,0 0,-10-2,1 2,0 0,0 1,-1 1,1 0,0 1,-27 6,18-2</inkml:trace>
  <inkml:trace contextRef="#ctx0" brushRef="#br1" timeOffset="-55024.73">26512 5220,'-10'276,"-1"9,11-277,0 0,-1 2,0-3,0 1,-1 0,0 1,0 0,-6 7,7-13,-1-2,0 2,0 1,0-1,0-1,0 2,-1-1,0-1,1 0,-1 0,0 0,0 0,0 1,0-1,-1-1,1 1,0-1,-1-1,1 1,-1 0,-5 1,3-1,1-1,0 1,1-1,-1 0,0 0,0-1,0 1,0-1,0 0,0-1,1 1,-1 1,1-2,-6-3,5 2,2 0,-1 1,1-1,0 1,0-2,0 0,0 2,1-2,0 0,-1 2,1-1,0-1,1 0,-1-1,1 3,-2-11,1 3,0-1,1 1,0-2,1 2,0-1,1 1,1-1,-1-2,2 3,-1 0,1 0,8-17,-9 24,0 0,0 0,1 1,-1-1,1 1,-1-1,1-1,0 2,1 0,-1-1,0 3,1-2,4-2,7-2,0 3,17-5,9-3,53-20,174-70,-263 99,0 0,0-1,-1 1,0-1,1 0,-1 0,0 0,0-1,-1 0,1 1,-1 0,1-2,-1 1,0 0,0-1,-1 0,0 1,0-1,0 0,0 1,-1 0,1-9,1-1,2-7,-1-2,1-33,-5 48,0 1,-1 0,0 0,0-1,-1 3,0-3,0 1,0 1,-1-2,0 2,-1 0,-4-7,-2 1,-1 1,1 0,-1 2,-1-1,0 1,0 0,-2 0,-22-10,6 5</inkml:trace>
  <inkml:trace contextRef="#ctx0" brushRef="#br1" timeOffset="-53978.72">27384 5394,'0'0,"0"0,1 0,-1 0,1 0,-1 0,0 0,1 0,-1-1,0 1,1 0,-1 0,0-1,0 1,1 0,-1 0,0-1,0 1,1 0,-1-1,0 1,0 0,0-1,1 1,-1-1,0 1,0 0,0-2,0 2,0-1,0 1,0 0,0-1,0 1,0-1,0 1,0 0,0-2,-3-13,-1 6,0 1,-2-2,2 2,-2 0,1 2,-1-2,-1 0,1 1,-1-1,-1 2,-11-9,9 9,0-1,0 0,-1 1,0 2,-1-1,0 0,1 2,-25-6,26 7,-2 1,1 1,0 0,1 0,-1 0,1 1,-21 5,25-4,1-1,-1 1,0 0,1 0,0 1,0 1,-1-1,2 0,-1 0,0 1,0 1,1-2,0 2,0-1,-4 8,1-2,1 3,0-2,1 1,0-1,1 1,0 1,1-1,1 0,0 2,0 24,2-34,0-1,0 2,1 0,0-1,-1-1,2 2,-1-1,0 0,1 1,0-1,0-1,0 1,0 0,1 0,0-3,-1 3,1 0,1-1,-1-1,0 2,1-2,-1 0,1 1,0-1,0 1,0-1,0 0,0-1,2 1,-2-1,0 0,1 0,-1-1,1 0,5 1,5 0,0-1,2 0,-3-1,1 0,0-1,-1-2,2 1,-1-2,-1 0,0 0,23-11,-34 14,-1 0,1 0,-1-1,1 2,-1-2,0 1,0-2,3-3,3-6,-8 13,0 0,0 0,0 0,0 0,0 0,0 0,1 0,-1 0,0 0,0 0,0 0,0 0,0-1,0 1,0 0,1 0,-1 0,0 0,0 0,0 0,0 0,0 0,1 0,-1 0,0 0,0 0,0 0,0 0,0 0,1 0,-1 0,0 0,0 0,0 0,0 0,1 0,-1 0,0 0,0 0,0 0,0 0,0 0,0 0,1 1,-1-1,0 0,0 0,4 10,-2 14,-5 16,-1-1,-3 1,-15 48,17-66,-19 61,15-51</inkml:trace>
  <inkml:trace contextRef="#ctx0" brushRef="#br1" timeOffset="-53605.73">27572 5815,'3'3,"2"8,-1 7,0 3,-2 6,0 3,-1-1,-1 3,0-2,0-2,0-2,-1-3,1-2,0-1,0-4</inkml:trace>
  <inkml:trace contextRef="#ctx0" brushRef="#br1" timeOffset="-52776.74">27992 5318,'2'-3,"-1"-1,0 1,1-1,0 0,0 2,0-2,0 1,1 0,-1-1,1 1,1 1,2-2,4-7,11-10,0 2,2 0,29-19,81-42,-131 78,3 0,-1 1,1-2,-1 1,1 0,6-3,-11 5,1 0,0 0,0 0,0-1,1 1,-1 0,0 0,-1 0,1 1,0-1,0 0,0 0,0 0,0 2,-1-2,1 0,0 1,0-1,-1 1,1-1,0 1,0-1,-1 1,1 0,-1-1,1 1,0 0,-1 0,1-1,-1 1,0 0,1-1,-1 1,0-1,1 0,-1 1,0 2,3 7,-2-1,1 1,-2 1,1 0,-1-2,-1 2,0-1,-3 14,-5 11,-14 34,15-47,-42 130,39-118</inkml:trace>
  <inkml:trace contextRef="#ctx0" brushRef="#br1" timeOffset="-51752.05">28789 5094,'-1'111,"6"2,23 134,-19-201,-2-14,5 55,-12-86,0 0,0 1,0 0,0-1,0 0,-1 1,1 0,0-1,-1 1,1 0,-1 0,0-1,1-1,-1 2,0-1,0 1,0-1,0 1,0-1,0 0,-2 2,0-2,0 0,1 1,-1-1,0 0,0-1,1 1,-1 0,0 0,0-1,0 0,-3 1,-8-1,1-1,0-1,0 1,-15-4,23 4,-2-1,2 0,-1 0,1 0,0-1,0 1,0-1,0 0,-1 0,1-1,1 1,-7-7,8 7,0-2,1 2,-2 0,2-1,0-2,0 2,0 0,1 0,0-1,0 1,0-1,0 1,1-1,0 0,0-5,0-3,1 2,1-1,0 0,0 1,1-1,2 1,-1 0,6-11,-6 14,1 0,0 1,0 0,1-1,0 3,1-2,-1 2,1-1,0 0,1 1,13-7,-16 9,0-1,0 1,-1-1,1 2,-1-3,0 1,0 0,0 0,0 0,-1-1,-1 2,2-3,-1 2,0-1,-1-1,3-9,15-32,-10 27,-1-2,-2 3,0-2,-1 0,0-1,2-35,-7 31</inkml:trace>
  <inkml:trace contextRef="#ctx0" brushRef="#br1" timeOffset="-51027.6">29048 4995,'4'1,"1"0,0-1,-1 1,1 0,-1 1,1-1,-1 1,0 0,0 0,2 1,-1-2,3 6,9 6,20 21,-18-17,24 23,3-2,101 65,-106-80,-7-3,57 38,-88-56,0 2,-1-1,1 0,-1 0,0 0,1 2,-1-1,-1-1,1 0,-1 1,1 1,-1-3,0 2,-1 0,1 0,-1 0,0 0,0 2,0-4,0 3,-1-1,0 0,1 0,-3 4,-2 7,0 1,-1-2,0 0,-17 26,-7 3,-2-1,-67 70,-92 65,125-118,-68 52,106-89</inkml:trace>
  <inkml:trace contextRef="#ctx0" brushRef="#br2" timeOffset="-39634.73">15338 7148,'0'4,"0"7,0 11,0 17,0 7,0 6,-4 2,-4-1,-1 0,-3-4,-4-7,3-5,2-16,3-15,3-17,3-5</inkml:trace>
  <inkml:trace contextRef="#ctx0" brushRef="#br2" timeOffset="-38458.61">15306 7141,'0'-3,"-1"1,1-1,1 0,-1 1,0-1,1 1,0-1,-1 0,1 1,0 0,0-1,1 1,1-4,-1 4,0 0,0 0,0 1,0 0,0 0,1 0,-1-1,1 1,0 0,-1 0,1 1,-1-1,1 1,4-1,20-2,-1 1,1 1,54 5,-78-3,1-1,0 1,0-1,-1 1,1 0,-1 0,1 0,-1 1,1 0,-1-1,0 0,0 2,1-1,-1 0,0 1,0-1,-1 1,1 0,-1-1,0 1,0 0,0 1,0-1,0-1,-1 2,0-1,1 1,0 4,0 5,0-1,-1 1,0 1,-1-1,0 1,-4 17,4-25,-1-1,0 0,0 2,-1-2,1 0,-1 1,-1-2,1 2,-1-1,0-1,0 1,0 0,0-1,-1 0,-1 1,1-2,-1 1,1 0,-1-1,1 0,-1 0,0 0,-1 0,1-1,0 0,-1 1,1-2,-1 1,0-1,-12 2,0-3</inkml:trace>
  <inkml:trace contextRef="#ctx0" brushRef="#br2" timeOffset="-37255.82">14846 7915,'95'4,"134"20,37 5,-246-28,23 1,67-4,-79-5,-18 2</inkml:trace>
  <inkml:trace contextRef="#ctx0" brushRef="#br2" timeOffset="-35738.63">15274 8266,'64'0,"98"0,-159 0,0 0,1 0,-1 1,0-1,1 1,-1 0,0 0,0 0,1 1,-1 0,0-1,0 1,0 0,-1-1,1 1,3 3,-3-2,-1 0,-1 0,1 0,1 1,-2-1,0 0,0 0,0 1,0 1,0-4,-1 3,0 0,0 0,0 3,0 8,0 0,-2 0,-5 21,5-29,0-1,0-1,-1 2,1-1,-2 0,1-1,-1 1,1-1,-2-1,-7 9,-26 18,0-2,-1-2,-71 37,91-53,15-9,0 0,1 1,-1-1,1 1,-2 0,2 0,0 0,0 1,-3 5,5-8,0 1,1-2,-1 1,1 0,0 0,-1 1,1-1,0 0,0 1,0-1,0 0,0 1,0-1,0-1,0 1,1 0,-1 0,0 0,1 0,-1 1,1-1,-1 0,1 0,0 0,-1 0,1 0,0 0,0 0,0-1,0 1,0 1,0-1,0-1,0 1,0 0,0-1,2 2,18 7,0 0,1-2,1 0,-2-2,31 7,4-1,75 23,-128-33,-1-1,1 1,0-1,-1 0,1 1,0-1,-1 0,1-1,0 1,-1 0,1-1,-1 1,1-1,1 0,-2 0,3 0,10-12</inkml:trace>
  <inkml:trace contextRef="#ctx0" brushRef="#br2" timeOffset="-34476.73">16227 7628,'27'0,"0"0,-1 2,0 0,1 2,33 9,-11 2,0-2,1-2,77 8,-81-15,0 1,0 4,-1 2,-1 0,70 27,27 9,-33-15,-103-30,0 0,0 0,-1 0,1 1,0 0,-1 0,1-1,-1 1,0 1,1 0,3 4,-7-6,0 0,0 0,0 0,0 0,0 0,0 0,-1 1,1-1,-1 0,1 0,-1 0,0 0,0 0,0 1,0-1,0 0,-1-1,1 1,-1 0,1 1,-1-1,0 0,0 0,0-1,0 1,0 1,-3 3,-5 3,1 0,0 0,-1-2,0 3,-1-3,0 0,-22 11,4-3,-59 23,36-23,1-2,-70 9,106-19,-21 3</inkml:trace>
  <inkml:trace contextRef="#ctx0" brushRef="#br2" timeOffset="-33415.73">19142 7310,'1'27,"-2"0,0 1,-2-1,-2-1,0 2,-18 44,7-37,-1-1,-2-1,-1-1,-3 0,0-2,-1 0,-3-2,0 0,-2-1,-1-2,-37 24,33-28,0-1,-1 0,1-2,-3-3,0 0,-1-1,0-3,-2-1,1-1,-1-3,-49 4,59-9,-56-4,76 3,0-2,-1 0,1 0,0-1,1 0,0 1,-2-2,-14-8,22 9,0 0,0 0,0 0,0 1,1-1,-1-1,1 0,0 2,0-2,0 0,0 0,1 2,-1-2,1 0,0 1,0 0,1-1,-1-2,1 2,0 1,0-1,1-4,0 0,0 0,0-1,1 1,1 0,-1 2,1-2,0 1,1-1,8-12,-2 9,-1-1,2 2,1 0,-1 1,0-1,1 1,0 0,1 2,1 0,15-6,-16 8,-1-1,1 2,2 1,-2-1,0 2,1-1,0 2,0 0,1 0,-1 1,22 4,-26-2,2 1,-1 0,-1 0,0 2,0 0,0 0,0-1,-1 2,1 0,13 12,5 8,42 49,-35-38,-19-18,5 5,1 0,2-3,2 2,32 20,-55-41,0 0,0-1,0 1,1-1,-1 1,0-1,1 0,0 0,-1-1,1 1,-1-1,1 0,0 0,-1 0,2 0,-1 0,-1-1,1 1,-1-1,7-2,12-6</inkml:trace>
  <inkml:trace contextRef="#ctx0" brushRef="#br2" timeOffset="-27472.73">17965 8329,'1072'0,"-1054"0</inkml:trace>
  <inkml:trace contextRef="#ctx0" brushRef="#br2" timeOffset="-25557.2">18421 8587,'43'2,"2"1,-2 1,70 17,-81-13,0 2,1 1,-3 2,1 0,39 25,-63-33,0 0,0 1,-1 0,1-1,-1 1,0 0,-1 1,1 0,7 13,-11-16,0 0,-1-1,1 0,-1 1,0 1,0-2,0 2,-1-1,0-1,1 1,-1 1,-1-1,1-1,0 1,-1 0,0 0,0-1,0 2,-1-2,1 0,-1 1,0 0,-3 4,-4 4,-2 2,1-3,0-1,-2 0,1 0,-1 0,-27 15,-103 45,100-51,-1 0,28-15,0 2,1 0,-1 2,-14 11,28-19,0 1,0-1,0 1,-1-1,1 1,1 0,-1 0,0 0,0 0,0 0,0 0,1 1,-1-1,0 0,1 0,-1 0,1 0,-1 0,1 0,0 1,-1-1,1 1,0-1,0 0,0 1,0-1,0 0,0 0,0 0,1 1,-1-2,0 1,1 1,-1-1,1 0,0 0,-1 1,1 0,1 0,1 2,1 0,0-1,0 0,0 0,0 1,0-1,1 0,9 3,20 8,0-2,0-2,42 7,112 12,-176-27,346 45,-299-39</inkml:trace>
  <inkml:trace contextRef="#ctx0" brushRef="#br2" timeOffset="-19011.73">18184 10024,'-11'1,"1"0,0 1,1-1,-1 2,1 0,0 1,-18 6,-9 5,-364 118,-180 64,558-191,-39 19,56-23,0 0,0 1,0 0,1 1,-1-1,1 0,0 1,-7 7,10-10,0 1,0-1,1 1,-1-1,0 1,1-2,-1 1,1 0,0 1,0 0,-1-1,1 1,0-1,0 1,0 1,1-3,-1 2,0-1,1 1,-1-1,1 1,-1-1,1 1,0-1,-1 1,1-2,0 1,0 1,0-1,0 0,4 2,1 3,0-1,1 0,0 0,11 7,5-2,2 0,0 0,0 0,1-3,0 0,0-2,44 5,195-3,-204-8,375-17,-407 15</inkml:trace>
  <inkml:trace contextRef="#ctx0" brushRef="#br2" timeOffset="-21902.73">15723 9668,'1'49,"-4"0,-10 56,8-86,0 2,-1-1,-1-1,-1 0,-1-1,0 1,-26 32,-30 28,-3-5,-81 70,122-121,-1 0,-2-1,1-2,-45 24,61-37,0-1,-1 1,-1-3,1 0,0 1,-1-1,0-1,0 0,0-2,0 0,0-1,0 0,-25-2,33 0,1 0,0 0,0 0,0-1,0 0,1 0,-1 0,0 0,1 0,0-2,0 2,0-2,1 1,0-1,0 0,0 0,-3-5,-5-9,1-1,0 0,-8-24,8 15,-11-47,20 65,0 1,0 0,2-2,-1 1,2 0,-1 0,5-20,-2 24,0 0,0 0,1-2,0 3,1-1,0 0,0 1,12-13,-7 11,0 0,0-1,1 1,22-13,-17 14,0 1,0 1,0 0,0 0,2 0,23-1,-15 3,-1 1,0 2,46 4,-52-2,1 2,-1 1,-1 1,1 0,0 0,23 12,98 62,-124-69,52 31,235 134,-298-173,0 0,0-1,-1 1,1 1,-1 0,0 0,0 0,1 0,-1 1,-1-2,4 8,-2 0</inkml:trace>
  <inkml:trace contextRef="#ctx0" brushRef="#br2" timeOffset="-20924.41">14814 10712,'178'-3,"209"-27,-73 5,3 24,-316 1,79 0,-59 0</inkml:trace>
  <inkml:trace contextRef="#ctx0" brushRef="#br2" timeOffset="-19932.41">15366 10909,'6'-1,"0"0,1 0,-1-1,10-3,7 0,13-7,20 0,-51 11,-1 0,1 1,-1 0,1 0,-1 0,1 0,-1 1,1 0,7 1,-10-2,0 1,-1 0,1 0,0 0,-1 0,1 0,-1 0,1 1,-1-1,0-1,0 2,1-1,-1 2,0-2,0 1,0 0,-1 0,1-1,0-1,-1 2,1 0,-1 0,1 0,-1-1,0 1,0 0,0-1,0 1,0 0,-1 3,0 0,0 0,-1 3,0-4,0 2,0 0,-1-1,-6 9,3-4,3-7,1 0,-1 1,0-1,1 1,-3 6,5-10,0 0,-1 1,1 0,0 0,0 0,0 0,0-1,0 1,0 0,0 0,0 0,1 0,-1 0,0 0,0-1,1 1,-1 1,0-2,1 1,-1-1,1 1,-1 0,1 0,0-1,-1 1,1-1,0 1,-1 0,1-1,1 1,-2-1,1 1,0-1,1 1,5 0,-1 1,1-1,-1 1,1-1,-1 0,1 0,10 0,51-6,-54 4,255-42,-246 37,30-4</inkml:trace>
  <inkml:trace contextRef="#ctx0" brushRef="#br2" timeOffset="-18269.73">20758 9395,'-1'43,"-1"-1,-3 1,-1-2,-2 2,-3-3,-2 2,-1-1,-28 55,1-19,41-78,0 1,0 0,0 0,0 0,0 0,0-1,0 1,0 0,0 0,0 0,-1 0,1 0,0 0,0 0,0 0,0 0,0 0,0 0,0 0,-1 0,1-1,0 1,0 0,0 0,0 0,-1 0,1 0,0 0,0 0,0 0,0 0,-1 0,1 0,0 0,0 0,0 0,0 0,-1 0,1 0,0 0,0 0,0 0,0 0,-1 0,1 0,0 0,0 0,0 0,0 1,0-1,-1 0,1 0,0 0,0 0,0 0,0 0,-1-19,1 17,1-18,1 0,1 0,1 0,0 0,9-20,-4 18</inkml:trace>
  <inkml:trace contextRef="#ctx0" brushRef="#br2" timeOffset="-17598.07">20837 9170,'0'-1,"0"0,0 1,0-1,0 0,0 0,0 1,0 0,0-1,0 0,0 0,0 1,1 0,-1-1,0 1,1-1,-1 0,0 1,1-1,-1 0,1 1,-1-1,1 1,-1-1,1 1,0-1,0 0,0 1,0 0,0 0,0 0,-1 0,1 1,0-1,0 0,0 0,0 0,0 1,-1-1,1 0,0 1,0-1,0 1,-1-1,2 1,8 6,-1-1,14 16,-11-11,10 6,0-2,1-2,28 15,8 5,-55-31,-1 0,1 1,-1-2,-1 0,1 2,0 0,-1 0,1-1,-1 0,0 2,0-1,0 0,-1 0,1 0,-1 0,0 2,0-1,0-2,0 2,0 0,-1-1,0 0,0 1,0 0,-1 5,0-5,0 1,0-2,0 1,-1 0,0 0,0-2,0 2,0 0,-1-1,1-1,-1 2,0-1,0 0,0 1,0-3,-1 2,0 0,1-1,-1 0,0 0,0-1,-6 3,-124 48,120-48</inkml:trace>
  <inkml:trace contextRef="#ctx0" brushRef="#br2" timeOffset="-17055.1">20301 9996,'1'3,"-1"-2,1 1,0 1,0-1,0 0,0-1,0 1,1 0,-1-1,0 1,1 0,0 0,-1-1,1 1,4 2,32 21,-19-16,1 0,1 0,-1-3,0 0,3-1,-2-1,32 4,158-2,-157-6,378-2,-380 2</inkml:trace>
  <inkml:trace contextRef="#ctx0" brushRef="#br2" timeOffset="-16072.75">20668 10540,'0'0,"0"0,-1 0,1 0,0-1,0 1,0 0,-1 0,1 0,0 0,0-1,0 1,0 0,0 0,0-1,0 1,-1 0,1 0,0 0,0-1,0 1,0 0,0 0,0-1,0 1,0 0,0 0,0-1,0 1,0 0,0 0,1 0,-1-1,0 1,0 0,9-5,18 1,-25 4,69-2,-2 3,2 3,-1 3,77 15,-134-20,0 1,-1 0,1 1,15 7,-26-9,1-1,0 0,-1 0,0 1,1 0,-1-1,0 1,0 0,0 1,0-2,0 1,0 1,-1-1,1 1,-1-1,0 0,0 1,0-1,0 2,0-1,0-1,-1 0,1 1,-1 3,0 1,0 1,-1-1,0 2,0-2,-1 1,1-2,-2 2,1-3,-1 4,0-3,-1 1,0-1,0 1,-1-2,1 1,-9 9,13-15,0 0,0 0,-1 0,1 1,0-1,0 0,-1 0,1 0,0 1,0-1,0 0,-1 0,1 1,0-1,0 0,0 1,0-1,0 0,-1 1,1-1,0 0,0 1,0-1,0 0,0 0,0 0,0 0,0 0,0 1,0-1,1 0,-1 1,0-1,0 0,0 1,0-1,0 0,0 0,1 1,-1-1,0 0,0 0,1 1,-1-1,0 0,0 0,1 1,-1-1,0 0,0 0,1 0,-1 0,0 0,1 0,-1 1,0-1,1 0,-1 0,0 0,0 0,1 0,-1 0,0 0,1 0,29 1,-25-1,318-2,-288 2</inkml:trace>
  <inkml:trace contextRef="#ctx0" brushRef="#br2" timeOffset="-12322.75">22531 7310,'-2'32,"-1"1,-14 55,-3 25,0 49,-4-2,-60 189,78-330,5-14,0 1,0-1,-1 0,0 1,0-2,0 1,-1 0,0-1,-4 8,-3-10</inkml:trace>
  <inkml:trace contextRef="#ctx0" brushRef="#br2" timeOffset="-11425.4">22931 7423,'0'60,"-7"194,3-219,-2 1,-1 0,-2 0,-1-1,-18 33,18-42,0-3,-2 1,0 0,-28 37,27-46</inkml:trace>
  <inkml:trace contextRef="#ctx0" brushRef="#br2" timeOffset="-10906.1">22461 8020,'4'0,"4"0,5 0,7 0,4 0,1 0,1 0,-2 0,-1 0,1 0,-2 0,-1 0,1 0,-5 0</inkml:trace>
  <inkml:trace contextRef="#ctx0" brushRef="#br2" timeOffset="-10108.1">23464 8144,'-7'-5,"0"-1,0 1,0 1,-1 0,1 0,-1 1,-1 0,1 0,-1 1,-12-3,-4 0,-2 3,-30-3,47 5,2 0,-1 1,1 0,-1 0,1 1,0 0,0-1,0 2,-1 0,1 1,1 0,-1-1,1 1,0 1,0-1,1 1,-1 1,1 0,-8 8,7-5,1-3,0 3,1 1,0-2,-1 2,2-1,1 1,-1 0,2-2,-1 2,1 0,1 1,0-1,1-1,0 14,1-19,0 0,0 2,1-2,-1 1,1 0,0-1,0 0,1 1,0 0,0-1,5 5,5 6,24 19,-19-20,1 1,1-1,-1-3,2 1,42 18,-45-23,1-1,1 0,-1 1,0-4,1-1,1 1,31 0,-44-3,1-1,-1-1,1 1,-1-1,0 0,0 0,-1-1,0 0,1-2,-1 2,1-1,-1-1,0 0,-1 1,9-9,-2 0,-1-1,0 1,0-3,-1 1,13-25,-21 34,0 0,-1 1,1-2,-1 2,-1-3,1 2,-1 0,0-1,-1 2,1-2,-1 2,-1-3,1 3,-1-2,0 0,-1 2,-3-11,2 8,-1 1,0 0,-1 0,0 1,0-1,0-1,-1 3,0-1,0 1,-2-1,1 0,-14-8,2 3,-1 3,-2-2,-33-12,32 16</inkml:trace>
  <inkml:trace contextRef="#ctx0" brushRef="#br2" timeOffset="-9387.75">24873 7719,'0'10,"0"24,0 14,0 19,-11 11,-7 5,-4-3,2-8,3-17</inkml:trace>
  <inkml:trace contextRef="#ctx0" brushRef="#br2" timeOffset="-8757.84">24841 7671,'32'2,"-1"2,0 0,35 11,4-2,-53-11,140 30,-151-30,-2 0,1 0,-1 0,0 0,1 0,-1 1,0 0,0 0,-1 0,1 0,-1 0,0 2,0-1,0-1,0 0,-1 2,1-1,-1-1,0 2,0 0,-1-2,0 2,1 1,0 7,0 7,0 2,-1-2,-2 3,-4 19,5-39,-2 14,0-1,-1 1,-8 26,9-39,1-1,-1 1,1 0,-1 0,0-1,0 0,-1 1,1 0,-1-2,0 0,0 2,0-2,0 1,0 0,-1-2,1 2,-1-1,1 0,-1 0,-1-1,-5 3,-13-2,1 1,-1-2,1 0,0-2,-29-3,-10 1,39 2</inkml:trace>
  <inkml:trace contextRef="#ctx0" brushRef="#br2" timeOffset="-7554.71">25802 7743,'-1'130,"-23"152,19-243,2-13,-8 33,5-46,6-13,0 0,0 0,0 0,0 0,0 0,0 0,0 0,0 0,0 1,0-1,0 0,0 0,-1 0,1 0,0 0,0 0,0 0,0 0,0 0,0 0,0 0,0 0,-1 0,1 0,0 0,0 0,0 0,0 0,0 0,0 0,0 0,0 0,-1 0,1 0,0 0,0 0,0 0,0 0,0 0,0 0,0-1,0 1,0 0,0 0,-1 0,1 0,0 0,0 0,0 0,0 0,0 0,0 0,0-1,-6-24,3-12,1-2,6-62,-3 87,1-1,1 0,1 0,0 1,0 1,2-1,0 0,1 1,0-1,12-11,-13 17,0 1,0 0,1 2,0-1,0 0,1 1,0 0,1 0,-1 0,0 2,1-1,-1 1,1 1,10-3,1 1,0 1,0 2,-1 0,2 0,31 4,-42-2,-1 1,0 0,-1 0,1 1,-1 1,0-2,0 2,0-1,-1 2,0 0,11 7,-10-5,0-1,-1 2,0-1,0 2,-1-2,-1 2,1-3,-1 3,7 11,-11-17,0-1,0 1,0-1,0 0,-1 1,1 0,-1-1,1 1,-1-1,0 1,0 0,0 0,-1 0,1-1,0 0,-1 0,0 1,0-1,0 1,0-2,0 2,0-1,-1 1,1-1,-1 0,0 0,1 0,-2 0,1 0,0-1,-3 4,-4 0,-2 1,0-1,0 0,-1-1,-22 5,-10 4,43-12,-1 0,0 0,1 0,-1 0,1 1,-1-1,0 0,0 1,1-1,0 0,0 0,0 1,0-1,0 1,0 0,0 0,1-1,-1 1,0-1,1 1,0 0,-2 0,2 0,0 0,0-1,0 1,0 0,0 0,2 0,-2 0,0 0,1 0,1 1,1 7,0-3,2 3,-1-1,1-1,6 9,5 7,1-3,23 23,-33-36,2 1,-1-3,1 1,0-1,-1 1,3-2,-1 1,14 5,-4-4</inkml:trace>
  <inkml:trace contextRef="#ctx0" brushRef="#br2" timeOffset="-7179.86">26855 7906,'0'4,"0"7,0 14,0 12,-3 11,-2 5,-3 0,0-3,1-2,2-7,2-8,1-5,4-7,3-7</inkml:trace>
  <inkml:trace contextRef="#ctx0" brushRef="#br2" timeOffset="-6838.88">27308 7923,'0'2,"0"7,0 5,0 13,0 8,0 3,0 3,0 1,0-4,-3-7,-2-9</inkml:trace>
  <inkml:trace contextRef="#ctx0" brushRef="#br2" timeOffset="-6322.52">27340 7939,'9'0,"0"0,0 0,0 0,0 2,0 0,-1 0,2 0,-2 1,12 6,2-1,1 0,0-2,0-1,0 0,2-1,30 0,148-5,-139-1,-62 2,1 0,-1 0,0 0,0 0,0 0,0 0,1 0,-1 1,0 0,0-1,0 1,0 0,0 0,0 1,0-1,-1 1,1-1,0 0,0 1,2 0,-2 1,-1-1,1 1,0 0,-1-1,0 1,0 1,0-1,0 0,0 0,0 0,-1 7,0 2,0 0,-1-1,-1 0,0 1,-1 0,-5 14,-4-3,0 1,-1 0,-1-1,-1-2,-26 30,39-48,-2 1,0 2,0 0,1-1,-1 1,1 0,1 1,-4 7,2 1</inkml:trace>
  <inkml:trace contextRef="#ctx0" brushRef="#br2" timeOffset="-5777.84">28344 8310,'2'6,"4"-13,4-17,13-44,153-393,-173 455,1-2,0 1,8-11,-12 17,0 1,1-1,-1 1,1-1,-1 0,0 1,1-1,-1 1,1 0,0 0,-1 0,1-1,-1 1,1 0,0-1,-1 1,1 0,0 0,-1 0,1-1,0 1,-1 0,1 0,0 0,0 0,-1 0,1 0,0 0,-1 1,1-1,0 0,-1 0,1 0,0 1,-1-1,2 1,0 0,0 0,-1 1,1 0,0 0,-1 0,1 0,-1 0,2 5,8 17,-2 2,-1 0,-1 0,5 35,5 25,8-8,55 123,-77-195,-2-4,0 0,0 1,0-1,0 0,-1 0,1-1,-1 1,1 0,-1 3,-1-3</inkml:trace>
  <inkml:trace contextRef="#ctx0" brushRef="#br2" timeOffset="-5438.33">28553 7953,'4'0,"5"5,3-1,4 3,3 2,-2 0,1 0,-1 0,2-4,0-2,2-1,-4-5,-1 0,-4-7,6-1,0 0,2-2,-2 1</inkml:trace>
  <inkml:trace contextRef="#ctx0" brushRef="#br2" timeOffset="-5081.63">28949 7808,'0'3,"0"5,0 8,0 13,0 6,-4 5,-4 6,-4 1,-1-5,2-10</inkml:trace>
  <inkml:trace contextRef="#ctx0" brushRef="#br2" timeOffset="-4611.23">29012 7743,'3'0,"0"1,0 0,0 1,0-1,-1 0,1 1,0-1,-1 1,0-1,1 1,2 3,11 7,-6-6,21 9,55 24,-75-37,0 1,0-2,1 0,-1 0,1-1,0 0,-1 0,1-2,-1 2,14-5,32-3,-55 8,0-1,0 1,0 0,-1 1,1-1,0 0,1 0,-1 1,0-1,-1 1,1-1,0 1,0 0,-1 0,1 0,-1 0,1 0,-1 0,1 0,-1 1,1-1,-1-1,0 2,0-1,0 1,0-1,0 1,0 0,0-1,-1 1,1-1,0 1,0 3,0 4,1 2,-1-2,-1 0,-2 20,2-22,-2 7,-1 1,0 0,-2-1,1 1,-14 25,0-3,10-14</inkml:trace>
  <inkml:trace contextRef="#ctx0" brushRef="#br2" timeOffset="-3973.4">29560 7841,'-3'60,"-3"1,-18 79,21-126,1-6,0 1,1 0,0 1,0-2,1 10,0-17,0 1,1 0,-1 0,0 0,1-1,-1 1,1 0,0-1,0 1,-1-1,1 0,0 1,0-1,1 1,-1-1,0 0,1 0,0 1,-1-1,0 0,1-1,-1 1,1 0,0-1,-1 1,1 0,0-1,-1 1,1-1,0 1,0-1,2 0,10 1,0-1,-1 0,1-1,-1-1,2 0,-2 0,0-2,0 0,0 0,20-9,-13 2</inkml:trace>
  <inkml:trace contextRef="#ctx0" brushRef="#br2" timeOffset="-3431.63">29718 7988,'-3'0,"-7"0,-2 0,3 0,6 0,5 0</inkml:trace>
  <inkml:trace contextRef="#ctx0" brushRef="#br2" timeOffset="-3069.36">29517 7704,'3'0,"5"0,3 4,0 0,1-1</inkml:trace>
  <inkml:trace contextRef="#ctx0" brushRef="#br2" timeOffset="-1524.73">22776 8946,'0'11,"0"11,-4 18,-7 14,-3 1,-2 5,-7 8,-4 10,-3 2,-1-7,4-12,5-13,6-17,9-29,7-15</inkml:trace>
  <inkml:trace contextRef="#ctx0" brushRef="#br2" timeOffset="-1120.92">23492 8914,'0'3,"0"5,0 13,0 11,0 7,-4 6,-5 8,-4 7,-7 11,-3 2,-7-3,4-9,6-12,1-15,2-15,3-12</inkml:trace>
  <inkml:trace contextRef="#ctx0" brushRef="#br2" timeOffset="-580.83">22952 9231,'3'0,"6"0,7 0,4 0,8 0,4 0,10 0,3 0,-2 3,-5 1,-5 3,-5 0,-7 3,-4 1,0-4,0-1,-4-3</inkml:trace>
  <inkml:trace contextRef="#ctx0" brushRef="#br2" timeOffset="363.76">23937 9435,'-1'60,"3"65,-2-123,0 2,0-2,0 1,1-2,-1 2,1 0,0-1,0 1,0-1,1 0,-1 1,1-1,2 4,-3-5,0-1,0 0,0 1,0 0,1-1,-1 1,0-1,0 0,1 1,-1-1,0 0,1 0,-1 0,0 0,1 0,-1 0,0 0,0 0,1 0,-1-1,0 1,1-1,-1 1,0-1,0 1,0-1,0 1,1 0,-1-1,1-1,10-5,4-1,0-1,-1-1,19-15,-29 21,-1-1,1 2,-2-3,1 1,-1 1,0-1,0 0,0 0,-1 0,0 0,0 1,0-2,-1 0,2-9,-3 8,1 1,-1-2,0 1,-1 0,0 1,0 0,-1-1,0 1,0-1,0 0,-1 1,0 0,0 0,-1 1,0-1,-8-9,2 5</inkml:trace>
  <inkml:trace contextRef="#ctx0" brushRef="#br2" timeOffset="1149.58">24613 9565,'1'0,"-1"0,1 0,-1-1,1 1,0 0,-1 0,1-1,-1 1,1-1,-1 1,1 0,-1-1,1 1,-1-1,1 1,-1 0,0 0,1-1,-1 1,0-1,1 0,-1 1,0-1,0 1,1-1,-1 0,0 1,0-2,3-19,-2 17,3-143,0-1,-2 129,1 1,0 0,2 2,0-1,1-1,9-18,-14 34,1-3,0 1,1 1,-1-1,1 0,0 0,0 2,0-2,0 1,6-4,-8 7,-1 0,2 0,-2 0,1-1,0 1,-1 0,1 0,0 0,-1 0,1 0,-1 0,1 0,0 0,-1 0,1 0,0 0,-1 0,1 1,-1-1,1 0,0 0,-1 0,1 0,-1 0,1 1,-1-1,1 0,-1 1,1-1,-1 1,0-1,1 1,-1-1,1 1,-1-1,0 1,0-1,1 1,-1 0,0-1,0 1,0-1,1 1,-1 0,0-1,0 2,6 32,-6-32,3 73,-13 123,3-92,4-63,0-20,2-3,1 3,4 30,-4-52,1 1,-1 0,0 0,1-1,-1 1,1-1,0 1,0 0,0-1,0 1,0 0,0-1,0 0,0 0,1 0,-1 1,0-1,1 0,2 2,-1-1,0-1,-1 0,1-1,0 1,0 0,0-1,0 0,0 1,0-1,0 0,4-1,9-1,-3 0,1-2,-1 0,16-6,-26 9,26-11,-1 0,1-2,-1-1,35-27,-43 29,-1-3,0 0,-2-1,-1-2,-1 3,18-27,-27 33,-1-1,0 2,0-1,-1-1,-1 1,0-1,3-11,-2-7</inkml:trace>
  <inkml:trace contextRef="#ctx0" brushRef="#br2" timeOffset="1668.42">25532 9221,'0'47,"-2"83,0-106,-1 0,-1-1,-12 35,13-49,0 0,1-1,0 1,0 0,0 18,2-24,0-2,0 1,1 1,-1-1,0 0,1 0,0 1,-1-2,1 1,0 0,0 0,0 1,0-2,1 1,-1 0,1-1,-1 1,1-1,-1 1,1-1,0 1,0-1,0 1,0-1,0 0,0-1,0 1,0 0,0-1,3 2,4-1,-1 0,2 0,-1 0,0-1,-1-1,1 1,0-1,-1-1,1 0,15-4,3-3,-3-1,27-13,-44 19,-1 0,0 1,0-1,0-1,9-7,-3-2</inkml:trace>
  <inkml:trace contextRef="#ctx0" brushRef="#br2" timeOffset="2085.85">25687 9370,'76'1,"92"-2,-158 0,0 0,0 0,-1-1,1 0,-1 0,1-1,16-9,-23 12,0-1,-1-1,1 0,0 0,-1 1,1-2,-1 1,0 1,0-1,0-1,0 1,0-1,0 0,-1 2,1-1,-1-1,0 0,0-1,0 2,0-1,-1 0,1 0,-1 0,1 0,-1 0,0 0,-1-5,-3-10</inkml:trace>
  <inkml:trace contextRef="#ctx0" brushRef="#br2" timeOffset="2471.51">25525 9142,'4'0,"7"0,6 0,9 0,4 0,7 0,0 0,-4 0,-3 0,-4-3,3-2,1-3,-3 1</inkml:trace>
  <inkml:trace contextRef="#ctx0" brushRef="#br2" timeOffset="3212.99">26126 9109,'356'0,"-353"0,0 0,0 0,0 0,-1 1,1-1,0 1,0 0,-1-1,1 1,1 1,-2-1,1 0,2 1,-4-1,1 1,-1-1,0 1,0-1,0 1,0 0,0 0,0-1,0 0,0 1,0 0,-1 0,1 0,-1 0,0 0,1-1,-1 0,0 1,0 0,0 4,-2 1,1 4,-1-2,-1-1,0 2,0-2,-1 1,0 0,-2-1,-6 9,-6 9,-33 33,22-30,-1-3,-60 42,41-31,47-35,0-1,0 0,0 0,0 1,1-1,-1 1,0 0,1 0,0 0,-1 0,1-1,0 1,-1 4,1-5,1-1,0 1,1-1,-1 1,0-1,0 1,0-1,0 1,0-1,0 0,1 0,-1 0,0 1,0-1,1 1,-1-1,0 0,1 2,-1-2,0 0,1 1,-1-1,0 0,1 1,20 6,24-4,-1-1,76-5,-58 1,-54 2,-1 0,0 0,0-1,1 0,-1-1,1 1,-1-1,9-4,6-8</inkml:trace>
  <inkml:trace contextRef="#ctx0" brushRef="#br2" timeOffset="3749.4">26776 9538,'1'0,"0"-1,0 1,0 0,-1-1,1 1,0 0,0-1,0 1,-1-2,1 2,0-1,-1 0,1 1,1 0,-2-1,1 1,-1-1,1 0,-1 0,1 0,9-20,-6 15,235-394,-238 398,3-5,0 2,1-2,0 2,8-10,-12 14,0 1,0-1,0 0,-1 0,1 1,0-1,0 1,0-1,0 1,0-1,0 1,0-1,0 1,0 0,1 0,-1-1,1 1,-1 0,0 0,0 0,0 0,0 0,0 0,1 1,-1-1,0 0,0 1,0-1,0 0,0 1,0 0,0-1,0 1,0-1,0 1,-1 0,1 0,0-1,0 1,0 2,7 7,0 1,-1 1,-1 0,0 1,-1 0,7 24,-2-8,63 199,-47-140,-13-46</inkml:trace>
  <inkml:trace contextRef="#ctx0" brushRef="#br2" timeOffset="4144.31">26882 9376,'11'0,"10"0,5 0,11 0,3 0,5 0,0 0,7 0,2 0,-4 0,-8 0,-8 0,-5-6,-7-3</inkml:trace>
  <inkml:trace contextRef="#ctx0" brushRef="#br2" timeOffset="4494.31">27684 9064,'0'10,"-3"20,-5 12,-9 10,-8 11,-3 3,-1-5,1-10,5-10,7-17,6-14</inkml:trace>
  <inkml:trace contextRef="#ctx0" brushRef="#br2" timeOffset="5074.63">27618 9289,'55'0,"-16"1,-1-1,0-1,1-2,58-13,-74 9,39-9,119-18,-175 34,1-1,-1 1,1 0,0 0,-1 1,15 2,-19-2,0-1,-1 1,1-1,0 0,0 2,-1-1,1 0,-1 0,1 0,-1 0,1 1,-1-1,0 0,0 1,1-1,-1 0,0 0,0 1,0-1,-1 1,1 0,0 0,-1-2,1 2,-1 0,1-1,-1 1,0-1,0 4,0 1,-1 2,0-2,0 1,-1-1,0 1,0-1,-6 11,-31 47,17-28,-41 81,51-93</inkml:trace>
  <inkml:trace contextRef="#ctx0" brushRef="#br2" timeOffset="14062.27">5666 2070,'2'-1,"0"1,0-1,0 1,0-1,0 0,-1 0,0 0,1 0,2-3,5-1,202-132,75-23,-282 159,-1-1,1 0,0 1,-1-1,1 1,0 0,-1 0,1 0,0 0,0 1,5-1,-6 2,1-1,0 1,-1 0,0 0,0 0,1 1,-1-1,0 1,0 0,-1-1,1 0,-1 2,1-1,2 3,4 4,-1 0,-1 2,0-3,0 2,-1 1,0 0,0 0,-1 0,-1 0,-1 1,4 17,1 15,1 73,-9-112,11 104,-6-72,-2 0,-2 69,-1-104,-1 1,0 0,1-1,-1 1,0-1,0-1,-3 6,4-6,0-1,0 1,-1-1,1 1,0-1,0 1,-1-1,1 0,-1 1,1-1,0 1,-1-1,1 0,-1 1,1-1,-1 0,1 0,-1 0,1 0,-1 0,1 0,-1 0,1 0,-1 0,1 0,-1 0,1 0,-1 0,0 0,1 0,-1 0,1 0,-1 0,1 0,-1 0,1 0,-1 0,1 0,-1-1,1 1,-1 0,0-1,-5-6</inkml:trace>
  <inkml:trace contextRef="#ctx0" brushRef="#br2" timeOffset="15176.74">6087 2359,'0'-3,"1"0,-1 1,1-1,-1 0,1 1,0-1,0 1,1 0,-1 0,0-1,3-3,26-25,-8 4,79-108,-65 85,47-87,-61 95,-20 39,0 0,0 0,0 0,0 0,0 0,0 1,1-1,0 1,-1 0,2-1,-1 1,0 0,0 0,1 0,-1 0,5-2,-4 4,-1-1,0 1,1 0,-1 0,0 0,0 0,1 0,-1 1,0-1,0 1,0 0,1 0,-1 0,0 1,1-1,-2 1,1-1,0 1,2 3,8 4,0 2,-2 0,1 2,-2-1,1 0,-1 0,-1 3,13 26,-15-26</inkml:trace>
  <inkml:trace contextRef="#ctx0" brushRef="#br2" timeOffset="18265.27">6621 1369,'0'-3,"0"1,0-1,0 0,0 1,1-1,-1 0,1 1,0-1,0 1,0 1,0-2,0 0,0 1,3-3,-2 3,-1 1,1-1,0 0,1 1,-1 0,0 0,1-1,0 1,-1 1,0-1,1 1,-1-1,1 1,-1 0,1-1,3 1,6 0,-1 0,0 0,0 1,0 0,0 0,0 2,-1-1,15 7,-21-7,0-1,0 1,1 0,-1 0,0 1,0-2,-1 1,1 1,-1 0,0 0,0 0,0-1,0 2,-1-1,1 1,-1-1,0 2,0-1,0 0,-1-1,1 1,-1 1,1 4,-1-4,-1 0,0 0,0 0,0-1,-1 2,0-1,0-1,0 1,0 0,-1-1,0 2,0-1,0-1,-1 0,0 1,-5 5,3-6,0 0,0 1,0 0,-1-2,-1 1,1 0,0-1,0 0,-1-1,1 1,-12 3,6-3,10 2,20 4,32-2,-6-5,-25-2,1 1,29 4,-31 0</inkml:trace>
  <inkml:trace contextRef="#ctx0" brushRef="#br2" timeOffset="19349.18">7281 1805,'-8'7,"0"-1,-2 1,-13 8,-9 4,11 0,1-2,2 1,0 3,-1-1,-13 24,12-16,14-19,0-1,1 3,-1-1,2-1,0 1,0 0,1 1,-1 12,1-2,1-1,1 0,3 29,-2-46,1 1,-1 0,1 0,0-1,0 1,0 0,1-1,2 5,-3-7,0 2,0-2,0 0,0 0,0 0,1 0,-1 0,0 0,1 0,-1 0,0 0,2 0,-2 0,1-1,0 1,-1-1,1 1,-1-1,1 1,0-1,3 0,15-1</inkml:trace>
  <inkml:trace contextRef="#ctx0" brushRef="#br2" timeOffset="20415.77">7403 1907,'-11'125,"1"-11,9-102,1 0,0 0,0 2,4 16,-3-27,-1 2,1-2,0-1,0 1,1-1,-1 1,0 0,1 0,0-1,-1 0,1 1,0-1,0-1,1 2,-1-2,0 1,1 0,0 0,0-1,4 4,10 0,1 0,0 0,1-3,-1 1,0-1,2 0,-1-2,0 0,24-4,-33 2,0 1,-1 0,0-2,0 0,-1 0,1-1,-1 1,1-2,0 0,-2 1,14-11,-18 13,0 0,0-1,-1 0,1 2,-1-2,0 0,0-1,0 1,0 0,-1 0,1 0,-1-1,0 1,0 0,0-1,0 1,-1-1,1 2,-1-2,0-1,0 2,0 1,-1-2,1 0,-1 1,0 0,0 0,0-1,-1 1,1 0,-1 0,-2-4,-1 0,-1 0,1 2,-1-1,0 0,-1 2,1-1,-2 0,1 0,-1 1,1 0,-1 1,-11-4,-1 0,-2 1,1 0,-37-4,-46 4,80 6</inkml:trace>
  <inkml:trace contextRef="#ctx0" brushRef="#br2" timeOffset="21326.93">7996 1727,'1'0,"0"0,0 1,-1-1,1 0,0 1,0-1,-1 0,1 1,0-1,-1 1,1-1,-1 1,1 0,0-1,-1 1,1 0,-1-1,0 2,1-1,-1 0,0-1,1 1,-1 0,0-1,0 0,1 1,-1 0,0 1,3 26,-2-23,-1 7,-1-1,0 0,0 0,-1 1,-1-1,-6 17,9-25,-1-1,0-1,1 1,-1-1,1 1,-1 0,1 1,0-1,0 0,0 0,0 0,0 0,1 0,-1 0,1 0,-1 0,1 1,0-2,0 1,0 1,0-1,2 3,0-3,0 0,0 1,0-1,1 0,-1 0,1 0,-1-1,2 0,-1 1,0-1,6 2,178 33,29 7,-210-41,0 0,-1 0,1 1,-1 0,2 0,-2 0,0 1,0 2,0-3,-1 2,0 0,0-1,7 9,-10-9,1 0,-1 0,0 0,0 0,-1 0,1-1,-1 1,0 1,0-1,0 0,-1 0,1 1,-1-2,0 3,-1-2,1 0,-1 0,0 1,0-1,0 0,-1 0,-2 6,2-6,0 1,-1-2,1 2,-1-1,0 0,0-1,-1 1,1-1,-1 1,1-2,-1 2,0 0,0-2,-1 1,1-1,-1 0,1 0,-2 0,1 0,0-1,0 0,1 0,-1 0,0-1,-1 0,1 0,0 0,0 0,0 0,0 0,0-1,0 0,-1-1,2 1,-2-1,1 0,1 0,-1-1,1 2,1-2,-5-4,-18-17,5 0</inkml:trace>
  <inkml:trace contextRef="#ctx0" brushRef="#br2" timeOffset="21990.43">8035 1666,'4'0,"8"0,9 0,4 0,7 4,2-1,2 2,-4-2,-6 0</inkml:trace>
  <inkml:trace contextRef="#ctx0" brushRef="#br2" timeOffset="22922.46">8495 2165,'-5'0,"-3"0,-9-4,-4 0,-2 0,-3 1,3 0,0 1,-1 2,2-1,1 1,-1 0,1 1,1-1,-1 0,3 0</inkml:trace>
  <inkml:trace contextRef="#ctx0" brushRef="#br2" timeOffset="24305.67">8885 1577,'-1'0,"0"0,1 1,-1-1,0 0,1 1,-1-1,1 0,-1 1,1-1,-2 0,1 1,1-1,-1 1,1-1,0 1,-1-1,1 1,-1 0,1-1,0 0,0 0,-1 1,1 1,-7 18,6-15,-6 21,1 0,2 0,-2 31,5 81,1-85,2 349,-2-399,0 0,0 0,0 0,-1-1,1 1,-1 0,1 0,-1 0,-1 0,1 0,0-1,-1 1,1 0,-4 2,3-3,0 0,0 0,0-1,-1 1,1-2,0 1,-1 0,1 0,-1 0,-1 0,2 0,-1-1,0 1,1-1,-1 0,-4 0,-78-2,66 2</inkml:trace>
  <inkml:trace contextRef="#ctx0" brushRef="#br2" timeOffset="26873.69">8143 1650,'4'0,"7"0,7 0,7 0,6 0,2 3,-2 1,-2 0,-2 0,-3-2,-3 0,2-1,-6 1,-1 3,-4 2,-3 2</inkml:trace>
  <inkml:trace contextRef="#ctx0" brushRef="#br2" timeOffset="27472.09">8512 2195,'-3'0,"-9"2,-17 7,-6-1,-10 3,3 0,-2 0,0-1,1 0,4 1,5-4,6-2,5-2</inkml:trace>
  <inkml:trace contextRef="#ctx0" brushRef="#br2" timeOffset="28291.7">7355 1852,'4'-3,"0"-5,4-1,4 1,-1-2,3 2,-2 0,1-2,1 0,2 1,-1-2,0 2,1-1,2-1,-3 2,-3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116 0,'-6'105,"-39"200,25-200,-11 195,31-291,1-6,-1 0,0-1,0 2,0-1,0 0,-1-1,1 1,-1 0,0 1,0-1,0-1,0 1,-3 4,-1-5</inkml:trace>
  <inkml:trace contextRef="#ctx0" brushRef="#br0" timeOffset="1">390 253,'0'5,"0"4,0 14,0 9,0 8,0 5,-4 10,-2 1,1 1,1-4,1-7,-3-9,-1-6,-3-4,0-3,-3-5,1-6</inkml:trace>
  <inkml:trace contextRef="#ctx0" brushRef="#br0" timeOffset="2">42 624,'4'0,"6"0,5 0,5 0,2 0,7 0,2 0,0 0,0 0,-3 0,-4 0</inkml:trace>
  <inkml:trace contextRef="#ctx0" brushRef="#br0" timeOffset="3">788 601,'-36'0,"1"1,-1 2,-47 10,64-9,1 1,-1 1,2 0,-1 2,1 0,0 1,-29 20,40-24,0 0,1-1,0 2,1-1,-1 1,0-1,1 2,0-2,1 2,0-1,0 1,0-1,1 2,0-2,0 2,1-2,0 2,0-2,1 2,0 7,0-11,1 2,0-2,0 2,0-1,0 0,1 0,0-1,0 1,0 1,1-3,0 2,0 0,0-1,0 0,1 0,0-1,0 1,0 0,0 0,0-2,0 1,1 0,0 0,0-1,0 0,0 0,7 2,-1-1,0-1,0 0,0-1,0 0,0 0,0-1,0 0,0-1,0-1,19-3,-17 1,0-1,-1 1,1-2,-1 0,0-1,0 1,-1-3,12-8,-12 8,0 0,0-1,-2 0,1-1,-1 0,14-22,-20 26,0 1,0-1,-1 1,0-1,0 0,0 0,-1 0,0 1,-1-2,0 1,0 0,0 0,-1-1,-1 2,-1-10,-4-3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112 517</inkml:trace>
  <inkml:trace contextRef="#ctx0" brushRef="#br0" timeOffset="1">11 865,'-4'4,"-2"1</inkml:trace>
  <inkml:trace contextRef="#ctx0" brushRef="#br0" timeOffset="2">695 493,'-1'8,"-1"-2,0 2,0-1,-1 0,1 0,-2 0,1-1,-2 1,-8 10,3-2,-15 22,-3-2,0 0,-41 35,-108 84,107-95,36-29,20-19</inkml:trace>
  <inkml:trace contextRef="#ctx0" brushRef="#br0" timeOffset="3">695 493,'-1'6,"1"-1,-1 0,-1 1,1-2,-4 10,-4 17,3 9,3-1,1 1,6 48,-4-86,1 1,-1 0,1-2,0 2,-1 0,1-1,1 1,-1-1,1 0,-1 0,0 0,1 0,0 1,-1-1,1-1,0 1,0-1,0 1,0 0,0-1,1 1,-1-1,1 1,-1-2,0 1,1 0,0 0,-1-1,1 1,0-1,-1 1,1-1,6 0,-1 0,1 0,-1-1,0 0,1 0,-1-1,1 1,-1-1,0-1,15-6,-10 1,1 1,-2-2,1 1,-2-1,2-2,-3 1,1 0,-1-1,11-18,3-7,33-72,-47 87,3-1,-13 22,1 0,-1 0,0 0,0 0,0 0,1 0,-1 0,0-1,0 1,0 0,0 0,1 0,-1 0,0 0,0 0,0 0,1 0,-1 0,0 0,0 0,0 0,1 0,-1 1,0-1,0 0,0 0,1 0,-1 0,0 0,0 0,0 0,0 0,0 1,1-1,-1 0,0 0,0 0,0 0,0 1,0-1,0 0,0 0,1 0,-1 0,0 1,0-1,0 0,0 0,0 0,0 1,0-1,3 45,-4 28,-1-34,2-1,11 74,-6-88</inkml:trace>
  <inkml:trace contextRef="#ctx0" brushRef="#br0" timeOffset="4">1328 401,'4'0,"6"0,6 0,9 0,7 0,9 0,5 0,-6 4,0 1,-2 0,-5-1,-2-2,-3 0,-2 4,-1 0,1-2,-6 0</inkml:trace>
  <inkml:trace contextRef="#ctx0" brushRef="#br0" timeOffset="5">1429 586,'4'0,"7"0,4 0,5 0,4 0,0 0,3 0,-1 0,0 4,1 2,-2-2,2 0,-2-1,1-1,-2-1,-3 0</inkml:trace>
  <inkml:trace contextRef="#ctx0" brushRef="#br0" timeOffset="6">2265 308,'0'-7,"0"2,0-2,1 1,-1 0,2-1,-1 2,1-2,2-5,-3 10,1 0,-1 0,1 0,0 0,0 0,0 0,0 0,0 0,0 2,0-2,1 1,-1 0,0-1,1 1,0 0,-1 0,1 0,0 1,0-1,0 1,-1-1,6 1,0-1,-1 1,1 0,-1 0,1 1,0 0,-1 0,1 0,-1 1,0 0,0 1,0-1,0 1,10 5,-13-5,0-1,0 2,0-1,0 1,-1-1,1 0,-1 2,0-1,0-1,0 2,-1-1,0 0,1 1,-1-1,0 0,-1 1,0 0,0 0,0 0,0 4,-1 2,1 2,1-2,0 0,0 0,5 11,-4-17,-1 1,1-2,0 1,1 0,-1-1,1 1,0 0,0-2,2 2,-2-1,11 6,3 1,-7-4,0-1,0 2,-2-1,18 17,-25-21,0 0,0 0,0 0,1-1,-2 1,1 0,-1 1,0-1,0-1,0 2,0-1,-1 1,1-2,-1 2,0-1,0 1,0-2,0 2,-1-1,0 1,0-1,-2 6,0-4,-1 1,1 0,-1-1,0 0,0 0,0-1,-1 1,0 0,0-2,0 2,0-1,-1-1,1 0,-2 0,1 0,0 0,0-1,-1 0,1 0,-12 2,-13 1,-1-1,1-1,-34 0,61-3,-49 2,1-2,-1-2,0-2,1-3,-60-13,83 12</inkml:trace>
  <inkml:trace contextRef="#ctx0" brushRef="#br0" timeOffset="7">3431 191,'-2'-2,"-2"0,1 1,1 0,-1-1,0 1,0-1,0 1,0 0,0 0,-1 0,-4 0,-42-2,32 2,-13-1,-86-2,102 4,-1 1,0 1,1 0,-1 1,-17 5,28-6,-1 1,1-1,0 1,0 0,0 0,1 1,-1-1,1 1,-1 0,1 0,0 0,0 1,1-1,0 1,0 0,0-1,1 2,0-1,0 0,-2 10,0 0,2 0,0 0,0 0,2 1,0-1,3 22,-2-33,1-1,-1 1,1 0,0 0,0-1,0 1,0 0,1-1,-1 0,1 0,0 1,0-1,0-1,1 1,-1-1,1 1,1-1,-2 0,1 0,0 0,0-1,5 2,6 3,0-2,1 0,-1 0,32 1,-31-3,1-2,0 0,0-1,0 0,0-1,-1 0,29-10,-36 10,1-2,-1 0,0-1,0 1,0-2,0 1,-1-1,0 0,-1-1,1 0,-2 0,1 0,10-14,-10 6,1 0,-2 0,0 0,-1 0,4-27,-7 142,-2-52,1-12,-2 0,-10 62,6-75</inkml:trace>
  <inkml:trace contextRef="#ctx0" brushRef="#br0" timeOffset="8">3964 191,'-6'2,"0"-1,0 1,1 0,-1 1,1-1,0 0,0 1,0 1,-7 4,-2 0,5 0,0-2,0 3,0-2,1 2,-1-1,2 1,0 1,0-1,1 1,1 1,0-1,0 0,1 0,-3 13,-2 7,3-2,1 2,2 0,0 34,3-59,0 1,0-1,1 1,0-1,0 1,0-1,1 0,0 1,0-1,0 0,1 0,0 0,1 0,-1 0,0-1,1 0,8 8,-6-7,1 0,0-1,1 1,-1-1,2-1,-1 0,0 0,0 0,0 0,0-2,18 3,21 0,-2-2,73-7,-108 5,0-2,-1 1,1-1,-1 0,1 0,0-2,-1 1,-1 0,1-2,0 1,-1-1,0 0,15-12,-12 7,-1-1,-1 0,0-1,1 1,-2-1,-1 0,0-1,6-15,-4 5,1 1,-3-1,0-1,3-29,-8 41,-2 1,0-1,0 1,-1-1,-1-1,0 2,-1 0,0-1,-1 1,-10-18,-8-11,-37-48,27 42,27 39,0 1,1 1,-1-1,0 1,-9-8,11 11,0-1,-1 1,1 0,-1 0,1 1,-2 0,1 0,0 0,1 0,-1 0,0 0,-5 0,-16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102 22,'-2'1,"0"-1,0 1,1 0,-1 0,0 1,1-1,-1 0,1 0,-1 1,1-1,0 1,0-1,0 0,0 1,0 0,0-1,0 1,0 0,1 0,-1 2,-2 1,-11 27,1 1,2 0,-11 67,15-42,2 89,6-125,-1-22,0 0,0 0,0 1,0-1,0 0,0 0,0 1,0-1,0 0,0 0,0 0,0 1,0-1,1 0,-1 0,0 0,0 0,0 0,0 0,0 0,0 1,1-1,-1 0,0 0,0 0,0 0,0 0,1 1,-1-1,0 0,0 0,0 0,1 0,-1 0,0 0,0 0,1 0,-1 0,0 0,0 0,0 0,1 0,-1 0,0 0,0 0,1 0,-1 0,0 0,0 0,1 0,9-8,-9 7,16-15</inkml:trace>
  <inkml:trace contextRef="#ctx0" brushRef="#br0" timeOffset="1">474 0,'0'4,"0"15,0 14,0 6,-4 1,-6 9,-1-1,1-4,3-6,-2-7,0 0,-1 1,-5-1,-3-4,1-9</inkml:trace>
  <inkml:trace contextRef="#ctx0" brushRef="#br0" timeOffset="2">77 324,'5'0,"4"0,6 0,5 0,2 0,3 0,1 0,-4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0 698,'30'0,"-1"0,1-2,0 0,0-2,42-12,-20 1,250-65,-299 79,1 0,-1 1,1-1,0 1,0 0,0 0,-1 0,1 0,0 0,-1 1,1 0,-1-1,1 1,-1 1,0-2,2 1,3 4,-6-3,0 0,0 0,0-1,0 2,0-1,-1 0,1 1,-1-1,0 0,1 1,-1-1,-1 1,1 0,0-1,-1 1,1 0,-1-1,0 0,0 1,0 0,0 0,-1 3,-2 8,0 1,-1-1,0 0,-1-1,-1 1,-15 24,8-18</inkml:trace>
  <inkml:trace contextRef="#ctx0" brushRef="#br0" timeOffset="1">1148 444</inkml:trace>
  <inkml:trace contextRef="#ctx0" brushRef="#br0" timeOffset="2">1072 791</inkml:trace>
  <inkml:trace contextRef="#ctx0" brushRef="#br0" timeOffset="3">1607 467,'1'12,"-1"-1,-1 0,0 1,-1-1,0 0,-1 0,0 0,-1 1,0-2,-1 1,-2-1,2 0,-2-1,1 2,-2-2,-8 8,-17 14,-2-1,-1-3,-53 33,18-12,60-41,0 1,1 0,-12 15,10-10</inkml:trace>
  <inkml:trace contextRef="#ctx0" brushRef="#br0" timeOffset="4">1607 537,'0'12,"0"-2,0 0,0 1,1 0,1-1,4 17,-5-24,0 0,1 0,-1 0,2-1,-1 0,0 1,0 0,0-1,0 1,1-2,-1 1,1 0,-1 0,1 0,0 0,0 0,0-1,0 0,0 0,1 0,-1 0,0 0,6 0,2 1,-1-1,2-1,-2 0,1 0,0-1,0-1,-1 0,1 0,0 0,-1-1,0 0,-1-2,2 2,-2-2,0 0,0 0,10-7,12-11,0-1,-2-2,29-32,-58 57,1 1,-1-1,0 1,1-1,-1 1,1 0,-1 0,1-1,0 1,-1-1,1 1,0 0,-1-1,2 1,-1 0,-1-1,1 1,0 0,-1 0,3 0,3 9,-5 28,-2-29,1 15,-1-8,0 2,1 0,2-2,-1 2,2 0,0-1,1-1,11 27,-6-24,-3-3</inkml:trace>
  <inkml:trace contextRef="#ctx0" brushRef="#br0" timeOffset="5">2475 421,'195'11,"-32"1,-80-12,-29 0,2 2,63 10,-95-9,-15-2,0 0,0 0,-1 1,0 0,0 0,1 0,-1 2,0-1,15 8,-19-3,-6-1</inkml:trace>
  <inkml:trace contextRef="#ctx0" brushRef="#br0" timeOffset="6">2654 652,'82'1,"196"-6,-213 1,0-2,79-18,-141 24,0-1,0 1,0-1,0 0,1 0,-2-1,1 1,0 0,-1 0,1 0,-1-1,1 0,-1 0,3-2,1-9</inkml:trace>
  <inkml:trace contextRef="#ctx0" brushRef="#br0" timeOffset="7">3138 145,'-1'40,"-2"0,-2 0,-12 39,-42 116,7-27,36-77,4-25,6-40</inkml:trace>
  <inkml:trace contextRef="#ctx0" brushRef="#br0" timeOffset="8">3802 213,'3'-1,"0"0,0 0,0 0,-1 0,1 0,0 0,-1-1,0 0,1 0,2-3,18-8,-10 8,1 1,-1 1,1 1,0-1,0 2,0-1,1 2,-1 0,-1 1,2 0,-1 1,0 0,22 6,-32-5,0 0,1-1,-1 2,0-1,0 0,-1 1,0 0,0 0,0-1,0 2,0-1,-1 0,3 7,4 7,9 35,-17-50,0 1,-1 0,1-1,-1 0,1 1,-1 0,0-1,-1 1,1-1,-1 1,1-1,-1 1,0-1,-1 1,1-2,-4 8,2-6,-1 0,1 1,-1-2,-2 1,2 0,0-1,-1 1,0-1,0 0,-6 3,9-5,-2 0,2 0,0 0,0 1,0-1,0 0,0 0,0 1,1 0,-1 0,0 0,1 0,-1-1,-1 4,3-3,0-1,0 1,0-1,0 0,1 0,-1 0,0 0,1 1,-1-1,0 0,1 0,0 1,-1-1,1 0,0 0,-1-1,1 1,0 0,0 0,0 0,0 0,0 0,0 0,0 0,0-1,1 1,-1 0,2 0,13 7,-2 0,-1 2,1-1,-1 1,-1 1,12 12,-21-19,1 1,-2-2,1 2,0 0,-1-2,0 2,0-1,1 1,-2 1,0-2,0 1,0 0,-1 0,1 0,-1-1,0 2,-1-1,0-1,1 2,-2-2,1 1,-1 0,-3 5,2-4,-1 1,0-2,0 1,-1-1,0 1,0 0,-1-2,0 2,1-3,-1 2,-1 0,1-2,0 1,-2-1,1 0,0-1,0 1,0-1,-13 3,-8 0,-1 0,0-2,-54-1,47-3,1-2,0-1,0-2,-48-14,53 13</inkml:trace>
  <inkml:trace contextRef="#ctx0" brushRef="#br0" timeOffset="9">5002 237,'0'-2,"0"0,-1 1,1 0,-1-1,0 0,1 1,-1-1,0 0,0 1,0-1,0 2,0-2,0 1,0-1,-1 1,0 0,1 0,-1 0,1 0,-1 0,0 0,1 1,-1-1,0 0,1 1,-1-1,-2 0,-7-2,-1 1,1-1,-13 2,22 0,-152-8,132 9,0 1,-1 1,1 1,-42 10,58-11,0 0,-1 0,0 1,1 0,0 0,1-1,-1 2,1 0,0 0,-1 0,1 1,0-2,1 3,0-1,-6 8,6-6,1 0,0 0,0-1,1 2,0-1,0 1,1-1,0 0,1 1,0-1,0 1,2 11,-2-16,1 0,-1-1,1 0,0 1,0-1,0 1,0-1,2 0,-2 1,1-1,-1 0,1 0,0 0,0 0,0 0,3 2,0-1,-1-1,1 1,0 0,2 0,-2-1,0-1,10 3,8 0,-1-1,1-2,27 0,-39-1,7 1,0-1,0-1,0 0,0-1,-1-1,0-1,1 1,-1-2,0-1,-1 0,0-2,30-15,-43 21,26-11,-28 13,-1 0,1-1,0 1,0 0,-1 0,1 0,0 0,0 0,-1 1,2-1,-1 0,-1 0,1 0,0 0,0 0,-1 0,1 1,-1-1,1 0,0 1,-1-1,1 1,-1-1,1 1,-1 0,1-1,-1 1,1-1,-1 1,0 0,1-1,-1 1,0 0,0-1,1 1,-1 0,0 0,0-1,0 1,3 12,-1-1,-1 1,0-1,-1 1,0 0,-5 22,0-7,-2-1,-12 27,10-30</inkml:trace>
  <inkml:trace contextRef="#ctx0" brushRef="#br0" timeOffset="10">5513 282,'-1'3,"0"-1,-1 0,1 0,0 0,-1-1,1 0,-1 1,0 0,0 0,1-1,-1 1,-3 0,-9 9,5-1,1 0,0 1,0 1,0-1,2 1,0 0,1 0,-6 19,6-15,-1-1,2 2,1-1,-1 31,3-42,1-2,1 2,-1 0,1-1,0 1,0-1,0 0,0 1,1-1,0 0,0 0,0 0,2-1,-2 2,1-2,0 0,0 1,0 0,1-1,-1-1,1 1,7 5,2-3,-1 1,1-2,0 1,0-1,0-2,2 1,-2 0,20 0,116-3,-79-3,-65 3,1 0,0-1,-1 0,1 0,-1 0,0-1,0 2,0-2,0-1,1 1,-2-1,1 1,-1 0,0-2,1 1,-1 0,-1 0,1-1,1 0,-2 1,0-2,0 1,0 0,-1 0,3-6,2-3,-1-1,0 0,0-1,-2 1,0-1,-1 1,-1-1,0 0,-1 0,-1-1,-1 2,0-1,-1 0,-1 0,0 0,-1 2,-8-19,-4-5,-1 2,-3 0,-1-1,-2 3,-37-42,53 68,1-1,-1 2,0-1,0 1,-2 0,1 0,-11-6,14 10,0 0,-1-1,1 1,0 2,0-2,0 1,0 0,0 0,-1 0,0 1,1 0,-1 0,1 0,0 1,-6 1,-12 3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823 674,'0'40,"11"75,-9-99,2 0,0-1,1 1,0-1,1 0,1-1,14 23,-19-33,1 0,0 0,0-1,1 1,-1-1,1 0,-1 1,1-2,0 1,0 0,0-1,1 0,-1 0,0 0,1 0,-1-1,1 0,0 0,-1 0,1 0,0-1,0 0,5 0,-2-1,-1 0,1-1,-1 0,1 0,-1-1,0 1,0-2,0 1,0-1,-1 0,1 0,-1-1,10-9,-1-1,0 0,-1-2,0 0,-2 0,0-1,0-1,-2 0,-1-1,0 0,-1 0,8-35,-13 33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243 445,'0'8,"0"6,0 8,0 13,0 4,0 6,0 1,0-13,0-11</inkml:trace>
  <inkml:trace contextRef="#ctx0" brushRef="#br0" timeOffset="1">498 558,'-4'7,"-6"8,-6 4,-12 7,-11 2,-12 6,-1-2,-2 0,2-2,4 1,6-1,6-5,8-4,6-4,6-6</inkml:trace>
  <inkml:trace contextRef="#ctx0" brushRef="#br0" timeOffset="2">858 512,'-4'0,"0"0,-1 0,1 0,0 1,0-1,0 1,0 0,0 0,0 0,1 1,-1-1,-1 1,2-1,0 1,-1 0,1 0,0 1,0-1,0 0,0 1,1 0,-1-1,1 1,-2 1,2-1,-3 6,-6 13,1 3,0-2,2 1,1-1,-6 52,11-59,0 1,-2 1,1 0,-10 26,10-82,3-24,1 32</inkml:trace>
  <inkml:trace contextRef="#ctx0" brushRef="#br0" timeOffset="3">755 491,'9'-2,"2"2,-2-2,1 0,-1 0,1 0,-1-1,15-7,-16 7,-2-1,1 2,1-1,0 1,0 0,0 0,0 1,0 0,2 1,-2-1,0 1,9 1,-11 0,-1-1,0 1,0-1,0 2,-1-1,1 1,-1 0,2 0,-2-1,0 2,0 0,0 0,0-1,0 1,0 0,-1 1,1-2,-1 2,0 0,0-1,0 1,-1 0,0 0,0 1,0-2,0 2,-1-1,1 0,-1 1,-1-1,1 1,-1-1,0 8,1-5,-1 1,0 0,-1-1,0 1,-3 13,3-19,0 0,0 0,0 0,-1 0,1 0,0 0,-1 0,1-1,-1 1,0-1,1 1,-1-1,0 1,0-1,0 0,-1 1,0-1,1 0,0-1,0 1,-1-1,1 2,0-2,-4 0,-15 3,2-2,-28-2,44 1,-25-1</inkml:trace>
  <inkml:trace contextRef="#ctx0" brushRef="#br0" timeOffset="4">1597 354,'5'0,"5"4,6 1,8 4,15 4,3 0,8-3,6-2,-2-4,-1-1,-4-2,-4-1,-7 0,-4-1,-9 5,-9 5,-6 0</inkml:trace>
  <inkml:trace contextRef="#ctx0" brushRef="#br0" timeOffset="5">1752 718,'-5'0,"4"0,6 0,11 0,11 0,6 0,0 0,0 0,-1 0,-2 0,-2 0,-2 0,-3 0</inkml:trace>
  <inkml:trace contextRef="#ctx0" brushRef="#br0" timeOffset="6">2392 421,'5'0,"5"0,5 0,5 0,3 0,2 0,2 0,0 0,-1 0,0 0,0 0,0 0,0 0,0 0,-1 0,1 0,-4 0</inkml:trace>
  <inkml:trace contextRef="#ctx0" brushRef="#br0" timeOffset="7">3160 36,'-1'0,"-1"0,1-1,0 1,0-1,-1 0,1 0,0 0,0 1,0-2,0 2,0-2,1 1,-1 1,0-1,-1 0,2 0,-1-1,1 1,-2-3,1-7,1 10,0 1,0 0,0 0,0-1,1 1,-1 0,0 0,0 0,0-1,1 1,-1 0,0 0,0 0,1-1,-1 1,0 0,0 0,1 0,-1 0,0 0,2 0,-2 0,0 0,0 0,1-1,-1 1,0 0,1 1,-1-1,0 0,1 0,-1 0,0 0,0 0,1 0,-1 0,1 0,10 4,0 0,1 1,-2 0,1 1,-1-2,17 15,52 47,-62-50,-1-1,-2 0,1 2,15 24,-25-32,0 0,0 0,-1 1,-1 0,0 0,0 0,-1 0,-1 0,2 1,-3 19,-3-16,1 2,-1-2,-1 2,-1-2,0 1,-1-1,0 0,-3 0,1-2,0 2,-1-1,-2-1,0 0,-17 15,3-4,-3-1,1-2,-2 0,-1-2,-59 27,34-28,45-14,0 0,1-1,0 2,0 0,-15 8,24-12,0 1,0-1,0 0,0 0,0 0,0 1,1-1,-1 0,0 1,0-1,1 1,-1-1,0 0,0 1,1-1,-1 0,0 1,1-1,-1 0,0 0,1 1,-1-1,1 0,-1 0,0 0,1 0,-1 1,1-1,-1 0,1 0,-1 0,1 0,-1 0,1 0,20 5,72 10,96 4,-151-17</inkml:trace>
  <inkml:trace contextRef="#ctx0" brushRef="#br0" timeOffset="8">3645 694,'4'0,"2"5,-1 4,-1 4,-1 6,-5 1,-3 2,-12 17,-10 10,-2-5,-3-5,7-9</inkml:trace>
  <inkml:trace contextRef="#ctx0" brushRef="#br0" timeOffset="9">3772 604,'1'-7,"0"1,1 0,-1-1,1 1,0-1,2 1,-1 0,6-9,33-45,-41 58,19-23,1 3,2 0,-1 0,2 2,0 0,1 1,32-16,-55 33,-1 1,1 0,-1 0,1 0,0 1,-1 0,1-1,0 0,0 1,-1-1,1 1,0 0,0-1,0 1,1 0,-1 0,-1 0,1 0,0 1,0-1,0 0,0 1,-1 0,1-1,0 1,0-1,-1 1,1 0,0 0,-1 0,1-1,-1 2,0-1,1 1,-1-1,0-1,0 2,0-1,1 1,-1 0,0-1,0 1,0-1,-1 1,2 2,2 9,1-1,-2 1,0 1,2 20,-5-32,8 259,-8-92,5-145,-1-11,-4-13,0 0,0 0,0 0,0 0,0 0,0 1,0-1,0 0,0 0,0 0,1 0,-1 0,0 2,0-2,0 0,0 0,0 0,0 0,0 0,0 0,1 0,-1 0,0 0,0 0,0 0,0 0,0 0,0 0,1 0,-1 0,0 0,0 0,0 0,0 0,0 0,1 0,-1 0,0 0,0 0,0 0,0 0,1 0,-1 0,0 0,0 0,0 0,0 0,5-6</inkml:trace>
  <inkml:trace contextRef="#ctx0" brushRef="#br0" timeOffset="10">4463 377,'65'2,"103"17,-7 1,60-14,-218-6,0 0,-1 1,1-1,0 1,0 0,-1 0,1 0,0 0,0-1,-1 1,1 1,-1-1,0 1,0 0,1 0,-1-1,2 4,0-1,-1 0,-1 1,2-1,-2 1,0-1,0 1,0-1,1 9,0 2,-2-1,0 1,0 0,-2-1,-3 23,-3 3,-4 1,-1-2,-1 1,-3-2,-2 1,-2-1,-1-1,-2-2,-2 1,-1-3,-56 55,77-84,0 1,-1 0,1-1,-1 0,0-1,0 1,-1 0,1-2,-1 1,0 1,1-3,-2 1,1-1,0 1,-10 0,-5-2</inkml:trace>
  <inkml:trace contextRef="#ctx0" brushRef="#br0" timeOffset="11">4540 899,'591'0,"-569"0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6625 1,'0'65,"-20"556,-3-399,-78 903,66-315,2-119,15-395,-31 275,-4-200,-17 180,12-61,7-70,-3-18,17-139,24 34,6-37,-1-155,3-24,-29 138,20-155,10-38,-10 34,11-54,0 3,-1-2,0 1,0-1,-1 1,0 0,0 0,-8 4,-3 4</inkml:trace>
  <inkml:trace contextRef="#ctx0" brushRef="#br0" timeOffset="1">1 5104,'15'1,"2"0,20 4,17 3,336 4,-177-9,776 47,7 27,-994-76,610 61,-180-15,-306-37,1896 157,-1638-142,430 12,292-35,570 15,-1622-16,1310 60,-361-7,0-26,-654-12,-347-16,34 1,-21-4,-15 3,0 0,0 0,0-1,1 1,-1 0,0 0,0-1,0 1,0 0,0-1,0 1,0 0,0-1,0 1,0 0,0 0,0-1,0 1,0 0,0-1,0 1,0 0,0-1,0 1,0 0,0 0,0-1,-1 1,1 0,0-1,0 1,0 0,-1 0,1 0,0-1,0 1,0 0,-1-1,-27-16,-10-1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3911,'33'31,"-21"-19,0 0,1 0,0-1,0-3,2 3,26 13,-3-7,0-6,3 2,-1-3,0 1,3-5,58 7,169-10,-81-1,-69 10,-70-6,50-1,-45-4,-35 1,0-1,1-2,0 0,0-1,40-9,-42 4,-2 0,0-1,0-2,21-14,6-2,-10 2,0-1,0 0,30-32,-29 24,76-50,-58 44,62-52,-44 32,-20 20,71-36,26-23,-101 62,-1-1,64-66,-88 79,-2-1,-1 0,0-2,-3 0,-2-1,16-37,32-88,59-181,-70 81,-25 93,7-15,42-166,-58 267,-8 34,26-67,11-12,26-47,-57 133,2 3,1-1,26-30,82-125,-43 59,31-24,-13 21,-48 68,1-1,133-111,-185 173,2-1,1-1,0 0,0 0,0 1,0-1,0 1,1-1,-1 1,1 1,-1-1,0 1,14-2,4 2,49 2,-34 0,173 12,-179-9,1 2,-1-1,0 4,40 16,31 18,159 95,-246-127,0 1,-1-2,-1 2,0 2,-1 0,0-2,-1 3,16 27,5 10,26 74,-26-57,14 44,44 141,-76-192,9 69,-12-52,27 339,-37 2,1 33,2-394,2 0,3-2,25 86,3-6,-20-67,4-2,33 76,-9-39,16 33,-45-106,1 2,4-3,0 1,1-3,3 1,0-3,3 0,-1-3,60 43,61 34,32 3,-158-92,7 5,1-5,1 2,0-1,2-2,-1-3,3-1,34 6,250 46,110 13,-293-66,-90-6,1 2,85 16,67 16,-63-10,-81-15,-14 0,0-3,57 5,434-10,-250-3,-268 2,1-1,0-1,-2 0,1-1,0 0,0-1,0 0,-1-1,0 1,20-13,-15 7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122 168,'-1'6,"0"0,0 0,-1 0,0 1,0-2,-6 12,-4 11,-29 77,25-70,-15 54,30-86,0 0,0-1,1 1,-1 0,1 0,0-1,0 1,0 0,0 0,0-1,0 1,1 0,-1 0,1-1,0 1,0-1,0 1,0 0,1-1,-1 0,1 1,-1-1,1 0,0 0,0 0,0 0,0 0,0 0,0 0,0-1,1 1,-1-1,6 2,-4-1,1 0,0-1,1 0,-1 0,0 0,0-1,0 0,1 0,-1 0,0 0,0-1,0 0,0 0,0 0,0-1,0 0,8-3,6-6,1 0,-1-1,22-19,-36 26,0 0,0 1,-1-1,1-1,-1 1,0-1,0 0,-1 1,0-2,0 1,0 0,-1-1,0 1,0-1,1-7,0-37,-5-68,0 39,2 76,0-1,0 1,-1-1,1 1,-1-1,0 1,-1-1,1 1,-1 0,0 0,0 0,0 0,0 0,-1 0,0 0,-5-5,3 4,-1 1,0 0,0 0,0 0,0 1,-1-1,0 2,1-1,-1 1,-7-2,-54-13,47 11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4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4025 758,'-6'-2,"0"0,0 0,0 0,0-1,1 0,0 1,-10-7,11 6,-199-129,49 31,25 21,-5 4,-177-72,240 121,1 3,-1 1,-2 4,0 3,0 2,-144-9,-183 4,-301-9,56 30,626-1,1 0,0 2,-1-1,2 2,-1 0,-31 12,-102 51,108-47,20-7,-1-2,1 3,1 0,-22 19,32-23,0 2,2-2,-1 1,2 2,0 0,1-2,-14 30,14-18,0 1,2-1,1 1,2 0,0 1,2 30,-1-17,-9 52,3-35,4 0,4 101,2-61,0-66,1 2,2-2,2 1,0-1,2-1,1 0,3 1,-1-2,4 0,-1-1,2-1,1 0,2 0,1-2,25 23,-30-32,167 144,-183-157,30 22,1 0,1-1,50 24,4-9,2-3,2-4,1-4,3-3,148 19,489 16,-512-47,-183-9,831 16,-833-19,0-3,1 1,-2-2,0-3,54-16,-73 19,0-1,0-1,-1 2,1-3,-2-1,1 1,-1 1,-1-4,1 3,-2-3,0 0,0 1,-1-2,13-19,35-79,15-25,63-143,-98 198,-24 40,-1 0,-1-2,-3 1,3-61,-11 100,2-20,6-62,-8 73,-1 3,1-1,-1 0,-1 1,-1-1,1 0,-5-9,4 13,1 2,-2-2,1 2,0-3,-1 3,-1 0,1 0,-7-6,7 6,-14-10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4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2969 1393,'-4'0,"-1"3,-5 11,-6 9,1 8,4 8,-2-3,2-4,2-4,3-2,-1 2,-1 0,3-4</inkml:trace>
  <inkml:trace contextRef="#ctx0" brushRef="#br0" timeOffset="1">2030 2147,'4'0,"6"0,6 0,4 0,2 0,4 0,0 0,1 0,-5 0</inkml:trace>
  <inkml:trace contextRef="#ctx0" brushRef="#br0" timeOffset="2">2436 2010,'0'-1,"1"0,-1-1,1 2,-1-1,1 0,0 0,-1 1,1-1,0-1,0 2,0-1,-1 0,1 1,0-1,0 1,0 0,0-1,2 0,24-10,-24 10,13-5,1 2,0 0,0 1,0 0,0 2,1 0,-1 1,29 1,-42 0,1 0,-1 1,0-1,1 1,-1 0,0 0,0 0,0 0,-1 1,0-1,1 0,-1 1,0 0,0 0,0 1,-1-2,1 2,-1-1,0 1,0-1,0 1,2 5,2 5,-1-1,-1 1,0 0,3 28,-7-35,1-2,-1 0,-1 2,1-1,-1 0,0-1,0 2,-1-2,0 0,0 1,0 0,-1-1,-5 7,-2 1,-1-1,0-1,-24 20,30-27,4-3,-2 1,2-1,-1 0,1 0,0 0,0 1,-1-2,1 2,0 0,0 0,1-2,-1 3,0-1,0 0,1 0,0 0,-1 0,1-1,0 1,0-1,0 1,0 0,0 0,0 0,0 0,1 0,0 2,1-1,0-1,-1 0,1 0,0 1,1 0,0-1,-1 0,1 1,-1-1,1-1,0 0,1 0,-1 1,-1-1,2 1,2 0,0 0,0 0,1 0,-1 0,0-1,2 0,-2 0,1-1,0 1,12-3,-1-2</inkml:trace>
  <inkml:trace contextRef="#ctx0" brushRef="#br0" timeOffset="3">2918 2285,'4'0,"2"3,-1 5,-1 7,0 3,3-2,1 1,-3 1,-1 2,-1 2,-1 0,3-3,0-10,1-5</inkml:trace>
  <inkml:trace contextRef="#ctx0" brushRef="#br0" timeOffset="4">3197 2147,'1'-4,"1"0,0 1,0-1,0 1,1-1,-1 1,1-1,0 1,0 0,0 0,1 2,-1-3,6-2,0-1,29-21,1 1,80-41,-113 64,0 2,0-1,0 1,0 0,9-2,-14 4,1-1,-1 1,0 0,0 0,1 0,-1 0,0 0,0 0,2 0,-2 0,0 1,0-1,0 0,1 1,-1-1,0 1,0-1,0 0,0 1,0-1,0 1,0 0,0 0,0 1,0-2,0 1,-1 0,1 0,0-1,-1 1,1 0,-1 0,1 0,0 2,1 4,0 1,0-1,0 0,-1 1,-1 0,1-1,-1 1,-1 0,1-1,-3 10,-3 8,-17 42,9-32,7-13</inkml:trace>
  <inkml:trace contextRef="#ctx0" brushRef="#br0" timeOffset="5">3755 1918,'80'0,"89"0,-165 0,0 1,0-1,-1 0,1 1,0 0,0 0,-1 0,1 0,-1 1,1 0,-1-1,0 0,1 1,0 0,-1 2,0-3,3 4,-4-1,1 0,-1 0,0 0,0-1,-1 2,1 0,-1-2,0 2,0-1,0 0,-1 1,0-1,0 6,1 0,-1-1,-1 2,0-1,0-1,-1 1,0 0,-1-1,0 0,-1 2,0-2,0-1,-1 1,-1-1,0 2,0-3,-1 1,0 0,0-1,-11 9,1-2,3-1</inkml:trace>
  <inkml:trace contextRef="#ctx0" brushRef="#br0" timeOffset="6">3932 2123,'4'0,"11"0,7 0,-1 0</inkml:trace>
  <inkml:trace contextRef="#ctx0" brushRef="#br0" timeOffset="7">2944 1096,'0'4,"0"4,0 7,0 3,0 7,0 3,0-1,0 1,0-1,0-1,0-1,0-2,0-1,0 1,0-1,0 1,0-1,0-2</inkml:trace>
  <inkml:trace contextRef="#ctx0" brushRef="#br0" timeOffset="8">2842 1164,'0'5,"0"3,0 7,-5 3,0 2,-5 3,-5 0,-3 2,0-1,5-1,-2-3,-1-3,1-3</inkml:trace>
  <inkml:trace contextRef="#ctx0" brushRef="#br0" timeOffset="9">2663 1026,'-4'0,"-5"5,-7 4,-3 6,-5 2,-1 0,-4 1,-7 3,-2 1,5 0,9-1,4 0,2 1,-1 0,3 0,3 0,5-2</inkml:trace>
  <inkml:trace contextRef="#ctx0" brushRef="#br0" timeOffset="10">2157 1051,'-5'0,"0"4,-5 1,-4-1,-2 4,1 1,-4 1,-1 4,-4-1,0 2,4 1,-5-1,0-4,1 2,-2-1,0 2,2-2,7 1</inkml:trace>
  <inkml:trace contextRef="#ctx0" brushRef="#br0" timeOffset="11">1878 1026,'-4'0,"-6"5,-6 1,-5 2,-5 2,-4-2,-2 1,1 4,1-1,1 1,6 4,3-3,0 1,0-1,1-6</inkml:trace>
  <inkml:trace contextRef="#ctx0" brushRef="#br0" timeOffset="12">1472 867,'-17'1,"1"1,-1 1,-1 1,2 0,0 0,0 1,-24 11,13-5,-37 9,-126 22,-49 13,210-48</inkml:trace>
  <inkml:trace contextRef="#ctx0" brushRef="#br0" timeOffset="13">76 68,'0'4,"0"9,0 18,0 7,0 14,0 4,0-2,-4-3,-1-7,-1-6,2-14,1-19,1-10</inkml:trace>
  <inkml:trace contextRef="#ctx0" brushRef="#br0" timeOffset="14">0 115,'0'-8,"0"1,1 0,0-1,0 1,1 0,0-1,1 1,3-9,-4 13,-1 0,1 2,0-1,-1-1,1 1,0-1,1 1,-1 0,1 0,0-1,-1 2,1-1,0 2,0-2,-1 1,1 0,0-1,0 1,0 0,1 1,-1-1,0 0,4 1,2-1,0 2,0-1,0 1,-1 1,2-1,-2 2,1-1,-1-1,0 2,9 5,1 1,-1 0,0 2,20 15,-33-24,-1 2,1 0,-1 1,1-2,-1 2,-1-1,1 1,-1 0,0 0,0-1,0 1,-1 0,0 1,0-2,1 1,-1 0,-1 2,0-3,-1 0,1 2,-4 8,3-10,1 1,-1 0,-1-1,1-1,-1 1,0 0,0 0,0 1,0-1,-1-1,1-1,-1 2,0 1,0-3,-1 2,1-2,-1 1,0-1,0 0,0 1,0-1,0 0,0 0,-1 0,-7 2,-11-2,2-1</inkml:trace>
  <inkml:trace contextRef="#ctx0" brushRef="#br0" timeOffset="15">711 229,'0'4,"-4"0,-6 6,-14 6,-13 6,-16 11,-6 2,-13 4,2 0,9-8,11-8,9-9,12-2,11-5</inkml:trace>
  <inkml:trace contextRef="#ctx0" brushRef="#br0" timeOffset="16">407 593,'0'-2,"0"-1,0 1,1-1,-1 1,1-1,0 0,0 1,0-1,0 1,0 0,0-1,1 0,-1 2,1-1,0 0,-1 0,1 0,0 0,0 0,1 1,-1-1,0 1,1-1,-1 0,1 2,-1-2,1 2,0-1,3 0,-2 0,0 0,0 0,-1 1,1-1,0 1,0 0,0 0,-1 0,1 1,0 0,0-1,-1 1,1 0,0 1,-1-2,2 2,-2 0,0-1,1 1,4 4,-3-1,0 0,-1 1,1-1,-1 1,-1-2,1 4,-1-3,0 2,-1-1,1 1,-2-1,1 0,-1 1,0 0,0 0,-1 11,0-12,0 1,-1 0,0-2,0 2,0-1,-1 1,0-1,-1 0,1 0,-1 0,-1 0,1 0,-1-1,0 0,0 0,-1 0,-7 7,6-8,3-2,0 0,0 0,0 1,0-2,1 2,0-1,-1 1,-1 2,4-4,0-1,0 1,-1-1,1 1,0-1,0 1,0-1,0 1,0 0,0-1,0 1,0-1,0 1,0-1,0 1,1-1,-1 1,0-1,0 0,0 0,1 1,-1 0,19 10,9-2,-1-2,2 0,-1-1,35 2,-33-6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3620 1491,'2'35,"8"40,1 13,-8 202,-3-186,0-94</inkml:trace>
  <inkml:trace contextRef="#ctx0" brushRef="#br0" timeOffset="1">2883 2594,'4'0,"6"0,5 0,6 0,1 0,3 0,5 0,3 2,-2 4,-4 5,-4-2,-5 2,-1 0,-5-2</inkml:trace>
  <inkml:trace contextRef="#ctx0" brushRef="#br0" timeOffset="2">3442 2548,'0'-1,"0"0,1 0,-1 0,1 0,-1 0,1 1,-1-1,1 0,-1 0,1 0,0 0,-1 1,1-1,0 0,0 1,-1-1,1 1,0 0,0 0,0 0,0 0,0-1,0 1,0 0,0 0,0-1,2 1,30-3,-27 3,1 0,0 1,-1 0,1 1,0-1,0-1,-1 2,0 1,0 0,0 0,0 0,-1 0,4 0,-4 0,0 2,6 6,-5-5,2 2,-2-1,1-1,0 4,-2-2,0 1,0 0,-1 0,5 12,-2 0,-2-1,1-1,2 34,-8-44,0-2,0 1,-1 0,0-2,0 2,-1-1,0-1,-1 2,0-2,0 1,0 0,-1 0,-7 10,6-12,0 1,0 1,0 0,-7 14,11-20,1 1,-1 0,0-1,1 2,-1-2,1 1,0 0,0-2,0 2,0 0,0-1,0 1,0 0,1 0,-1 0,1 0,-1 0,1 0,0 0,0-1,2 4,4 3,-1-1,1-2,1 2,-1-2,1 0,0 1,1-1,0-1,-1 1,1-2,20 7,9 2,66 7,-71-14,51 11,-57-6</inkml:trace>
  <inkml:trace contextRef="#ctx0" brushRef="#br0" timeOffset="3">7901 1835,'0'10,"0"3,0 7,0 9,0 5,0 6,0 5,0 7,0-1,0-4,0-7,0-10</inkml:trace>
  <inkml:trace contextRef="#ctx0" brushRef="#br0" timeOffset="4">7952 2960,'99'-1,"-29"-1,-3 3,85 11,-148-12,0 1,1 0,-1 0,1 0,-1 0,1 1,-1-1,0 1,0 0,0 0,0 0,-1 1,1 0,-1-2,1 2,-1 0,0 0,0 1,0-2,0 1,-1 1,0-1,0 1,0 0,0-1,-1 2,0-2,1 1,-1 1,-1-1,1-1,0 10,0 0,0 1,-1 0,-1 0,0-1,-1 1,0-1,-9 27,6-30,0 1,0-1,-1 1,0-4,-1 4,0-3,-1 1,-1 0,1-1,-13 8,-25 19,21-18,1 1,-29 29,50-45,1 1,0 0,-1 1,1-2,1 1,-1 0,0 0,1 0,-1 1,1 1,0-4,0 3,1 0,-2 4,2-6,0 0,0 0,2-1,-2-1,1 2,0-1,-1 1,1-1,0 0,0 1,0-1,0 0,0 0,0 0,0 0,1 1,-1-1,0 0,1 0,-1 0,1 0,-1 0,1-1,0 1,-1 0,1-1,0 1,-1-1,1 0,0 1,1-1,19 3</inkml:trace>
  <inkml:trace contextRef="#ctx0" brushRef="#br0" timeOffset="5">3620 827,'-1'106,"3"124,3-189,16 58,-12-58,7 64,-10-63,-1-27</inkml:trace>
  <inkml:trace contextRef="#ctx0" brushRef="#br0" timeOffset="6">7926 895,'1'0,"1"1,-1-1,0 1,0-1,0 1,0 0,0-1,0 1,0 0,0-1,0 1,-1-1,1 1,0 0,0 0,-1 0,1 0,0 0,-1 0,1 0,-1 0,0 0,1 2,-1-2,0 0,0 0,1 3,3 32,-3-31,0 167,-3-110,3-1,15 86,-8-84,-3 0,-4-2,-6 74,-11-23,7-65,-3 6,11-50,0 1,-1 1,0 0,0-1,0 1,0-2,-1 1,0 1,-5 4,-6 0</inkml:trace>
  <inkml:trace contextRef="#ctx0" brushRef="#br0" timeOffset="7">4665 641,'4'0,"0"0,-1-1,1 0,0-1,-1 1,1 0,-1 0,1-1,2-3,13-2,148-57,282-75,-435 134,-3 1,2 1,-1 1,0 0,26-3,-36 5,0 0,0 0,0 0,0 1,0-1,0 0,0 1,0 0,0-1,0 1,0 0,0 0,4 0,-4-1,-1 1,1 0,0 1,-1-1,1 0,-1 1,1 0,-1-1,0 1,0 1,0-3,0 2,0 0,0-1,0 1,-1 0,1 0,0 0,-1 0,0-1,1 4,-1 3,1 0,-2 3,1-3,-1 1,-1-1,0 2,0-2,-7 16,-9 7,-15 30,7-17,-144 251,151-263</inkml:trace>
  <inkml:trace contextRef="#ctx0" brushRef="#br0" timeOffset="8">6193 804,'5'0,"4"0,9 0,1 0,4 3,3 2,-1-1,2 6,-1-2,2-1,-3-2,-2-6,-9-2</inkml:trace>
  <inkml:trace contextRef="#ctx0" brushRef="#br0" timeOffset="9">7010 506,'1'15,"0"1,7 25,3 15,-9-18,-1-2,-2 3,-1-3,-4-1,0 4,-2-3,-15 40,18-64,0-3,-2 2,1 1,-1-1,0-1,0 0,-2 0,0-1,1 1,-19 11,24-17,-1 0,0-3,-1 2,0-1,0 1,0-1,0 1,0 0,0-3,-1 1,0 0,1 1,-1-1,1-1,-1 1,1-1,-1 0,1 0,-2-1,2 0,-1 0,1 0,-1-1,1 2,0-1,0-2,-5-2,0 0,1 1,0-3,1 0,0 0,-1 1,2-1,0-2,2 2,-1-1,0-1,0 3,-8-23,11 22,0 1,1 0,0-2,0 1,0-1,1 0,0 0,1 0,0 0,0 4,1-6,0 2,0 1,1 0,0-1,0 1,5-9,-4 14,-1-1,0 1,1-1,-1 0,0 1,1-1,0 1,-1 1,1-1,0 0,0 0,0 1,0-1,0 1,0-1,1 1,-1-1,1 2,0-1,-1 0,1 1,-1 0,1 0,-1 0,1 0,-1 1,5 0,2 1,0 0,0 0,-1 1,0 0,1 0,-1 0,0 1,14 9,25 14,-33-19,0 2,0-1,-1 3,14 8,16 24,60 87,-66-83,-21-26</inkml:trace>
  <inkml:trace contextRef="#ctx0" brushRef="#br0" timeOffset="10">2065 24,'0'22,"0"1,-2-2,-2 3,0-2,-8 23,9-37,0 3,-1-4,0-1,-1 4,0-2,0 0,-2 0,1-2,-1 3,0-2,0-4,0 4,-1 0,-1-1,-8 4,1 0,-1-2,0 1,0-2,0-1,-1-2,-1 3,0-3,0-1,1 0,-36 2,49-5,2-1,-3 0,2 0,1 0,-1 0,1 0,-1-1,1 1,-1 0,1-1,0 0,0-1,0 0,-1 0,1 2,-2-5,4 5,0 1,0-1,1 0,-1 0,1 0,0 0,-1 0,1 0,0 0,-1 0,1 0,0 0,0-1,0 1,0 0,0 0,0-1,0 1,0 0,1-1,-1 1,1-1,-1 1,1 0,0 0,0-1,0 1,1-1,-1 0,0 1,1 0,-1 0,2 0,-2 0,1 1,-1-1,1 1,0-1,2 0,2 0,0-1,1 1,0 0,1 0,0 1,-1-1,-1 2,1-1,-1 1,1 0,0 0,10 3,9 3,44 20,-49-19,20 11,-1 2,-2-2,57 40,-93-58,4 4,-1 1,2-2,-1 0,0 0,1-2,-1 2,1 0,-1-3,2 1,-1 0,0 0,11 1,4-4</inkml:trace>
  <inkml:trace contextRef="#ctx0" brushRef="#br0" timeOffset="11">2753 1,'0'8,"0"6,0 8,0 10,-4 6,-2-1,-4 5,0-1,-4 5,-6 9,-6-1,-5 3,0-8,8-12</inkml:trace>
  <inkml:trace contextRef="#ctx0" brushRef="#br0" timeOffset="12">2856 343,'0'-3,"0"-1,0-1,1 2,-1-2,1 0,0 2,1-2,-1 2,1-3,1 2,-1 1,0-1,2 0,-2-1,1 2,0-1,6-1,-6 3,0-1,0 1,0-1,1 1,-1 1,1-1,0 1,-1 0,2 1,-1-1,0 1,0-1,0 1,-1 0,1 0,0 0,-1 0,1 1,0-1,0 0,8 3,-7-1,0 0,0 2,-1-1,1 0,-1-2,1 2,-1-1,0 2,0 0,1 1,-2 0,5 3,36 61,-38-57,-3-5,0-2,0 4,0-2,-1 3,-1-4,1 3,-1 0,-1-4,1 3,-2 2,1-2,-1-1,-4 18,5-23,-1-1,1 1,0-1,0 1,0-1,1 1,-1 0,0 0,1 0,-1 0,1-1,0 0,-1 0,1 1,0 1,0-2,0 0,0 1,1-1,-1 1,0-1,1 0,-1 1,1-1,-1 0,1 0,-1 0,5 2,5 1,-1 1,0-2,0 0,14 0,9 4,-16-2,-1 0,1-1,1-1,27 2,-25-4</inkml:trace>
  <inkml:trace contextRef="#ctx0" brushRef="#br0" timeOffset="13">9405 252,'-1'6,"1"2,-2-3,1 0,-1 1,0 2,0-3,-1 1,0 1,0-2,-7 9,-2 1,-29 32,21-29,0 1,-2 1,-3-6,1 4,0-4,-37 19,26-19,1 1,-2-3,1-4,-59 14,7-9,1-4,2-3,-155-8,230 2,0-1,1-1,-2 1,1-1,-15-7,22 9,1 0,-1-1,1 0,-1 1,1-1,-1 0,0 0,1 1,0-1,-1 0,1 0,0 0,0 0,0 0,0 0,0 0,0-1,0 1,1 0,-1-1,0 1,1-1,-1 1,1-1,-1 1,1-1,0 0,0 1,0-1,0 1,0 0,0 0,0-1,0 1,1 1,-1-2,0 1,1 0,0 0,0-2,1 0,0 1,-1 0,1 0,0 0,0 0,2 0,-2 0,0 1,1-1,-1 1,1-1,-1 1,1 0,-1 0,1 0,0 1,5-1,54-5,-52 6,23 0,2 0,-2 2,-1 2,1 1,44 14,156 54,-172-51,-52-18,68 26,-69-28,-1 4,0-1,0 0,-1-1,1 1,-1 1,8 11,-3-5</inkml:trace>
  <inkml:trace contextRef="#ctx0" brushRef="#br0" timeOffset="14">10068 367,'0'4,"0"6,0 7,-4 10,-6 13,-6 5,-13 9,-12 6,-8 2,-8 6,4-3,5-10,12-12,11-15</inkml:trace>
  <inkml:trace contextRef="#ctx0" brushRef="#br0" timeOffset="15">10400 757,'0'-3,"0"2,0-1,0 1,0 0,0-1,2 2,-2-2,1 2,0-2,-1 0,1 1,0-1,0 0,0 1,0-2,0 2,0 0,0-1,1 2,-1-1,2-2,0 2,0-1,0 0,0 1,0 0,1 0,-1 0,0 0,1 0,-1 1,7-1,2 1,0 1,1 0,0 1,-1 0,15 5,-21-5,-1-1,-1 2,1-1,-1 2,0-1,0 0,0 0,0-2,-1 2,1 1,-1 0,0 0,1 0,-2 1,0-2,1 3,-1-3,0 2,-1 0,1-1,1 5,-1 0,0 1,0 0,-1 0,0-1,-1 0,0 1,-1-1,0 0,-4 20,1-24,0 3,0 1,0-2,-2 1,0-1,0 0,0 0,-1-1,1-1,-1 1,-1-1,-9 6,8-4,1 0,-1 0,1-1,0 0,0 3,1-1,-11 16,18-23,-1 0,1 0,-1 0,1 0,0 0,-1 0,1 0,0 0,0 1,0-1,0-1,0 1,0 0,0 0,0 0,0 0,1 0,-1-1,0 0,1 1,-1 0,0 0,1-1,-1 1,2 2,0-1,0 0,0-1,1 2,-1-2,0-1,1 2,-1-1,1 1,4 1,9 1,0 0,29 3,-36-6,39 3,77-1,-99-4</inkml:trace>
  <inkml:trace contextRef="#ctx0" brushRef="#br0" timeOffset="16">8335 1055,'0'13,"0"16,0 7,-4 12,-10 11,-12 9,-10 5,-7 3,-4-6,0-5,2-7,6-4,6-12,10-15</inkml:trace>
  <inkml:trace contextRef="#ctx0" brushRef="#br0" timeOffset="17">8590 1379,'0'3,"0"8,0 8,0 10,0 10,0 10,-4 2,-6 12,-6 6,-4-3,-3-11,2-10,8-20,8-10</inkml:trace>
  <inkml:trace contextRef="#ctx0" brushRef="#br0" timeOffset="18">9049 1468,'0'4,"0"10,0 6,0 9,0 10,0-6,0 0,-4-3,-2-5</inkml:trace>
  <inkml:trace contextRef="#ctx0" brushRef="#br0" timeOffset="19">9405 1491,'0'5,"0"5,0 7,0 6,0 8,0 9,-4 0,-6 3,-2 4,-2-6,1-5,-1-3,0-5,8-11,13-11,7-8</inkml:trace>
  <inkml:trace contextRef="#ctx0" brushRef="#br0" timeOffset="20">9939 1676,'0'5,"0"3,0 5,0 6,0 7,0 0,0 4,0-3,0 0,0-3,0 1,0 1,0-10</inkml:trace>
  <inkml:trace contextRef="#ctx0" brushRef="#br0" timeOffset="21">10934 1700,'0'2,"0"8,0 4,0 5,0-1,0 7,0-1,0 3,-4-1,-2-4,-3 1,-6-3,-8-9,-9 1,-7 2,-11 3,3-4</inkml:trace>
  <inkml:trace contextRef="#ctx0" brushRef="#br0" timeOffset="22">3544 1170,'0'16,"-1"2,0-3,-1 1,-1 0,-7 17,6-23,-1 1,0-1,0 1,-1-1,-1-1,1 0,-3-1,-9 14,0-7,0-1,-1 0,1-1,-4-1,-36 18,17-13,-1 0,-50 10,67-19,2-4,-2 1,-27 1,25-5</inkml:trace>
  <inkml:trace contextRef="#ctx0" brushRef="#br0" timeOffset="23">3034 1240,'-4'0,"-7"0,-4 4,-4 5,-9 5,-2 4,-1 7,-6 7,-5 2,3-4,2-1,7-10</inkml:trace>
  <inkml:trace contextRef="#ctx0" brushRef="#br0" timeOffset="24">2295 1286,'-13'3,"-9"1,-8 3,-14 0,-6 1,0 3,3-1,11-2</inkml:trace>
  <inkml:trace contextRef="#ctx0" brushRef="#br0" timeOffset="25">1656 1354,'-5'3,"-5"7,-4 1,-9 3,-7-5,-1 6,2 2,-1-5,2 1,0-6,7-4</inkml:trace>
  <inkml:trace contextRef="#ctx0" brushRef="#br0" timeOffset="26">1021 1308,'-13'5,"-12"-1,-11 2,-11-2,-7-1,-4 3,-5 0,-5 2,-8 1,-1 3,-3-1,-1 0,4-7,6 0,6-4,11 0,11 0,11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1028 1,'-1'7,"0"1,0-1,-1 0,0 1,0-1,-1-1,0 2,-4 6,-36 52,38-59,-31 42,-3-1,-3-2,-1-2,-54 43,7-17,-134 81,202-137,1-2,-1 0,-1-2,-30 11,47-19,0 0,0-1,0 0,0 1,-1-1,1-1,0 1,-1-1,1 0,-1-1,1 1,0-1,-1-1,1 1,0 0,0-1,0 0,0-1,0 0,1 1,-1-1,-5-4,1-2,1 1,1 0,0 0,0-2,1 0,0 1,1-1,0 0,0-1,1 1,1-1,0 0,1 0,0-1,1 1,0 0,1-1,1 0,0 1,2-20,-2 27,1 1,0 1,-1-2,1 1,0 0,0 0,1 0,-1 0,1 1,0-1,0 0,0 0,0 1,0 0,0-1,1 0,5-2,-4 2,1 1,0-1,-1 2,1-1,0 0,0 1,1-1,-1 1,0 1,10-2,0 2,-1 1,0 0,1 1,-1 1,0 0,0 0,0 1,14 6,15 12,-1 1,-1 3,70 54,-39-26,17 13,-38-27,82 49,-118-81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0 909,'9'0,"0"0,0 1,-1 1,15 4,10 2,116 14,212 6,157-23,-398-6,255-1,-350 2</inkml:trace>
  <inkml:trace contextRef="#ctx0" brushRef="#br0" timeOffset="1">576 1371,'83'0,"34"-1,203 21,-315-19,1-1,-1 2,1-1,-1 0,1 1,-1 0,0 0,0 1,0 0,5 1,-7-1,0 0,-1 0,1 1,0-1,-1 0,0 1,0-1,1 0,-1 1,-1 0,1 0,-1 0,1 4,2 7,-1-1,-1 2,0-2,-1 2,0-1,-2 0,0 0,-1 0,-6 25,5-30,-1 0,-1 0,0 0,0-1,0 0,-1 0,0-1,-1 1,0-2,-1 3,0-3,0 0,0 0,-18 9,-2 1,-53 18,12-6,66-26,-1-2,1 2,0-1,0 0,0 0,0 1,0 0,1-1,-1 0,1 2,-3 2,4-5,1 0,-1 1,1-1,-1 0,1 1,0-1,-1 0,1 1,0-1,0 0,0 0,0 0,0 0,1 0,-1-1,0 3,0-2,1 1,-1-1,1 0,0 0,-1 1,1-1,0 0,-1 0,1 0,0 0,0 0,0 0,0 0,0 0,0 0,2 1,9 5,1 1,0-1,0-1,0 0,1-1,-1 1,28 4,-16-6,2 0,-2-2,43 0,-47-3</inkml:trace>
  <inkml:trace contextRef="#ctx0" brushRef="#br0" timeOffset="2">2231 562,'7'0,"0"1,0 1,0-1,0 1,0 1,-1 0,12 6,14 4,329 109,-138-70,-75-20,-128-28,-6-1,0 0,0 2,24 9,-35-13,0 2,0-2,0 0,-1 1,1 0,0 0,-1 1,1-1,-1 1,0-1,0 1,0-1,0 1,0 0,-1-1,1 1,-1 1,0-1,0 0,1 6,-2-6,0-1,-1 0,1 1,-1 0,0-1,1 1,-1 0,0-2,-1 2,1-1,0 1,-1-2,1 1,-1 0,0 0,0 1,0-2,0 1,0 0,0 0,0-2,-1 2,1-1,-1 0,1 1,-4 0,-11 4,1 1,-32 6,41-11,-79 15,-2-4,-166 7,-24 3,189-11,-88 24,170-34,-1 0,1 1,0-1,0 1,0 1,0-2,0 2,1 1,0-2,-10 10,6-3</inkml:trace>
  <inkml:trace contextRef="#ctx0" brushRef="#br0" timeOffset="3">4060 235,'0'4,"0"18,-5 11,-4 6,-2 3,-3 11,1-1,-2-3,3-9,-2-5,0-5,5-8</inkml:trace>
  <inkml:trace contextRef="#ctx0" brushRef="#br0" timeOffset="4">3985 259,'2'-7,"-1"-1,1 2,0 0,1-1,0 2,0-2,8-10,-3 3,0-1,4-6,0-1,1 2,22-24,-31 39,1 0,0 0,0 1,0 0,1 0,0-1,0 1,0 1,0-1,0 2,1 0,-1 0,1 0,0 0,0 0,12-1,-2 2,0 1,0 0,-1 1,0 1,1 0,-1 1,0 1,23 7,-32-9,-1 1,0 0,0 0,0 1,0-1,-1 0,1 1,-1 1,0-1,0 1,-1-1,0 1,0 0,0 1,0 0,-1-1,0 0,0 1,-1 1,1-1,-2 0,3 13,-3-14,0 0,-1 2,0-1,0 0,0 0,-1-1,0 2,0-1,-1-1,0 0,0 1,0 0,-1 0,0-1,-5 6,3-4,0-2,-1 2,0-2,0 0,-1 1,1-2,-1 1,0-1,-1-1,1 1,-11 4,-2-2,-1 1,0-1,-1-2,0-1,-35 2,-114-6,106-1,-70 1,104 0</inkml:trace>
  <inkml:trace contextRef="#ctx0" brushRef="#br0" timeOffset="5">3809 838,'5'0,"10"0,14 0,15 0,19 0,14 0,12 0,2 0,5 0,1 0,-3 0,-7 0,-12 0,-13 0,-10 0,-8 0,-12 0</inkml:trace>
  <inkml:trace contextRef="#ctx0" brushRef="#br0" timeOffset="6">4035 1302,'0'0,"0"-1,1 1,-1-1,1 0,-1 0,1 1,-1-1,1-1,-1 2,1 0,0-1,-1 1,1-1,0 1,-1-1,1 1,0-1,0 1,0 0,-1-1,1 1,0 0,0 0,0 0,1-1,26-4,-24 5,14-3,74-7,184-6,-269 16,-1 1,1-1,-1 1,0 1,1-1,0 1,-1 0,0 0,0 1,0 0,8 3,-11-4,0 1,0 0,0 0,-1 0,1 0,-1 0,1 1,-1-3,0 3,-1-1,1 1,0 0,-1 0,0-1,0 1,0-2,-1 2,1 0,-1 5,1 7,-1 1,-1-2,-5 32,3-37,1-2,-1 1,-1 0,0-1,0 0,-1 0,0 1,-9 9,-21 18,-2 0,-45 34,34-30,44-37,0 1,0 0,1-1,-1 1,1 1,0-1,0 0,0 1,1-1,-1 1,1 0,1 0,-1-1,-1 6,3-7,0 1,0-1,1 0,-1-1,1 1,-1 1,1-2,0 1,0 0,0 0,0 0,1 0,-1-1,1 0,0 1,0-1,0 0,0-1,0 3,1-2,-1 0,1 0,-1 0,1-1,4 3,3 1,0-1,0 0,1 0,0 0,0-1,0-1,14 1,80 4,-71-7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3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405 1332,'0'-1,"1"0,-1 0,1 0,-1 0,1 1,-1-2,1 1,0 0,0 0,-1 0,1 0,0 0,0 0,0 1,0-1,0 0,0 1,0-1,0 1,0 0,0 0,0 0,1-1,-1 1,0 0,0 0,2 0,40-4,-39 4,8-1,0 0,0 2,0-1,0 1,0 1,0-1,16 6,-24-6,0 1,0 0,1 0,-1 0,0 1,-1-2,1 2,-1 0,0-1,0 1,0 0,0 1,0-1,-1 0,1 1,-1 0,0-1,0 1,-1-1,1 1,-1 0,0 0,1 5,0-1,-1 0,-1-2,1 1,-1 1,-1-1,1-1,-1 2,-1-1,1 0,-1 0,-1 0,1 0,-7 10,4-10,0 1,-1-4,1 4,-2-1,1-1,-2-1,1 1,0-1,0 0,-1 0,-11 4,-14 6,20-9,-1-2,1 4,1-1,-15 9,26-14,0-2,0 1,1 0,-1 0,0 0,0-1,-1 1,2 0,-1 0,1 0,-1-1,1 1,-1 0,1 0,-1 0,1 0,0 0,-1 2,1-3,1 1,-1 0,0-1,0 1,1-1,-1 0,0 2,1-2,-1 1,1 0,-1-1,1 1,-1-1,2 1,-2-1,1 0,-1 1,1-1,0 1,-1-1,2 1,5 0,-1 1,1-1,-1 1,1-1,7 0,366 2,-219-6,-117 3</inkml:trace>
  <inkml:trace contextRef="#ctx0" brushRef="#br0" timeOffset="1">706 116,'-2'8,"1"-1,-1 0,-1 1,1-1,-2 0,1 2,-1-4,0 1,0 1,-1 0,-10 9,4-1,-52 64,1-1,4 2,-69 125,124-201,8-16,11-27,1 7</inkml:trace>
  <inkml:trace contextRef="#ctx0" brushRef="#br0" timeOffset="2">755 1,'11'0,"11"0,0 0,-1 2,33 6,-48-8,-1 2,0-1,1-1,-1 3,0-1,0 0,0 1,-1 0,1 0,-1 0,1 0,0 1,-1-1,-1 1,1 0,0-1,-1 2,5 7,-3-3,-1 1,0-2,0 2,-1 0,4 18,-7-25,1 1,-1 1,0-2,0 1,-1 0,1 0,-1 0,0-1,0 1,-1 0,1 0,-1 0,0-1,0 0,0 1,0-1,-6 7,0-3,-1 1,0 0,-2-2,1 1,0 0,0-2,-1 1,0-2,0 1,-1-2,1 1,-2 0,1-1,-19 1,-17 0,1-3,-72-3,34 0,64 2</inkml:trace>
  <inkml:trace contextRef="#ctx0" brushRef="#br0" timeOffset="3">3 1011,'0'0,"1"0,-1-1,0 1,1 0,-1 0,0 0,1 0,-1-1,0 1,0 0,1 0,-1-1,0 1,0 0,0 0,1-1,-1 1,0 0,0 0,0-1,0 1,0 0,0-1,1 1,-1 0,0-1,0 1,0 0,0-1,0 1,0 0,0 0,0 0,-1 0,1-1,0 1,0 0,0-1,0 1,0 0,0-1,-1 1,1 0,0 0,0-1,0 1,-1 0,1 0,0-1,0 1,-1 0,1 0,0 0,-1 0,1-1,0 1,-1 0,1 0,0 0,0 0,-1 0,1 0,0 0,-1 0,0 0,16-3,0 0,0 1,1 0,-1 1,1 1,16 1,8-1,152-3,281-37,-427 33,120-21,-140 21</inkml:trace>
  <inkml:trace contextRef="#ctx0" brushRef="#br0" timeOffset="4">2111 460,'-111'89,"36"-33,26-20,-2-2,-60 30,106-61,1-1,-1 1,0 0,1 1,0 0,0 0,0 0,0-1,1 1,-1 1,1 0,-2 5,4-8,0-1,0 1,1 1,-1-1,1 0,0 1,0-2,0 1,0 0,0 1,0 0,1-1,-1-1,1 1,-1 1,1-1,0-1,0 1,0 0,0-1,0 2,1-1,-1 0,1 0,-1 0,1-1,0 0,-1 1,1-2,0 2,4 1,8 6,1-2,0 0,1 0,-1-1,1-1,1-1,30 5,-6-4,86 2,-101-7</inkml:trace>
  <inkml:trace contextRef="#ctx0" brushRef="#br0" timeOffset="5">3490 25,'0'14,"1"18,-9 61,6-81,-1-1,0 1,-1-1,-1 0,0 0,0-1,-1 0,-13 18,7-11,-2-2,0 0,-1 1,-1-3,0 1,-1-1,-1-1,0-1,0 0,-1 0,-1-3,-35 12,-200 40,213-44,-18 3,56-18,1-1,-1 1,0 0,0-1,0 0,0 0,0 0,0 0,0-1,0 0,0 0,-5-1,7-1,-1 3,1-1,0-1,0 0,0 0,0 1,0-1,1 1,-1 0,1-2,-1 1,1 0,0 0,-1-1,1 1,0-1,1 1,-1 0,0 0,1 0,0-1,-1-3,0-9,0 2,3-26,-1 22,0-6,-1 2,2 1,4-27,-5 42,1-2,0 0,1 1,-1 0,2 0,-1 0,0 0,1-1,0 2,10-10,-11 12,0 0,1 1,-1 1,1-1,-1-1,1 0,0 3,0-2,0 0,0 1,0 0,0 0,0 0,1 1,0-1,-1 1,0 0,1 0,-1 0,0 1,0 0,0-1,1 1,-1 1,0-1,3 2,6 3,-1-2,0 2,-1 0,0 1,0 0,0 0,11 12,27 26,-4 2,52 66,-77-89,39 33,-15-14,-35-34,1-1,0 0,1 1,17 6,-13-6</inkml:trace>
  <inkml:trace contextRef="#ctx0" brushRef="#br0" timeOffset="6">2487 1011,'403'12,"2"0,-394-13,26 1,2 1,-1 0,42 10,-33-2,-10-3,62 20,-80-20,-2-2</inkml:trace>
  <inkml:trace contextRef="#ctx0" brushRef="#br0" timeOffset="7">2638 1584,'1'-1,"-1"0,0 0,1 0,-1 0,1 0,0 0,-1 0,1 1,-1 0,1-1,0 0,0 0,0 1,-1-1,1 1,0 0,0-2,0 2,0-1,0 1,0-1,0 1,0 0,0-1,0 1,0 0,0 0,2 0,40-4,-36 4,433-1,-436 1,0 0,-1 0,1 1,0-1,0 0,0 1,-1 0,1 0,-1 1,2-1,-2 2,1-2,3 4,-5-3,0 0,0 0,0-1,-1 2,0-1,1 2,-1-3,0 2,0 0,0-2,0 2,-1-1,1 1,-1-1,0 2,0-2,0 1,0 3,-1 20,-1 2,-1-1,-10 38,10-56,0 0,-1-1,0 1,-1-1,0 0,0 1,0-2,-1 1,0 0,-1-3,0 3,0-1,-13 8,-7 2,-40 20,65-37,1 0,0 1,0 0,0-1,-2 1,2 1,0-2,0 0,0 1,0 0,0 0,1 0,-1 0,0 0,0 0,1 0,-1 0,0 0,1 0,-1 0,1 0,-1 0,1 0,0 0,0 0,0 0,-1 3,2-2,0 0,0 0,-1 0,2 1,-1-2,0 1,0 0,0 0,1 0,-1-2,1 1,1 2,2 1,6 4,1 0,0-1,25 12,18 2,2-2,-1-3,1-1,2-3,65 7,-3-9,183-4,-268-7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1423 0,'-6'10,"-1"0,0-1,0 2,-2-3,0 1,0-1,-17 13,-79 45,85-54,-88 48,-2-5,-158 56,173-78,-2-4,-1-3,-138 17,210-40,-51 7,69-10,0 0,0 0,1 0,-1-1,0 0,1 0,-10-3,15 3,1 0,-1 0,0 1,0-1,1 0,-1 0,1 0,-1 0,1-1,-1 1,1-1,0 1,0 0,0 0,0-1,0 0,0 0,0 1,-1-2,1-1,0 0,1 0,-1 0,1 0,-1 1,1-1,0 0,1 0,0-4,0 3,0-1,1 2,-1-2,1 1,0 0,1-1,-1 2,1-1,0 1,1-1,-1 0,1 1,5-4,2 1,-1 2,1-1,0 1,0 0,1 1,0 0,-1 1,18-3,103-8,-92 10,44-5,-38 2,58 1,-97 6,0 1,1 1,-1-1,-1 0,1 1,-1 1,1-1,-1 1,0 0,0 0,0 1,0-1,-1 1,1 1,-1-1,7 7,8 11,-1 1,22 31,-34-45,32 46,11 18,2-3,95 95,-144-161,1-1,-1 0,1-1,0 1,0-1,7 4,3-1</inkml:trace>
  <inkml:trace contextRef="#ctx0" brushRef="#br0" timeOffset="1">1624 207,'1'2,"0"0,0 0,1-1,-1 1,0-1,1 1,0 0,-1-1,1 1,0-1,0 0,-1 0,1 0,0 0,0 0,1 0,-1 0,4 1,-3-1,78 27,166 38,-83-26,-121-28,335 83,-359-92,34 9,-49-11,0 0,-1 1,1-1,-1 1,0 0,1-1,-1 1,0 1,0-1,-1 1,4 1,-6-3,1 0,-1 0,1-1,-1 1,0 0,1 0,-1 0,0-1,1 1,-1 0,0-1,0 1,0 0,0 0,0-1,0 1,0 0,0 0,0 0,0 0,0 0,-1-1,1 1,0 0,-1 0,1-1,0 0,-1 1,1 0,-1 0,0-1,1 1,-1 0,1-1,-2 1,-26 16,3-5,1-3,-1-1,-2-1,-41 8,-114 8,141-19,-479 26,274-21,211-7,3 1,1-2,-59-6,71 2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201 160,'0'52,"-1"62,-1-100,0 1,-1 0,-1 0,0-1,-10 23,-25 42,5 2,-36 127,62-176,2-7,-6 41,11-48</inkml:trace>
  <inkml:trace contextRef="#ctx0" brushRef="#br0" timeOffset="1">102 114,'7'-5,"1"1,0-1,0 1,0 0,1 0,15-3,-5 0,47-14,115-24,-171 43,0 0,1 1,-1-1,1 2,-1-1,1 2,-1-1,1 1,11 3,-16-3,0 1,-1 1,1 0,-1-1,1 1,-1 0,0 1,0-1,0 0,-1 2,0-1,1 0,-1 0,-1 1,1-1,4 10,-2-4,-1-1,-1 1,0-1,0 1,-1 1,0-1,-1 0,0 0,-1 1,0 0,-1-1,-1 13,0-18,0 0,0 0,0 0,-1-1,1 2,-1-2,-1 1,1-1,-1 0,1 1,-1-1,-1 0,1 0,0 0,-1-1,0 0,0 1,0-1,-1 0,1 0,-1-1,0 1,1-1,-1 0,0-1,-10 4,-12-1,1-1,-1-1,0-1,0-1,-29-3,-19 0,-63 3,113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1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1026,'422'0,"-398"0</inkml:trace>
  <inkml:trace contextRef="#ctx0" brushRef="#br0" timeOffset="1">748 706,'-1'-3,"1"-2,1 0,-1 1,1-1,0 1,0-1,0 0,1 2,0-2,0 1,0-1,0 1,1 0,-1 1,1-1,4-4,-2 4,-1 1,1 1,0-2,0 1,0 0,1 0,-1 1,1-1,0 2,-1 0,1 0,0 0,7-1,6-1,-1 1,1 0,0 2,-1 0,38 5,-51-4,-1 0,1 0,-1 0,1 0,-1 1,0-1,0 1,0 0,0 1,0-1,0 1,-1 0,1 0,-1-1,0 1,0 0,0 1,0 0,-1 0,1-1,-1 0,0 1,0 0,-1 1,1-2,-1 2,0-2,0 2,0 4,1 11,0 1,-2-1,0 0,-2 0,0 0,-7 25,6-34,-1-1,0 1,-1-1,0 1,-1-1,0 0,-1-1,0 0,0 1,-1-2,-1 1,-13 10,5-8,14-9,-1 0,0 0,1 1,-1-1,1 1,0 0,0-1,0 0,1 2,-1-1,1 1,-1-1,1 1,0-2,-2 8,4-9,0 0,0 0,1 0,-1 1,0-2,1 1,-1 0,0 0,1 0,-1 0,1-1,-1 0,1 0,0 1,-1 0,1 0,0-1,0 1,-1 0,1-1,0 1,0-1,0 1,0-1,0 1,0-1,-1 0,1 0,0 1,0-1,0 0,2 0,36 4,-33-4,199 0,-91-2,-88 1</inkml:trace>
  <inkml:trace contextRef="#ctx0" brushRef="#br0" timeOffset="2">1595 890,'0'3,"0"11,0 12,0 7,0 9,0 6,0-2,0-5,0-6,0-8</inkml:trace>
  <inkml:trace contextRef="#ctx0" brushRef="#br0" timeOffset="3">1943 662,'30'-26,"2"1,61-36,78-30,-132 71,70-33,-108 53,0-1,0 0,1 1,-1 0,0-1,1 1,-1-1,0 1,1 0,-1-1,0 1,1 0,-1 0,1 0,-1 0,0 0,1 0,-1 0,1 1,-1-1,0 0,1 1,-1-1,0 1,1-1,-1 0,0 1,0 0,0 0,0 0,0 0,0-1,0 1,0 0,0 0,0 0,0 0,0 0,-1 1,1-1,-1 0,1 1,-1-1,1 0,-1 1,0-2,1 3,1 8,-1 1,0-1,-1 0,-2 17,1-10,1 69,-7 108,5-181,-1 0,-1-2,0 2,-8 16,-2 4,9-19</inkml:trace>
  <inkml:trace contextRef="#ctx0" brushRef="#br0" timeOffset="4">2763 320,'21'2,"-1"0,0 0,0 3,0 0,21 6,7 3,155 30,-105-26,96 32,-192-50,1 1,0 0,-1 0,1 0,-1 1,0-1,1 0,-1 2,0-2,0 1,0 0,0 1,-1-2,1 0,0 1,-1 1,0-1,2 4,-1-2,-1 0,0 0,0 1,0 0,-1-1,0 0,0 0,0 1,-1 8,-2 0,-1 0,0 1,-1-1,0 0,-15 24,5-15,-1-1,-1 0,-1 0,-2-2,0 0,-1-2,0 1,-2-3,0 1,-1-2,-29 13,-93 48,134-69,0 1,0 1,-15 13,0 0,13-11</inkml:trace>
  <inkml:trace contextRef="#ctx0" brushRef="#br0" timeOffset="5">2912 753,'5'0,"9"3,11 10,6 3,5-2,19 0,8 3,-3-3,14 1,-1-2,-4-4,-15 2,-7-3,-8-1,-11-4</inkml:trace>
  <inkml:trace contextRef="#ctx0" brushRef="#br0" timeOffset="6">4507 503,'-69'-2,"27"0,-66 7,97-3,2 0,-1 1,0 0,0-1,1 2,0 0,0 1,0 0,1-1,-1 2,1 0,1 1,-1-2,1 2,0 1,-6 7,-2 3,2 1,0 1,1 0,2 1,-13 34,18-40,0 0,1 0,1 1,1-1,1 2,0-2,1 1,1 1,1-2,0 0,8 27,-8-37,1 0,0 0,0-2,0 1,1 0,-1 0,1 0,0 0,1-2,-1 1,0 1,1-1,0 0,0-1,0 1,0-1,7 0,7 5,1-1,0-1,27 2,-4-2,0-2,0-3,58-5,-81 1,-4 0</inkml:trace>
  <inkml:trace contextRef="#ctx0" brushRef="#br0" timeOffset="7">4009 753,'8'0,"8"0,4 0,4 0,2 0,0 0,1 0,-1 0,0 0,0 0,-5-4,-6 0</inkml:trace>
  <inkml:trace contextRef="#ctx0" brushRef="#br0" timeOffset="8">4582 1,'-2'36,"-1"2,-2-1,-2-2,-19 61,-68 137,-16 2,-77 183,17 16,156-401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1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578 0,'-6'10,"0"-1,-1-1,0 1,-1 0,0-1,0 0,0-2,-13 10,-6 1,-48 26,-250 91,321-134,-1 1,1 1,0 1,0-1,0 1,1-1,-1 1,1-1,-1 0,1 2,0-1,0 1,0-1,0 0,1 0,-1 2,-1 3,2-3,0 1,1-1,0 0,0-1,0 3,1-3,0 1,0 0,0 2,1-3,-1 1,1 0,4 10,-1-3,1-2,1 1,-1-1,2 1,-1-3,2 3,-1-3,1 2,11 8,15 10,42 29,-42-33,231 148,-261-168,-1-2,1 0,0-1,0 1,0-1,0 0,1 1,6 0,2-2</inkml:trace>
  <inkml:trace contextRef="#ctx0" brushRef="#br0" timeOffset="1">801 424,'0'5,"5"4,5 1,5 3,5-1,3-2,1-3,2-4,0 0,0-2,0-1,-5 0</inkml:trace>
  <inkml:trace contextRef="#ctx0" brushRef="#br0" timeOffset="2">1326 118,'28'-9,"-4"0,-14 7,0 2,-1-1,1 1,0 0,-1 1,1-1,-1 1,1 1,-1 1,14 4,-16-4,0-1,-1 1,1 0,-1 0,0 2,0-1,0 0,-1 1,1 0,-1-1,-1 2,1-1,-1 2,6 6,1 9,-1-2,-1 2,-1 0,-1 1,-1-2,4 37,-9-45,0 0,0 1,-1 0,-1 0,-1-1,0 1,-1 0,0-2,-1 2,-1-1,0-1,-9 17,7-18,-2 1,0 1,0-3,-1 1,-1-1,0 0,0-1,-1 1,-25 12,0-3,-1-1,-51 15,88-32,-1-1,1 1,-1-1,1 1,-1 0,1-1,0 1,-1 0,1-1,0 1,0 0,0 0,-1 0,1 0,-1 2,2-3,0 1,0-1,0 1,0-1,0 1,0 1,0-2,0 1,0-1,0 1,0-1,0 1,1-1,-1 1,0-1,0 1,1-1,-1 1,0-1,1 0,-1 0,0 1,1-1,-1 0,1 1,-1-1,1 1,6 2,-1 1,1 0,0-1,13 3,11 2,1-1,0-2,54 5,45 4,-126-13,0 0,0 0,0-1,0 0,11-1,2-2</inkml:trace>
  <inkml:trace contextRef="#ctx0" brushRef="#br0" timeOffset="3">2026 660,'4'0,"1"4,1 6,-2 8,-1 10,-1 11,-5 13,-7 4,-5 4,-5 2,-3-7,3-9,4-12</inkml:trace>
  <inkml:trace contextRef="#ctx0" brushRef="#br0" timeOffset="4">2149 330,'1'-11,"0"4,1-3,0 1,5-11,1-10,-6 21,1-2,0 1,0 0,1 1,0-1,1 1,6-10,-8 15,-1 2,1-1,0-1,0 2,1-1,-1 0,0 1,1 0,0 0,0 0,-1-1,1 2,0 0,0-1,1 1,-1 0,0 0,0 0,1 1,-1 0,5 0,6 1,-1 0,1 1,0 1,0 1,-1 0,0 0,0 1,19 9,2 4,64 44,-90-55,-1 1,0 0,0-1,-1 2,0 0,0 0,-1-1,0 3,-1-3,-1 4,1-2,-1 0,-1 1,0-1,1 12,-1-5,-1 0,0-1,-2 1,0-1,-1 0,-1 1,0-1,-1 2,-8 19,8-32,0 3,0-3,0 1,-1 0,0 0,0-1,-1 1,0 0,0-2,0 0,-9 8,-6 0,0 0,-26 12,0-2,21-10,20-11,1 1,0 0,0-1,0 0,0 2,0 0,0 0,1-1,-1 0,-5 6,9 0,5-4</inkml:trace>
  <inkml:trace contextRef="#ctx0" brushRef="#br0" timeOffset="5">2973 0,'3'0,"0"1,0-1,0 1,0 0,1 0,-1 0,0 0,0 0,0 1,-1-1,1 0,0 1,4 4,32 32,-15-13,18 13,1-3,2-1,2-3,1 0,1-5,1 1,2-3,2-3,-1-1,77 16,-115-32,1-2,0 2,0 1,0 0,22 10,-35-14,-1 0,1 0,-1 1,0-1,0 1,0-2,0 2,0 0,0-1,0 1,0 0,-1 0,1 1,-1-1,1 0,-1-1,0 2,0-1,0 0,0 1,-1 0,1-1,-1 1,1-1,-1 0,0 0,0 0,0 2,0-1,0-1,-1 1,1-1,-1 0,0 0,-2 6,0-2,0-2,-1 3,0-2,0-1,-1 1,1 1,-1-1,-10 7,-52 31,42-27,-11 5,-1 0,0-1,-55 19,81-36,-3 1,-1 0,1 3,0-2,1 0,0 4,0-3,1 2,0 1,-12 10,12-5</inkml:trace>
  <inkml:trace contextRef="#ctx0" brushRef="#br0" timeOffset="6">2374 731,'4'0,"6"0,5 0,5 0,2 3,3 3,1-2,-1 1,6-2,0 3,0-1,-1 2,-2-4,0 0,-2-2,-5-1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26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475 94,'-22'-1,"1"-1,-22-5,28 4,1 1,-1 0,0 1,0 0,1 1,-28 4,12 4,0 1,1 2,0 0,1 2,-34 21,58-32,1 0,-1 1,1-1,0 0,0 1,0 0,0-1,1 1,-1 0,1 1,0-1,0 0,0 1,0-1,0 1,1-1,-1 1,1 0,0 0,0 0,1-1,-1 1,1 0,0 0,0 0,0 0,1 0,-1 0,1 0,0 0,0 0,0-1,0 1,1 0,0-1,0 1,0-1,0 0,0 1,0-1,1 0,0 0,0-1,0 1,0 0,0-1,0 0,0 0,1 0,-1 0,1 0,6 1,11 2,1 0,-1-2,1-1,-1-1,1 0,41-6,6 2,-44 3,-11 1,0-1,0-1,0 0,-1-1,18-4,-27 4,1 1,-2-1,1 0,0 0,0 0,-1-1,1 1,-1-1,1 0,-1 0,0 0,0 0,-1-1,1 1,-1-1,1 1,-1-1,0 0,-1 0,1 0,1-6,-1 2,0-1,0 1,-1 0,0 0,-1 0,0-1,0 1,-1 0,0 0,-3-12,-2-2,-2 0,-13-27,4 9,6 14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27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193 0,'-1'61,"-3"0,-3-1,-2 0,-33 105,38-151,-95 332,95-322,2-12,0 1,-1-1,-1 0,-8 19,14-49,3-3</inkml:trace>
  <inkml:trace contextRef="#ctx0" brushRef="#br0" timeOffset="1">442 70,'1'0,"1"1,-1-1,0 1,0-1,0 1,0 0,0-1,0 1,0 0,0 0,0-1,0 1,0 0,0 0,0 0,-1 0,1 0,-1 1,1-1,0 1,11 25,-12-27,7 27,-2 0,0-1,-2 2,-2-1,-2 43,0-25,0 79,-22 142,13-226,9-37,0-1,0 0,0 0,-1 1,1-2,0 1,-1 0,1 0,-1-1,0 1,0 0,1-2,-1 2,0-1,-3 2,-9 3</inkml:trace>
  <inkml:trace contextRef="#ctx0" brushRef="#br0" timeOffset="2">68 460,'4'0,"6"0,6 0,7 0,1 4,1 1,-1 0,1-1,0-1,0-1,4-1,1-1,1 0,-2 0,-1 0,-5-5,-7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30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63 276,'5'1,"0"0,-1-1,1 2,1-1,-2 0,1 0,-1 1,1 0,-1 0,0 1,0-1,0 0,5 6,10 6,22 26,-14-14,-22-21,0-1,-1 2,1-2,-2 2,1-1,0 1,-1 0,0 0,-1 0,2 0,-2 0,-1 0,1 0,-1 1,0-1,-1 1,0-1,0 8,-1-6,0 1,-1-1,0 0,-2 1,1-2,0 1,-1 0,0 0,0-1,-1 1,0-2,0 2,-10 7,-43 39,-28 25,76-68,0 1,1 0,0 0,1 1,-9 18,17-30,0 0,-1-1,1 1,0 0,0-1,0 1,0 0,0 0,0 0,0 0,0 0,0-1,0 1,1 0,-1 0,0 0,0-1,1 0,-1 1,1 0,-1 0,1-1,-1 1,1 0,-1-1,1 1,0-1,-1 1,1-1,0 1,-1-1,1 1,0-1,0 1,-1-1,1 0,0 1,0-1,0 0,-1 0,3 0,42 6,-39-6,308 0,-225-9,-53 3</inkml:trace>
  <inkml:trace contextRef="#ctx0" brushRef="#br0" timeOffset="1">1001 781,'0'-50,"-3"-16,6-1,2 0,20-96,-17 131,20-67,-24 86,1 0,0 1,1 0,1 0,11-14,-18 25,1 0,-1-1,1 1,1 0,-2 0,1 0,0 0,0 0,0 1,0-1,0 1,0-1,0 0,0 0,0 1,0-1,0 1,0-1,1 1,-1-1,0 1,0 0,0-1,1 1,-1 0,0 0,1 0,-1 0,0 0,0 0,1 1,-1-1,0 0,0 0,1 1,-1-1,0 1,0-1,0 1,0 0,0 0,0-1,0 1,0 0,0-1,1 2,4 5,1 0,-2 1,0-1,0 0,3 11,-2-8,10 21,-1 2,17 60,7 73,-19-72,-7-56,-9-32,-2 2,1-1,-1 1,-1-1,1 0,-2 1,1 11,-1-18,0-1,0 0,1 0,-1 0,0 1,0-1,0 0,0 0,0 0,0 1,0-1,0 0,0 0,0 1,0-1,-1 0,1 0,0 0,0 1,0-1,0 0,0 0,0 0,0 0,0 1,-1-1,1 0,0 0,0 0,0 0,0 0,-1 1,1-1,0 0,0 0,0 0,-1 0,1 0,0 0,0 0,0 0,-1 0,1 0,0 0,0 0,0 0,-1 0,1 0,0 0,0 0,-1 0,1 0,0 0,0 0,0 0,-1 0,1 0,0 0,0-1,0 1,0 0,-1 0,1 0,0 0,0-1,-11-9,1-6</inkml:trace>
  <inkml:trace contextRef="#ctx0" brushRef="#br0" timeOffset="2">1102 460,'-4'0,"2"0,7 0,6 0,6 0,4 0,3 0,1 0,1 0,1 0,-5-4,-1-2,-5 2</inkml:trace>
  <inkml:trace contextRef="#ctx0" brushRef="#br0" timeOffset="3">1558 115,'0'3,"0"7,0 8,0 5,0 7,0 10,0 2,0 1,0-1,0-6,0-4,0-4,0-6</inkml:trace>
  <inkml:trace contextRef="#ctx0" brushRef="#br0" timeOffset="4">1532 69,'1'2,"-1"1,1 0,0-1,0 0,-1 1,2-1,-1 1,0-1,0-1,1 2,0-1,-1 0,1 0,0 0,0-1,0 1,0 0,0-1,1 1,-1-1,4 2,2 1,0-1,0 1,0-2,0 1,14 2,-12-3,-1-1,1-1,0 0,0 0,0-1,0 0,0-1,-1 0,1 0,-1-1,1 1,-1-2,11-5,-20 9,1-1,0 1,0 0,0-1,-1 1,1 0,0 0,0 0,0-1,0 1,-1 0,1 0,0 0,0 0,0 1,0-1,0 0,-1 0,1 0,0 1,0-1,0 0,-1 1,1-1,1 2,0-2,0 1,-1 1,0-1,0 1,0 0,0-1,-1 1,1-1,0 0,-1 1,1 3,1 6,0 1,-2-1,0 13,0-14,-1 46,-1-35,2 0,0 0,2-1,7 40,-9-59,1 2,0-1,0 1,0-1,0 0,1 0,-1 0,1 1,-1-1,1 0,0-1,-1 1,5 3,9 2</inkml:trace>
  <inkml:trace contextRef="#ctx0" brushRef="#br0" timeOffset="5">2065 91,'-1'74,"3"80,-2-148,1-1,0-1,0 1,0-1,1 1,-1 0,1-1,1 0,-1 1,0-1,1 0,1 0,-1-1,1 1,-1 0,1-1,0 0,7 5,-4-3,0-1,1-1,0 0,0 1,0-2,0 0,0 0,0 0,0 0,16 0,-23-2,0 0,-1 0,1 0,0 0,0 1,-1-1,1 0,0 0,-1-1,1 1,0 0,0 0,-1 0,1 0,0-1,-1 1,1 0,0-1,-1 1,1 0,-1-1,1 1,0-1,-1 1,1-1,-1 1,0-1,1 1,-1-1,1 0,-1 1,0 0,1 0,-1-1,0 0,0 1,1-1,-1 0,0 0,0 0,-7-28,5 24,-4-10</inkml:trace>
  <inkml:trace contextRef="#ctx0" brushRef="#br0" timeOffset="6">2167 230,'0'-4,"4"-1,6 0,1 5,4 2,-2-3,-3-1</inkml:trace>
  <inkml:trace contextRef="#ctx0" brushRef="#br0" timeOffset="7">2091 46,'4'0,"6"4,5 1,5 4,-1 4,0 0,1-2,-1-4</inkml:trace>
  <inkml:trace contextRef="#ctx0" brushRef="#br0" timeOffset="8">1963 1,'0'4,"0"9,0 5,0 13,0 8,0 14,0 0,0 1,0 1,0-3,0-8,4-11,7-10,0-10</inkml:trace>
  <inkml:trace contextRef="#ctx0" brushRef="#br0" timeOffset="9">2471 91,'4'0,"7"0,12 0,13 0,7 0,11 0,8 0,-2 0,2 0,0 0,-9 0,-6 0,-9 0,-10 0</inkml:trace>
  <inkml:trace contextRef="#ctx0" brushRef="#br0" timeOffset="10">2851 139,'-5'0,"-4"7,-7 8,0 3,-1 16,-3 9,-1-3,-2 1,2 4,6-1,5-6,4-3,4-9</inkml:trace>
  <inkml:trace contextRef="#ctx0" brushRef="#br0" timeOffset="11">3003 483,'14'-16,"0"-1,-2 1,0-2,0 1,-2-2,9-19,15-28,-16 36,-6 8,1 2,29-37,-42 56,1 0,0-1,0 1,0 0,0 0,0 0,0 1,0-1,0 0,0 0,1 0,0 1,-1-1,1 0,-1 1,0-1,1 1,-1-1,1 1,-1 0,1 0,-1 0,1-1,1 2,-1-1,-1 1,0 0,1 0,-1 0,0 0,1 0,-1 0,0 0,0 0,0 0,0 0,0 1,0-1,-1 1,1-1,0 1,0 1,3 8,-1 0,-1 1,1 0,-1 13,-1 185,-3-124,2-72</inkml:trace>
  <inkml:trace contextRef="#ctx0" brushRef="#br0" timeOffset="12">3104 344,'4'0,"7"0,4 0,5 0,3 0,2 0,2 0,-2 0,1 5,-3 0</inkml:trace>
  <inkml:trace contextRef="#ctx0" brushRef="#br0" timeOffset="13">3661 115,'-4'3,"-2"7,-3 8,-1 5,-4 3,-2 4,-3 3,1-3,0-5,2-3,5-6</inkml:trace>
  <inkml:trace contextRef="#ctx0" brushRef="#br0" timeOffset="14">3611 184,'5'1,"1"0,-1 0,1 0,0 1,-1 0,0 0,0 0,0 1,6 3,-5-2,1-1,1 0,-1 0,10 3,33-2,-41-4,0 1,0-1,1 2,17 2,-25-3,0 0,0 0,0 0,0 0,0 0,0 1,0-1,0 0,0 0,0 1,-1-1,1 1,-1 0,2 0,-2 0,0-1,0 1,0 0,0 0,0 0,0 1,0-2,0 5,2 21,-1 0,-1-1,-5 47,1-7,2-37,1-4</inkml:trace>
  <inkml:trace contextRef="#ctx0" brushRef="#br0" timeOffset="15">4017 299,'-2'57,"-11"76,10-118,1-4,0 0,1 0,0-1,2 22,0-29,-1-1,1 1,0 0,0 0,0-1,0 1,0-1,1 1,-1 0,1-1,0 0,0 1,0-1,0 0,0-1,0 2,1-1,-1-1,1 1,0 0,0-1,0 0,3 2,3 0,0 0,1-1,-1-1,1 0,16 1,-3-1</inkml:trace>
  <inkml:trace contextRef="#ctx0" brushRef="#br0" timeOffset="16">4093 483,'4'0,"6"0,5 0,6 0,2 0,1 0,3 0,-6 0</inkml:trace>
  <inkml:trace contextRef="#ctx0" brushRef="#br0" timeOffset="17">4093 322,'96'1,"107"-3,-189 1,0-1,1 0,-2-1,1-1,22-8,-22 6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358 294,'0'12,"1"9,-1 0,-1 1,-1-2,-1 2,-1-2,-1 1,-10 25,-31 38,-4-1,-83 104,108-151,15-20,-26 27,36-41,0-2,-1 1,1-1,0 1,0-1,-1 0,1 1,0-1,-1 0,1 0,0 0,-1 1,1-1,-1 0,1 1,0-1,-1 0,1 0,-1 0,1 1,-1-1,1 0,-1 0,1 0,-1 0,1 0,-1 0,1 0,-1 0,1 0,-1 0,1 0,-1 0,1 0,-1 0,1-1,-1 1,1 0,-1 0,0-1,-7-17,6 0</inkml:trace>
  <inkml:trace contextRef="#ctx0" brushRef="#br0" timeOffset="1">409 271,'-2'58,"0"-35,1-1,2 1,0-1,2 0,7 32,-7-48,-1 1,2 0,-1-1,1 0,0 1,1-2,0 1,-1 0,1-1,1-1,-1 2,1-2,0 1,1-1,-1 0,1-1,0 1,1 0,-1-2,0 1,0 0,1-2,0 1,-1-1,1 1,0-1,1-1,-2 0,1 0,0 0,0-1,0 0,-1 0,1-1,1 0,11-5,-19 7,155-58,-126 46,-2-3,0 1,32-23,-56 34,0-1,0 1,1-1,-2 0,1 1,-1-2,0 1,0-1,-1 1,1-1,2-9,0-1,-2 0,3-24,3-13,-9 66,1 0,1 0,5 19,3 9,-1 18,15 106,-22-142</inkml:trace>
  <inkml:trace contextRef="#ctx0" brushRef="#br0" timeOffset="2">2482 271,'9'0,"6"0,5 0,5 0,1 4,5 5,6 2,6 1,-2 3,-1 0,-6-4,-2-4,-3-1,-6 0,-8-1</inkml:trace>
  <inkml:trace contextRef="#ctx0" brushRef="#br0" timeOffset="3">2482 606,'4'0,"6"0,5 0,9 0,14 0,4 0,3 0,-1 0,-4 0,0 0,-3 0,-3 0,-3 0,-3 0,-6 0</inkml:trace>
  <inkml:trace contextRef="#ctx0" brushRef="#br0" timeOffset="4">3491 93,'24'-9,"-1"1,1 1,1 1,46-7,103-1,-126 11,186-6,-191 11,0 1,1 0,55 13,-92-15,-1 1,0 0,0 0,0 0,1 0,-1 1,0 0,-1 0,1 1,-1-1,8 7,-11-7,0 0,0-1,0 1,0-1,-1 2,1-1,-1-1,0 2,0-1,0 0,0 0,-1 1,1-2,-1 2,0-2,0 2,0 0,-1-2,1 2,-1-1,0 0,-2 4,0 1,-1 0,-1 1,1-1,-1-1,-1 1,-6 6,6-9,1 2,1 0,-2-3,2 4,0-2,1 0,0 1,0 0,-3 12,5-5,2-1,-1 1,2-2,0 1,1 1,0-2,1 2,9 14,-6-10,-1-1,-1 2,3 23,-7-35,-1-2,0 0,0 2,-1-2,1 1,-2 0,1-1,-1 0,1 1,-2-1,1 0,-1 1,0-1,0 0,-4 5,2-7,2 1,-1-1,0 0,0-1,0 1,0 0,-1 0,1-2,-1 1,1 0,-1 0,0 0,-5-1,-12 4,-36 2,47-6,-44 3,2-2,-2-2,0-2,1-2,0-2,1-2,-63-17,80 15</inkml:trace>
  <inkml:trace contextRef="#ctx0" brushRef="#br0" timeOffset="5">5262 26,'0'-2,"-1"2,1-1,0 0,-2 0,2 1,-1 0,1-1,-1 0,1 0,-1 0,0 1,1-1,-1 0,0 1,0-1,1 0,-1 1,0 0,0 0,0 0,0-1,0 1,0 0,0-1,0 1,0 0,0 0,-1 0,-34-5,30 5,-34-3,-1 1,1 1,-80 10,113-8,0 1,1-1,-1 2,1 0,-1-1,1 1,0 1,0-1,1 1,0-1,-1 2,1-1,1 1,-1-1,1 2,0-2,0 2,-4 5,4-4,1-1,0 0,0 1,1-1,0 2,0-2,1 1,0-1,0 2,1 0,0-2,0 0,1 1,0 0,0 0,3 7,-1-9,0 0,0-1,0 1,1 0,0-1,0 0,0 1,1-2,-1 1,1-1,0 0,0 1,0-2,0 1,1 0,-1-1,1 0,0 0,10 2,2 1,1-1,0-2,0 1,0-1,21-1,-28-1,-1-1,1-1,-1-1,2 2,-2-1,0-1,0-1,17-7,1-4,45-29,-48 27,-25 15,0 2,0-1,0 1,0-1,0 0,0 1,0-1,0 1,2-1,-2 1,0 0,0 0,0 0,0 0,1-1,-1 1,0 0,2 0,-2 1,-1-1,1 0,-1 0,1 0,-1 1,1-1,-1 1,0-1,1 1,-1-1,0 1,1 0,-1-1,0 0,0 0,0 2,1-1,-1-1,0 0,0 0,0 1,0 0,0-1,0 1,0 0,-1 6,0 0,-1 0,1 0,-6 12,-103 200,38-79,67-131,2-2,0-2,0 1,0 0,1 1,1-1,-2 10,4-5</inkml:trace>
  <inkml:trace contextRef="#ctx0" brushRef="#br0" timeOffset="6">5615 138,'1'0,"0"1,-1-1,1 1,-1-1,1 0,-1 1,1 0,-1-1,0 1,1 0,-1 0,0-1,1 1,-1 0,0 0,0 0,0-1,0 1,0-1,0 1,0 0,0 0,0-1,0 1,0 0,0 0,-1 1,1-2,-1 0,-6 29,-35 69,-2 6,40-92,0 1,2-1,-1 1,2 0,0 0,1 18,1-27,0 0,1 0,-1 0,1 0,-1-1,1 1,0-1,1 1,-1 0,2-1,-1 0,0 0,0 0,0 0,0-1,1 1,0-1,-1 1,1-2,0 2,0-1,0-1,1 1,7 1,2 1,-1-1,0 0,0-1,1 0,0-1,0-1,15 0,-19-1,1-1,-1 0,-1-1,1 1,-1-1,0-2,0 2,1-1,-1 0,14-11,-10 5,1 0,-1-1,-1 0,0-1,13-19,-18 22,-2 0,2-1,-2 0,-1-1,0 1,0 1,-1-3,2-20,-2-4,-3-49,-1 43,1 33,-1 1,0 1,0-2,-1 0,0 1,-1 0,0 1,0-1,-1 0,0 1,-8-9,9 11,-1 2,1-2,-1 2,0-2,0 3,-1-2,1 0,-1 2,0-1,1 0,-1 1,-1 0,1-1,-1 1,0 1,1 0,-1-1,0 0,-5 2,-59-2,39 3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74 1,'0'4,"0"8,0 19,0 11,0 10,0 8,0 2,-4 0,-2 3,-3 10,-6 2,1-6,2-9,4-11,2-14</inkml:trace>
  <inkml:trace contextRef="#ctx0" brushRef="#br0" timeOffset="1">522 68,'0'4,"0"9,0 6,0 8,0 11,0 2,0 6,-4 4,-2-4,-3-1,-1-1,-3-4,1-5,2-8</inkml:trace>
  <inkml:trace contextRef="#ctx0" brushRef="#br0" timeOffset="2">199 409,'4'0,"6"0,5 0,4 0,4 0,1 0,2 0,0 0,0 0,0 0,-1 0,-4 0</inkml:trace>
  <inkml:trace contextRef="#ctx0" brushRef="#br0" timeOffset="3">770 477,'0'2,"-1"0,0-1,0 1,0-1,0 1,-1 0,1-1,0 0,-1 0,1 0,-1 1,0-1,-1 1,-12 12,9-6,0 1,1 0,0 0,1 0,-5 15,7-19,1 1,-1-1,1 1,1-1,-1 1,1-1,0 1,0-1,1 1,0-1,2 9,-1-11,-1-1,1 0,0 0,0 1,0-2,0 1,0 0,0 0,1 0,-1 0,1-1,-1 0,1 0,0 1,-1-1,1 0,0 0,0 0,0 0,0-1,0 1,0-1,5 0,8 0,0 0,-1 0,18-3,-25 2,0-1,0 0,0 0,0 1,0-2,0 0,-1-1,0 2,1-2,-2 0,1-1,0 0,-1 1,0-1,0 0,0-1,5-7,-4 4,-1-1,-1 0,0 1,-1-1,0 0,0 0,-1-1,-1 1,1-1,-2 1,1-16,-2 12,1 2,-1 0,0 0,-1 0,0-1,-5-17,5 27,0 0,-1 0,1 0,-1 0,0 0,1 0,-1 0,-1 1,1 0,0-1,-1 1,1-1,-1 2,0-1,0 0,0 0,0 0,0 0,0 2,-1-2,1 1,0 0,-1 0,1 0,-8 0,-25-2,0 2,0 2,0-1,0 4,-64 12,82-13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1,'0'4,"0"6,0 2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1,'0'4,"0"1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124 0,'0'4,"0"14,0 6,0 9,-4 9,-2 3,-3 0,-1 2,-3 4,1 1,3-4,-2 2,1 1,-1-6,0-5,3-6,2-5,2-6</inkml:trace>
  <inkml:trace contextRef="#ctx0" brushRef="#br0" timeOffset="1">398 141,'1'56,"-3"1,-2 0,-20 87,-13-16,30-107,-1-2,-1 0,-1 0,-15 22,16-30</inkml:trace>
  <inkml:trace contextRef="#ctx0" brushRef="#br0" timeOffset="2">74 421,'0'4,"0"5,5 1,0 3,5-1,4-2,4-3,4-3,2-2,1-1,0-1,1 0,-4-1</inkml:trace>
  <inkml:trace contextRef="#ctx0" brushRef="#br0" timeOffset="3">598 584,'29'-2,"0"-2,0 0,-1-2,0-2,35-12,-15 1,-37 13,1 2,1-1,-1 1,0 0,1 2,15-3,-26 5,0 0,0 0,0 1,-1-1,1 0,0 1,0-1,0 1,-1-1,1 1,0 0,-1 0,1-1,0 1,-1 0,1 0,-1 0,0 1,1-1,-1 0,0 1,0-1,0 1,0 0,0-2,0 2,0 0,-1-1,1 1,-1 0,1 0,-1 0,1 2,1 8,-1-2,-1 1,0 1,-1 11,1-16,-2 12,-1 0,-1 0,-1 0,-1-1,-8 20,-47 86,53-113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1,'0'4,"0"6,0 5,0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352 4,'0'14,"-5"112,3-107,0-2,-2 1,-1 0,-12 33,-3-7,-2-2,-2 0,-1-1,-61 72,79-105,-1-1,0 0,0 0,0-1,-1 0,0-1,0 1,0-2,-1 0,0 0,-18 5,12-6</inkml:trace>
  <inkml:trace contextRef="#ctx0" brushRef="#br0" timeOffset="1">376 28,'1'22,"0"-1,2 0,0 0,1 0,2 0,0-1,1 0,0 0,2 0,1-1,13 21,-19-36,-1-1,1 1,-1-1,1 0,0 0,0 0,1-1,-1 0,1 1,-1-1,1-1,-1 1,1-1,0 0,0 0,0 0,0-1,5 1,13-1,-1 0,35-6,-53 6,2-2,1 1,-1-1,0 0,0-1,1 1,-2-1,1-1,0 1,-1-1,1 0,-1 0,0-1,0 1,-1-1,1 0,4-8,-1 2,-1 0,0-1,-1 0,0 0,-1 0,0-1,2-13,0-3,0 3,4-35,-12 82,2 0,0 1,1-1,1 0,1 0,1 0,8 21,-7-25,-1 0,3 25,-5-20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294 1,'-9'1,"1"0,-1 1,1 1,0-1,-1 1,-13 8,-3 0,-5 1,-3 0,1 1,-44 26,75-38,-1 0,1 0,-1 0,0 0,1 0,0 0,-1 0,1 0,0 1,-1-1,1 0,0 1,0-1,0 1,0 0,1-1,-1 1,0 0,1-1,-1 4,1-3,0-1,0 0,1 1,-1-1,1 0,-1 1,1-1,0 0,-1 0,1 1,0-1,0 0,0 0,0 0,0 0,0 0,0 0,0 0,1-1,0 2,7 3,0-1,-1 0,2-1,-1 0,0 0,13 2,36 1,0-2,90-5,-58-1,-69 2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333 127,'0'-8,"1"0,0-1,0 1,1 1,0-2,1 1,0 1,0-1,7-9,-9 14,1 1,-1-1,1 2,0-2,-1 1,1 0,0-1,0 2,1-1,-1 0,0 1,1-1,-1 0,1 1,-1-1,1 2,0-1,0 0,0 0,0 0,-1 1,1-1,0 1,0-1,0 1,0 0,0 0,0 1,0-1,4 1,5 3,-1 0,1 1,-1-1,0 2,0 0,-1 0,0 1,0 1,-1-1,0 0,0 2,8 9,-12-10,-1-1,0 0,-1 2,1-2,-2 1,1 0,-1 0,0 0,-1 1,0-1,0 0,-1 1,0-1,-1 0,0 0,-1 1,1-1,-7 14,6-17,0-1,-1-1,1 1,-1-1,0 0,-1 1,1-1,-1 0,1-1,-1 1,0 0,-4 2,-5 0,1 1,-24 5,-7 3,42-14,0 1,0-1,0 0,0 0,0 1,1-1,-1 1,0-1,0 1,0-1,0 1,1 0,-1-1,0 1,1 0,-1 0,0-1,1 1,-1 0,1-1,0 1,-1 0,1-1,-1 1,1 0,0 0,0 0,0 0,-1 0,1 0,0 0,0 0,0 0,1-1,-1 1,0 0,0 0,0 0,1 0,-1 0,0 0,1 0,-1-1,1 1,-1 0,1 0,0 0,-1-1,1 0,0 1,0 0,6 6,0-2,0 2,1-3,9 7,-11-8,37 23,-17-12,-2 1,35 27,-53-37,-1-1,0 1,0 1,0-1,-1 1,1-1,-2 2,1-2,-1 2,0-1,0 0,0 1,-1-1,2 15,-4-19,0 0,0 0,0 1,0-1,0 1,-1-2,1 2,-1-1,0 0,0 1,0-2,0 1,0 0,0 1,0-1,-1 0,1-1,-1 1,0-1,1 1,-1 0,0-1,0 1,0-1,0 0,-1 0,1 0,0 0,0 0,-1 0,1-1,-4 2,-9 1,1-1,-1 0,0 0,-18-1,19-1,-39 0,0-2,0-1,-1-4,2-1,0-3,0-2,-51-20,57 15,13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406 27,'0'-1,"-1"0,1 0,0 0,0 0,-1 0,1 1,-1 0,1-1,-1 0,1 0,-1 1,1-1,-1 0,0 1,0-1,1 0,-1 1,0-1,0 1,1-1,-1 1,0 0,0 0,0 0,0 0,0-1,-1 1,-29-5,27 4,-38-2,-72 1,102 3,0 0,-1 0,1 0,0 2,0 0,0 0,1 1,-1 0,1 1,-16 8,23-9,-1-1,1 1,1-1,-1 1,1 1,-1-1,1 0,0 0,1 1,-1 0,1-1,0 2,1-2,-1 1,1 0,0 0,0 8,0 3,0 1,1 0,2-1,3 18,-4-28,1-1,1 1,-1 0,1-1,0 0,0 1,1-1,0 0,0 0,0-1,0 1,1-1,0 1,0-2,1 1,-1-1,1 1,0-1,0 0,0 0,0-1,0 0,1 0,8 2,-5-2,-1-1,0 1,0 0,1-1,-1-1,1 0,-1 0,0 0,1-2,-1 1,0-1,1 1,-1-2,0 0,-1 1,1-2,9-5,-8 3,0-1,-1 0,-1-2,1 1,-1 0,-1 0,1-1,6-13,-2 3,-2-1,-1-1,7-20,-16 83,-6-3,-1-2,-3 1,-19 46,17-50,0 0,3 1,1 0,-4 48,12-64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756 73,'0'-4,"0"1,0-2,0 2,-1-1,0 1,1 0,-1-1,-3-5,3 8,0 0,1 0,-1 0,0 0,0 0,0 1,0-1,0 0,0 1,0 0,0-1,0 1,0-1,0 1,0-1,0 1,0 0,-2-1,2 1,0 0,0 0,0 0,-1 0,1 0,0 0,0 0,0 1,-1-1,1 0,0 1,0-1,0 1,-1 0,-12 3,1 1,0 2,0 0,1-1,0 2,-21 16,4-3,-102 70,-223 211,344-292,1 2,-1-2,1 1,1 0,0 2,1-1,-6 12,10-15,1-1,-1 1,2 2,-1-3,1 1,1-1,0 2,0 0,1-2,1 1,2 10,-2-9,1 0,0-1,2 1,-1-1,1 1,0-1,1 0,12 14,-13-20,-1 2,1-1,0 0,0-1,1 1,0-2,0 1,0 1,0-2,0 0,0 1,1-2,-1 0,1 1,-1-2,12 3,61 0,0-2,95-11,-131 6,-1-1,1-2,-2-2,44-15,-65 18,-1-2,1 1,-2-2,1 0,-2-1,1-1,-2 0,1 0,-2-2,16-16,-17 11,0-2,-2-1,0 3,13-38,-23 52,3-10,1 0,-2 0,-1-1,0 0,-1 0,-1 1,-1-1,0 0,-1 0,-1 1,0-1,-1 0,-1 0,-2 1,1 0,-1 0,-1 1,0 0,-15-20,-6-1,-1 0,-41-36,56 58,1 0,-2 2,0 0,0 0,-1 0,0 2,-1 0,-30-10,18 12,4 2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3699,'4'1,"-1"1,1-1,-1 1,0-1,0 1,0-1,0 0,0 2,-1-1,1 2,2 2,5 2,7 4,0 1,1-3,2 1,-1-2,1 1,0-1,0-2,1 0,31 5,23 1,106 6,-134-16,576 12,-550-20,82-17,-7 2,-117 18,-8 0,2 0,-2-1,1-1,30-10,-23 2,-1-2,-1 1,45-29,72-58,-83 52,-34 29,32-15,-41 25,-1-3,-1 1,0-1,0 1,25-28,85-80,-73 68,-32 29,-2 4,0-4,19-24,11-34,-2 0,-5-5,-2 1,-6-2,30-109,-58 168,80-321,-65 230,7 1,51-126,122-219,21 17,-211 413,-2 1,11-41,-15 43,3 0,0 2,14-32,-3 21,-3 2,44-63,-52 88,-1 0,3 0,-1 0,1-1,0 3,0 0,1 2,23-15,33-11,105-36,-130 52,1 4,0 5,81-13,100-4,250-18,-440 43,-2 1,0 2,1 1,0 1,0 1,51 16,-44-9,0 5,-1-1,0 3,58 36,-80-41,0 1,-1-2,0 4,-2-1,-1 1,20 30,-14-21,302 485,-239-369,-42-71,39 62,89 208,-86-153,-46-113,32 102,122 344,-74-260,-88-197,68 157,-74-158,22 99,-27-98,1-1,4 2,51 93,-63-135,2-1,2 0,0-2,1 1,0-1,23 20,-26-29,0-1,1 0,1-1,1 0,0 0,-1-1,1-4,1 2,1 0,22 5,39 6,1-4,0-3,159 5,248-18,-460 2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0,'0'9,"0"11,0 6,0 8,0 6,0 0,0 3,0-3,0 1,0-2,0-4,0-4,0-2,0-3,0 0,0-2,0 0,0-4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7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582 1,'-6'0,"1"1,-1-1,1 1,-1 0,1 1,0-1,0 1,0-2,0 2,-7 6,-43 28,32-18,-28 17,3 2,1 1,-72 79,109-104,1 0,1 0,1 1,0 0,0 0,1 1,1-1,-4 32,5-17,1 0,2 0,5 52,-3-76,0 1,1 1,0-2,1 0,-1 1,1 0,0 0,1-1,-1 0,1 0,1-1,0 2,-1-2,1 1,0-2,1 2,-1-2,1 1,-1-2,1 2,0-1,1 0,6 0,0 2,-2-1,1-1,-1 0,1-2,0 0,0 1,0-1,1-1,-1 0,0-1,0 0,16-2,-5-3</inkml:trace>
  <inkml:trace contextRef="#ctx0" brushRef="#br0" timeOffset="1">1 245,'4'0,"6"0,5 0,6 0,2 4,1 1,2 3,5 1,0 3,3 2,-4-1,-2-3,-1-2,0-3,-2 1,-4 0</inkml:trace>
  <inkml:trace contextRef="#ctx0" brushRef="#br0" timeOffset="2">961 466,'-2'24,"-1"-1,-1 1,-1-1,-9 25,-9 30,14-39,4-24,2 1,0-1,-1 20,4-35,0 0,0 1,0-1,0 0,0 1,0-1,0 0,0 0,1 1,-1-1,0 0,0 0,0 2,0-2,0 0,0 0,1 0,-1 0,0 0,0 0,0 1,1-1,-1 0,0 0,0 0,0 0,1 0,-1 0,0 0,1 0,-1 0,0 0,0 0,1 0,-1 0,0 0,1 0,14-1,18-16,-30 16,138-80,-130 76,-4 0,0-1,0 0,-1 1,1-3,-1 2,-1-2,0 2,9-17,-6 10,0 3</inkml:trace>
  <inkml:trace contextRef="#ctx0" brushRef="#br0" timeOffset="3">1390 644,'0'3,"0"7,5-1,5 0,1 1,3 3,4 0,2-4,3-1,1-4,3-2,-2-2,-3 0</inkml:trace>
  <inkml:trace contextRef="#ctx0" brushRef="#br0" timeOffset="4">1820 621,'-5'5,"-9"3,-3 10,-7 4,-3-1,-2 3,0 6,1-3,-4 2,3 3,4-3,0-4,4-5</inkml:trace>
  <inkml:trace contextRef="#ctx0" brushRef="#br0" timeOffset="5">1896 666,'0'4,"0"5,0 4,0 5,0 2,0 1,-4 8,-2-3,-4 3,-1-3,3-12,6-12,8-10,2-12,2-11,-3 2</inkml:trace>
  <inkml:trace contextRef="#ctx0" brushRef="#br0" timeOffset="6">1945 533,'15'0,"-1"0,-1-1,-1 1,1 1,-1 0,0 0,2 1,-2 1,0 0,0 0,21 11,-30-14,1 3,0-1,-1-1,2 2,-2 0,1-1,-1 1,0 0,-1 0,1 0,0 2,-1-3,4 8,-4-3,1-1,-2 1,1-1,-1 3,0-3,-1 14,0-18,1 5,-1 1,-1-1,1 2,-1-2,-4 12,4-17,0 0,0 0,0 1,0-2,0 0,-1 1,1 0,-1 0,0-1,1 1,-1 0,0-1,0 0,0 1,0-1,0-1,0 1,0 0,-1 0,1 0,-1 0,0-1,-4 1,-17 2,-1-1,0-1,-44-4,10 0,36 2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8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0 525,'183'11,"-16"1,-101-13,-43-1,-1 1,1 2,-1 0,30 4,-35 1</inkml:trace>
  <inkml:trace contextRef="#ctx0" brushRef="#br0" timeOffset="1">75 708,'69'-1,"-29"-1,0 2,1 2,52 8,-53-3,1-3,45 0,-58-3</inkml:trace>
  <inkml:trace contextRef="#ctx0" brushRef="#br0" timeOffset="2">991 525,'4'0,"6"0,5 0,6 0,2 0,1 0,2 0,0 0,2 0,-2 0,0 0,0 0,-5 0</inkml:trace>
  <inkml:trace contextRef="#ctx0" brushRef="#br0" timeOffset="3">1524 249,'0'-5,"0"1,1-1,-1 0,1 0,0 0,0 1,1-1,-1 1,1 0,0-1,1 1,-1 0,1-1,1 2,-1-1,0 0,7-6,-4 6,-1 1,1-1,-1 1,1 0,1 0,0 1,-1-1,0 1,1 1,-1 0,1 0,0 0,9-1,4 1,2 0,-1 2,0 0,1 1,-1 1,0 0,0 2,-1-1,1 3,-2-1,22 12,-37-16,0 0,0 1,0 0,0 0,0 0,-1 1,1-1,-1 1,0-1,-1 2,1-1,-1-1,0 2,0-1,0 0,-1 1,1-2,0 11,1 5,-2-1,0 1,-3 25,0-19,2-15,-1-1,0 0,-1 1,0-1,-1 0,0 0,0 0,-1 0,0 0,-1-1,0 0,-11 13,7-12,0 0,0 0,-3 0,2-1,-1-1,0 1,-1-2,0 1,-13 4,9-6,-2 1,1-2,-25 5,25-7,0 2,1 0,-25 10,39-14,0 1,0-1,0 1,0 0,0 1,1-1,-1 0,0 1,1-1,-1 1,1-1,0 0,-1 1,1-1,-2 4,3-3,0-1,-1-1,1 2,0-1,0 0,0 0,0 1,0-1,0 0,1 1,-1-1,0-1,0 1,1 1,-1-1,1 0,0 0,-1 0,2 2,1 0,1 1,0 0,0-1,0 1,0 0,1-1,-1-1,1 1,1 0,5 1,14 4,1-1,0-1,1-1,0-1,0-1,47-1,62 7,-111-6</inkml:trace>
  <inkml:trace contextRef="#ctx0" brushRef="#br0" timeOffset="4">2591 570,'0'4,"0"5,0 5,0 5,-4-3,-2 2,-3 5,-7-2,2 4,-2 4,-3-1,2-2,1-2,-4-5,4-5</inkml:trace>
  <inkml:trace contextRef="#ctx0" brushRef="#br0" timeOffset="5">2844 249,'493'-200,"-434"176,-50 20,0 1,1-1,-1 1,1 0,-1 1,16-3,-23 5,0 0,0 0,0 0,0 0,0 0,1 0,-1 1,0-1,0 1,0 0,0-1,0 1,-1 0,1 0,0-1,0 1,0 1,-1-1,1 0,-1 1,1-1,-1 1,1 0,0-2,-1 2,0 0,0 0,0 0,0 0,0-1,0 3,3 8,-1-1,0 1,-1 0,-1 0,0 17,-5 66,0-41,2 18,-4-1,-26 110,21-148,0-9</inkml:trace>
  <inkml:trace contextRef="#ctx0" brushRef="#br0" timeOffset="6">3836 66,'28'1,"0"2,0 1,0 0,28 10,31 5,-77-17,0 0,0 1,-1 0,2 1,-2-1,0 2,0-1,13 9,-17-9,-1-1,0 0,0 1,0 0,0 0,-1-1,0 2,0-2,0 2,0 0,-1-1,2 1,-2 0,-1-1,1 2,-1-2,1 7,0 11,-2 1,0-1,-2 0,0 0,-2 0,0 0,-3-1,0 2,0-2,-2-1,-1 0,0 1,-20 24,14-21,-5 8,-2-1,-2 0,-41 41,44-55,2-6</inkml:trace>
  <inkml:trace contextRef="#ctx0" brushRef="#br0" timeOffset="7">3810 570,'5'0,"4"0,16 0,15 0,10 4,13 5,5 2,4 2,-6-1,-6 1,-8-1,-5-3,-6-3,-9 1,-12 1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49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2041 672,'0'6,"0"2,0 6,0 4,-4 0,-2-1,-4 2,0 2,1 0,3 1,-2 0,0 2,1-1,3 0,1-2</inkml:trace>
  <inkml:trace contextRef="#ctx0" brushRef="#br0" timeOffset="1">859 1229,'5'0,"4"0,7 0,4 0,2 0,3 0,1 0,1 0,-2 0,1 0,1 0,-2 0,0 0,0 0,-4 0</inkml:trace>
  <inkml:trace contextRef="#ctx0" brushRef="#br0" timeOffset="2">1313 1160,'0'-1,"0"0,0 0,1 1,-1 0,1 0,-1-1,1 1,-1-1,1 0,-1 1,1-1,0 0,-1 1,1-1,0 1,0-2,-1 2,1 0,0-1,0 1,0 0,-1-1,1 1,0 0,1 0,26-5,-24 5,53-6,-1 3,92 6,-140-3,0 1,1 0,-1 0,0 1,0 0,-1 0,1 0,15 8,-20-9,-1 1,1 0,0 0,-1 0,0 1,0-1,1 0,-1 1,-1 0,1 0,0-1,-1 0,1 1,-1 0,0 0,0 0,0 0,-1 1,1-1,-1 0,0-1,0 1,0 0,0 5,-1-3,0-1,0 0,0 0,0 0,-1 0,1 1,-1-1,0-1,0 0,-1 1,1-1,-1 1,0-1,0 1,0-2,-1 1,1 0,-8 3,-6 5,0-2,-1 0,-20 7,-20 10,55-25,1 0,0 1,-1-1,1 0,0 1,0 0,0 0,1 0,-1 0,0 0,1 1,-1-2,1 2,0-1,-2 4,3-5,0 0,0 0,0 0,0 0,0 1,0-1,0 0,1 0,-1 2,0-2,1 0,-1-1,1 0,-1 2,1-1,0 0,-1 0,1 0,0 0,0 0,0 0,0 0,0-1,0 1,0 0,0 0,0-1,0 0,0 0,0 1,1-1,-1 1,2 0,31 10,1-1,0-3,0 1,45 1,144-2,-194-7</inkml:trace>
  <inkml:trace contextRef="#ctx0" brushRef="#br0" timeOffset="3">2117 1368,'0'5,"0"3,0 7,-5 3,-1 3,-3-1,-1-3,-3-1,1-1,2 1,4-2</inkml:trace>
  <inkml:trace contextRef="#ctx0" brushRef="#br0" timeOffset="4">2243 1207,'6'-1,"-1"-1,1 0,0-1,-1 2,1-2,-1 1,1-1,-1-1,0 2,-1-1,1-2,6-5,23-14,-18 15,0 3,27-12,19-7,-61 24,1 0,-1 1,0-1,0 0,0 1,1-1,-1 1,0 0,1 0,-1-1,0 1,1 0,-1 0,1-1,-1 1,0 0,1 1,-1-1,1 0,-1 0,0 0,1 1,-1-1,0 0,1 0,-1 1,0 0,0-1,2 1,-2 0,0 0,0 0,0 0,0 0,0 0,0 0,0-1,-1 1,1 0,0 1,-1-1,1 0,0 0,-1 2,0-2,1 0,-1 1,0-2,1 3,1 11,0-1,-1 0,-1 1,-1 13,1-14,-2 39,2-31</inkml:trace>
  <inkml:trace contextRef="#ctx0" brushRef="#br0" timeOffset="5">2644 1067,'63'0,"124"14,-178-13,3 1,-1 0,1 0,0 0,-1 2,0 1,11 2,-20-5,0-1,1 1,-1-1,0 1,0 0,0-1,0 1,-1 0,1 0,-1 1,1 0,-1-2,0 0,1 2,-1-1,0 1,-1-1,1 1,0-1,-1 0,0 2,1-1,-1-1,0-1,0 2,-1-1,1 1,-1 0,1-1,-1 0,0 1,-1 3,-2 1,0 2,-1 1,-1-3,1 2,-1-1,-1 0,0-1,0-1,0 2,-1-2,-11 8,8-6,0 0,1 2,0-1,0 1,-9 14,9-8</inkml:trace>
  <inkml:trace contextRef="#ctx0" brushRef="#br0" timeOffset="6">2846 1229,'5'0,"4"0,6 0,5 0,7 0,4 5,0 0,-1-1,0 0,-2 0,-6-3</inkml:trace>
  <inkml:trace contextRef="#ctx0" brushRef="#br0" timeOffset="7">1966 0,'0'25,"-1"40,17 124,16-65,-14-61,-13-35,-1-1,-1 1,-2 0,-3 30,1-20,1-19</inkml:trace>
  <inkml:trace contextRef="#ctx0" brushRef="#br0" timeOffset="8">1865 162,'0'5,"0"4,0 5,-5 8,-4 5,-11 4,-5 2,-4 0,0 1,5-1,0-4,3-3,-1-1,4 4,0 0,4 2,3-7</inkml:trace>
  <inkml:trace contextRef="#ctx0" brushRef="#br0" timeOffset="9">1286 557,'0'3,"0"7,-5 1,0 1,-5 4,0 4,-2-4,-4 2,-3-3,-3-5,1-5</inkml:trace>
  <inkml:trace contextRef="#ctx0" brushRef="#br0" timeOffset="10">910 627,'0'4,"0"4,-4 4,-6-3,-1-4</inkml:trace>
  <inkml:trace contextRef="#ctx0" brushRef="#br0" timeOffset="11">608 580,'-4'0,"-10"0,-7 4,-5 1,-1 0,3 0</inkml:trace>
  <inkml:trace contextRef="#ctx0" brushRef="#br0" timeOffset="12">156 604,'-6'0,"-3"0,-7 0,-3 0,-4 0,-2-4,-5-6,2 1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0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105 128,'0'4,"0"10,0 7,0 4,0 6,0 2,-4 8,-2 2,-4 6,0-2,-3-4,-3-5,1-4,-1-5,2-7</inkml:trace>
  <inkml:trace contextRef="#ctx0" brushRef="#br0" timeOffset="1">54 153,'12'-10,"1"1,0 0,0 1,20-9,7-5,-18 10,-1 1,1 1,1 1,0 1,0 1,0 1,1 1,0 1,0 1,0 2,1 0,23 2,-39 1,1-1,-1 1,-1 1,1 0,0 0,-1 0,1 1,-1 1,0-1,-1 1,1 1,-1-1,0 1,7 8,-9-9,0 0,-1 0,0 1,0-1,0 1,-1 0,0 0,0 1,-1-1,1 0,-1 1,-1 0,1-1,-1 1,0 0,-1 0,0 0,0 0,-1 9,-1-11,1 0,-1 0,0 0,-1 0,1 0,-1 0,0-1,0 1,0-1,-1 0,0 0,1 0,-2 0,1-1,0 0,-1 0,1 0,-1 0,0-1,-8 4,-4 1,-1-1,0 0,0-2,-31 5,4-3,-1-3,1-1,-1-2,-64-9,81 4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0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263 399,'-4'0,"-6"-5,-1-4,2-7,-3-3,-3 1,-3-1,-3-5,-2-4,-2 4,5-3,0-1,4 1,4-1,1 5,-3 3,2 0,2 3</inkml:trace>
  <inkml:trace contextRef="#ctx0" brushRef="#br0" timeOffset="1">14 1,'13'0,"-1"1,1 0,0 1,-1 0,1 1,-1 0,0 1,0 1,0 0,0 0,-1 1,0 0,11 10,26 17,1-2,83 38,-115-61,-8-3,1-1,-1-1,16 5,-7-5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0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0,'5'0,"4"0,6 0,5 0,2 0,3 0,1 0,0 0,0 0,-1 0,1 0,-1 0,0 0,0 0,0 0,0 0,0 0,-5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0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200 0,'1'4,"0"-1,0 0,0 0,1 0,-1 0,1 0,0 0,0 0,3 3,7 13,-3 0,-1 1,-1 0,0 0,-2 0,0 1,1 23,-5-36,0 0,-1 1,-1-1,1 0,-1 1,-1-1,1 0,-1 0,-1 1,0-2,0 1,0 0,-1-1,0 1,0-1,-1 0,-11 12,4-7,-1 0,0-1,0-1,-1 0,0-1,-1-1,-23 10,28-14,0 1,1 1,-1-1,1 1,-10 9,17-13,0 0,-1-1,1 1,1 0,-1 0,0 0,0 0,1 1,-1-1,1 0,0 1,0-1,0 1,0-1,0 1,0 0,1-1,-1 1,1 0,0-1,0 1,0 0,0-1,0 1,1 0,0 3,0-4,0 0,0-1,0 1,1 0,-1 0,1-1,-1 1,1-1,-1 1,1-1,0 0,0 0,-1 1,1-1,0-1,0 1,4 1,43 10,-27-8,3 4,-20-6,0 0,0 0,0-1,0 1,0-1,0 0,1-1,-1 1,0-1,0 0,1-1,-1 1,7-2,1-5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0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134 25,'0'-4,"-5"-2,-5 1,-5 0,-5 2,-2 1,-3 6,4 5,5 2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1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1,'4'4,"1"6,1 5,-2 5,-1 3,-1 1,-1 2,-1 0,0 0,0-5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1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0 257,'1'-3,"-1"1,1-1,-1 1,1 0,0-1,0 1,0 0,0 0,0 0,0 0,1 0,-1 0,1 0,0 0,2-2,32-24,-33 25,85-62,75-49,-162 113,1 0,-1 0,0 0,1 0,-1 1,1-1,-1 0,1 1,-1-1,1 1,0-1,-1 1,1 0,-1 0,1 0,0 0,-1 0,1 0,0 0,-1 0,1 1,-1-1,1 0,0 1,-1 0,1-1,-1 1,2 1,-1 1,0-1,0 1,0 0,0 0,-1 0,0 0,1 0,-1 0,0 1,-1-1,1 0,-1 1,1-1,-1 4,3 39,-2 0,-2 0,-2 0,-10 48,-4-9,-35 104,42-161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1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1,'26'0,"104"4,-112-2,0 1,0 1,0 0,-1 1,21 9,-2 1,-12-5,-1 0,30 19,-50-26,0-1,0 1,0 0,-1 0,1 0,-1 0,0 0,0 0,0 1,0-1,-1 1,1 0,-1-1,0 1,0 0,0 0,0 7,0 7,0 0,-4 30,2-17,-1-10,0-1,-1 1,-1 0,-1-1,-7 21,-45 91,25-63,6-24,13-29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1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45,'121'2,"129"-4,-225-1,35-9,-15 2,11-5,-39 10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1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524 369,'-112'-1,"-120"2,224-1,1 1,0-1,0 1,-1 1,1-1,0 0,0 1,0 0,1 1,-1 0,-9 7,11-7,0 0,1 1,0 0,0 2,0-1,0-2,1 2,0-1,0 3,0-2,1-1,0 2,-3 10,-6 29,2 1,-4 81,11 97,3-164,-1-54,0 0,0 0,1 0,0 0,0-1,0 2,1-2,4 11,-4-13,0 0,1-1,-1 1,1 0,0 0,-1-2,1 1,0 2,1-2,-1 0,0 0,1-1,-1 1,1-1,7 3,16 3,0 1,1-3,0-1,38 2,116-5,-105-2,-50 1,-1 1,0-2,29-4,-49 4,-1 1,1-1,-1 0,1 0,-1-1,0 0,0 0,0 0,0-1,0 0,0-1,-1 2,1-1,-1-1,7-6,0-7</inkml:trace>
  <inkml:trace contextRef="#ctx0" brushRef="#br0" timeOffset="1">103 689,'4'0,"6"0,5 0,8 3,6 7,5 0,10 3,1 3,3-1,-1-5,-2 0,-1-2,-3 0,-10-2</inkml:trace>
  <inkml:trace contextRef="#ctx0" brushRef="#br0" timeOffset="2">252 1,'0'1037,"-20"-811,16-202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1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41 1249,'0'8,"0"6,0 5,0 3,0 5,-4 6,-3 2,2 2,-3 1,-1 1,2-9</inkml:trace>
  <inkml:trace contextRef="#ctx0" brushRef="#br0" timeOffset="1">523 749,'0'-1,"-1"0,1 0,-1 1,1-1,-1 0,1 0,-1 1,0-1,1 0,-1 0,0 0,0 1,1-1,-1 0,0 1,0-1,0 1,0-1,0 1,0-1,0 1,0 0,0-1,0 1,0 0,0 0,-1 0,1 0,-2 0,-36 0,33 1,1 1,-1 0,1 0,0 0,-2 1,2-1,0 1,1 0,-1 0,0 0,1 1,0-1,0 1,0 1,0-2,1 2,0-1,0 1,0 0,0-1,0 1,1 0,0 0,-2 8,0 4,1 0,0 1,1-2,1 1,0 1,4 23,-3-34,1 0,0 0,1 0,-1-1,1 1,1 0,-1-1,1 1,1-1,0 0,0 0,0-1,1 1,-1-1,1 1,0-1,1 0,-1 0,1-1,0 0,1 0,0 0,0 0,-1-1,1-1,0 0,1 1,12 3,-5-3,-1 0,-1-1,1 0,0-2,0 0,18 0,-24-1,0 0,0-1,1 0,-2-1,1 0,-1 0,1 0,-1 0,0 0,0-2,-1 1,8-6,-4 2,-1 0,0-1,0-1,-1 0,1 1,-2-2,7-15,2-6,14-40,-19 42,1 2,19-36,-28 59,0 1,2 1,-2-2,1 1,0 2,0-2,0 1,0 0,1 0,0 0,-1 0,1 1,0 1,0-1,0 0,2 1,-2 0,0 0,1 0,-1 0,0 1,8-1,-8 1,-1 0,1 1,0-1,0 1,1 0,-1 0,-1 0,1 0,0 1,-1 0,1-1,-1 1,0 1,0 0,0-1,0 2,0-2,-1 1,1 0,0 0,-1 1,0 0,0-1,3 8,1 4,-1-1,-1 2,-1 0,-1-1,0 0,-1 2,0-2,-2 0,-1 24,1-38,0 1,0 0,0-1,-1 1,1-1,-1 1,1 0,-1 0,1 0,-1 0,0-1,0 1,0 0,0-2,0 1,0 1,0-1,-1 1,1-1,0 0,-1 0,1 1,-1-1,0 0,1 0,-1 0,0-1,0 1,1 0,-1-1,0 1,0-1,0 1,0-1,0 0,0 0,0 0,-1 0,1 0,0 0,1-1,-1 1,0-1,-3 0,-7-3,0 0,-1-1,2 1,-2-2,-12-8,-176-109,163 99,23 13,-1 0,-1 1,-1 0,1 2,-1 0,-2 1,-36-11,37 16</inkml:trace>
  <inkml:trace contextRef="#ctx0" brushRef="#br0" timeOffset="2">979 0,'7'1,"0"-1,-1 1,1 1,0-1,0 1,0 0,-1 0,0 0,0 1,0 0,0 0,5 4,11 9,31 29,-33-29,13 13,-1 2,-3 1,0 2,-3-1,-1 3,35 67,-3 10,73 214,-110-251,14 101,-33-168,1 0,-2-1,1 1,-1-1,-1 1,1-1,-2 0,1 1,-1-1,-1 1,0-1,0-1,0 1,-1 0,-1 0,1-1,-13 14,-85 86,39-44,53-52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2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568 35,'0'3,"-1"1,0 0,0-1,0 0,-1 1,1-1,-1 1,0-1,0 0,0 0,0 1,-1-1,1-1,-1 1,0-1,-5 4,-7 6,-32 19,41-28,-391 197,397-200,-7 3,0-1,0 2,0 0,-1 0,-10 10,17-13,0 0,0 0,-1 1,1 0,0-1,0 1,1 0,-1-1,0 1,1-1,-1 1,1 0,-1 0,1 0,0-1,0 1,0 0,0-1,0 1,0 0,0 0,1 0,-1 0,1 0,-1-1,1 0,0 1,0 0,1 2,2 2,1-1,-1 1,1-1,0 1,1-1,-1-1,1 1,0-1,10 6,65 29,-55-28,58 26,456 218,-487-223,-37-21,1-1,25 11,-40-20,-1-1,1 1,0 0,0-1,0 0,0 1,0-1,0 0,0 0,3 0,11-6</inkml:trace>
  <inkml:trace contextRef="#ctx0" brushRef="#br0" timeOffset="1">1352 360,'4'-1,"1"0,-1 0,0-1,0 1,0-1,0 0,-1 0,1 0,4-4,5-2,544-302,-550 306,-3 1,1 0,1 1,-2 0,1 0,0 1,6-3,-10 4,0 0,0 0,0 0,0 0,0 0,0 0,0 0,0 0,0 1,0-1,0 0,-1 1,1-1,0 1,0-1,0 1,0-1,0 1,-1-1,1 1,0 0,-1-1,1 0,0 1,-1 0,1-1,-1 1,1 0,-1 0,1 0,-1 0,0 0,1 0,-1 0,0 0,0 0,0 0,0 0,0 0,3 29,-2 0,-1 1,-1-1,-11 57,9-67,-18 83,-6 0,-51 125,55-165,5-3,14-38</inkml:trace>
  <inkml:trace contextRef="#ctx0" brushRef="#br0" timeOffset="2">2213 616,'0'9,"0"9,0 14,0 7,0-2,-4 0,-2-6,0-1,2-7</inkml:trace>
  <inkml:trace contextRef="#ctx0" brushRef="#br0" timeOffset="3">2920 81,'-40'37,"1"2,1 1,3 3,-36 57,61-82,0 1,2 0,1 0,1 1,1 0,1 0,0 0,2 0,1 1,0 0,3 21,0-33,0 0,1 0,0 0,0 0,1-1,0 0,1 1,0-1,0 0,2-1,-1 1,0-1,15 13,-6-7,1-1,0-1,0 1,1-2,37 15,-48-21,1-2,1 0,-1 0,0 0,0-1,1 1,-1-1,0-1,1 1,-1-1,1-1,0 0,-1 1,13-5,-16 3,1 2,-1-2,0-1,0 1,1-1,-1 1,-1 0,1-1,-1-1,1 1,-1 0,0 0,0-1,-1 0,1 0,-1 1,0-1,0 0,0-1,-1 2,1-2,-1 1,0 0,0-5,1 2,-1-1,0 2,0-2,-1 1,1 0,-2 0,1-1,-1 1,-1 0,1 0,-1 0,-1 0,1 0,-1 1,-1-1,1 1,-1-1,0 1,-1 0,1 0,-1 1,0 0,-2-1,1 2,1-1,-2 0,-11-6,4 4,-1-1,0 1,0 1,-1 0,-22-4,30 7,-1 2,1-1,-1 2,-1 0,2 0,-1 0,0 0,0 1,1 0,-1 1,-15 4,-2 5</inkml:trace>
  <inkml:trace contextRef="#ctx0" brushRef="#br0" timeOffset="4">3351 197,'7'159,"-4"-134,2-2,0 1,3-1,14 36,-6-26,2-1,2-1,29 36,80 81,-23-27,-99-112,1 1,-2 0,0 0,7 15,-12-23,-1 0,1 0,0 1,-1-1,1 1,-1-2,0 1,0 1,0-1,0 1,0-1,0 0,-1 2,0-2,0-1,1 0,-1 0,0 0,0 0,1 0,-1 0,0 0,0 0,0-1,0 1,0-1,-1 1,1 0,0-1,0 1,0-1,-1 1,1-1,0 1,0-1,-1 0,1 0,0 0,-4 0,-3 0,0 0,0-1,1 0,-1-1,0 1,0 0,0-2,1 0,-1 0,1 0,0 0,-7-6,-8-4,1-1,-27-23,34 24,0 0,1 0,-1-1,-10-15,20 23,0-2,0 2,1-2,0 2,0-2,1 1,0-1,0 1,1-1,0 0,1 0,0-8,0 0,1 1,1-1,1 0,1 0,6-18,-6 25,0 0,0 1,1 0,0-1,0 2,1-1,1 1,0-1,0 1,9-7,2 1,0-2,-2 1,-1-2,0 0,24-35,-35 46,0-2,-1 1,0 0,0-1,-1 0,0 0,0 1,0-2,-1 2,0-1,-1 0,0-1,0 2,0-2,-1 2,0-1,-1 0,1 0,-2 1,1-2,-6-9,-1 3,0 1,-1 0,-1 1,-1 0,0 0,0 0,-1 2,0 0,-2 0,-14-7,20 12,0 1,-1 1,0-1,1 1,-1 1,1 0,-1 0,-18 0,13 1,0 1,-1 1,1 0,-29 5,22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5693 1,'6'137,"28"142,-11-110,86 875,-57-311,-47 0,-5-634,20 467,27 1,-13-179,-1-68,13 232,-49-340,4 175,23-167,-4-47,-10-59,25 228,-20-239,40 133,-21-135,-20-69,-2 4,-2-3,-1 1,-3 3,5 40,-13-57</inkml:trace>
  <inkml:trace contextRef="#ctx0" brushRef="#br0" timeOffset="1">0 4629,'356'9,"-97"0,2060-58,-957 7,3 42,-601 3,1050-2,81-1,-310-14,-11-48,-1260 40,71-16,-299 25,-44 5</inkml:trace>
  <inkml:trace contextRef="#ctx0" brushRef="#br0" timeOffset="2">5363 4858,'0'1,"-1"-1,0 0,0 1,1-1,-1 1,0-1,0 0,1 1,-1 0,1-1,-1 1,1-1,-1 1,0-1,1 0,0 1,-1 0,1 0,-1-1,1 0,0 1,0 0,0-1,-1 3,-4 21,4-21,-2 11,1 3,1-2,1 28,1-39,-1 2,1-2,1 3,-1-2,1 2,0-1,1 0,-1-1,1 0,0 0,1 2,6 2,0 3,-2 0,-1-2,1 3,-2-2,6 16,-8-16,1-1,0-2,0 1,1 1,0-1,1 0,1-1,-1 0,10 7,-3-3,1-1,0-1,24 10,-35-18,1 0,0 0,-1-1,1 1,0-1,0 0,0 0,0-1,0 0,0 1,0-1,0 0,1-1,-1 1,1 0,-1-1,8-3,2-2,-1-4,1 5,-2-3,2-3,-2 2,-1-3,19-15,1-8,37-50,-61 74,-1-1,0-1,-2 4,0-5,0 2,-1-2,-1 1,0 3,-1-5,0 2,-1-22,-1 26,-1-1,0-1,0 1,-1 2,-1-3,1 2,-2-1,1 1,-1-1,-1 3,0-1,0-2,-1 2,-1-1,0 1,-9-5,9 7,-1 1,1 0,-1 1,1 0,-1 1,0-1,-2 1,2 0,-1 1,1 0,-13-1,-13 0,-53 0,78 3,-145 2,133-2</inkml:trace>
  <inkml:trace contextRef="#ctx0" brushRef="#br0" timeOffset="3">1998 5363,'6'0,"3"0,7 0,3 0,4 0,3 0,0 0,0 0,0 0,1 0,-1 0,-5 0</inkml:trace>
  <inkml:trace contextRef="#ctx0" brushRef="#br0" timeOffset="4">2809 5291,'4'-1,"0"0,1 1,-1-1,0 0,0 0,0-1,0-1,-1 2,1-1,-1 0,6-7,12-6,59-27,97-38,-172 78,0-1,0 1,1 1,-1-1,1 1,-1 1,0-1,1 0,-1 1,9 0,-12 0,-1 1,1-1,0 1,1-1,-1 1,-1-1,1 1,-1 1,1-1,-1 0,1 0,-1 1,1-1,-1 0,0 1,0 0,0-1,0 0,0 0,0 2,0-2,-1 0,1 1,0-1,-1 1,0 0,1 0,-1 0,0 0,0 0,0 0,-1 3,0 6,-1 3,0 0,-2 0,1 0,-2-4,0 4,-1-1,-10 14,1 5,-65 137,72-154</inkml:trace>
  <inkml:trace contextRef="#ctx0" brushRef="#br0" timeOffset="5">3619 5431,'0'3,"-5"7,0 4,-10 7,-5 2,0-2,0 7,-1-3,-3-4,5 2,5-2,4 1,5 0,3-1,1-1</inkml:trace>
  <inkml:trace contextRef="#ctx0" brushRef="#br0" timeOffset="6">4074 5111,'-7'-1,"1"1,-1 0,1 0,-2 1,2 0,-1 0,1 1,0-1,-1 0,1 1,0 0,0 1,0 0,1 0,-1 1,1-1,0 1,0-1,-1 2,1-1,1 1,0 0,0 1,0-2,-3 6,-1 4,0 1,1 1,0-3,1 3,1 1,0-3,-3 25,5-15,0 4,3-1,6 47,-5-70,-1-1,1 0,0 1,0-2,0 1,0 1,1-1,0 0,0-1,0 2,0-2,0 1,0-3,0 3,1-1,-1 0,1 0,0 0,0 0,0 1,0-1,0-1,0 0,0 1,0-1,1 0,6 1,3 1,0-2,0 0,0 0,0-1,0-1,18-2,-27 2,0 1,-1-1,1 0,-1 0,0 0,1-1,-1 1,0-1,0 1,0-2,0 1,0 0,0 0,0-1,-1 2,2-2,-2 2,0-1,0 0,0-2,0 1,0 0,-1 0,0 0,1-1,-1 2,1-7,1-7,-1 2,0-2,-2-1,-1-21,0 17,1 14,0 1,-1 4,1-3,-1-2,-1 1,1 2,-1-1,0 0,0-1,-3-3,3 6,0 0,0-1,-1 2,0 1,0-1,1 1,-1-1,0 0,0 1,0-1,0 1,0 0,0 0,0-1,0 1,-1 1,1-2,-4 1,-15-2</inkml:trace>
  <inkml:trace contextRef="#ctx0" brushRef="#br0" timeOffset="7">4478 5111,'-2'0,"1"0,0 1,0-1,0 1,0-1,0 1,1 0,-1-1,0 1,0 0,0-1,0 0,1 1,-1 0,0-1,1 1,-1 0,1 0,-1 0,1 0,-1 0,1 0,0 0,-1 0,1 1,0-1,0 0,0 2,-3 32,3-35,1 11,0 3,1-1,0 1,1-3,1 1,0 3,7 11,53 87,-21-42,-35-55,0-1,0 1,5 16,-11-28,-1 0,0-1,0 1,-1 0,1 1,-1-1,0-2,0 3,-1-1,1 0,-1 1,0-2,-2 8,1-9,1 0,0 0,-1 0,0 0,1 0,-1 0,0 0,0-1,0 1,0-1,0 0,0 0,0 0,0 0,-1 0,1 0,0-1,-1 0,1 0,0 0,-1 0,1 1,-1-1,0 0,-2-1,-4 1,1 0,-1 0,0-1,0 0,-15-5,12 1,0-1,0 0,1-1,0 1,1 0,0-2,0 1,0-1,0-1,2 1,-1-2,2-1,-1 2,2 1,-1-3,-9-22,16 29,-1 1,1 2,0-2,0 0,0 0,0 1,0-1,1-2,0 2,-1 0,1 0,0 1,1-1,-1 0,0-1,1 1,0 1,0 0,0 0,0 0,0 0,3-2,7-8,0 2,1-1,16-8,-17 13,42-24,-39 22,0 0,-1-1,18-11,-28 15,-1 3,2-2,-2 0,0 0,0 0,0-1,0 1,-1 0,0 0,0 2,0-4,-1 2,1-1,-1 0,1-5,-1-3,0 1,-1 2,0-2,-1-1,0 2,-5-19,5 28,0-1,0 0,-1-1,1 1,-1-1,0 1,0 1,0-2,0 1,0 0,-1 0,-1 1,2-1,-1 3,0-2,0 0,0 0,0-1,-1 2,1 0,-1-1,1 1,-2 0,2 0,-1 0,-4-1,-55-1,31 4</inkml:trace>
  <inkml:trace contextRef="#ctx0" brushRef="#br0" timeOffset="8">3922 5111,'0'-5,"5"0,0-3,5-2,5-2,3 1,-1 0,1-2,2 5,-2-3,-1 3,2 0,2 5,1 1,-2 0</inkml:trace>
  <inkml:trace contextRef="#ctx0" brushRef="#br0" timeOffset="9">4049 5246,'0'-3,"-4"-2,-7 0,-5 4,-3-3,-4 2,-2 1,-1 0,4 1</inkml:trace>
  <inkml:trace contextRef="#ctx0" brushRef="#br0" timeOffset="10">3365 3369,'0'62,"3"120,0-142,2 0,16 59,1-14,26 71,-39-129,6 35,-12-46,1 2,1 0,0-1,3-1,13 27,-13-27,-1 0,-1 1,-1-3,0 3,-1 1,2 19,0 1,-2-15,-1-3</inkml:trace>
  <inkml:trace contextRef="#ctx0" brushRef="#br0" timeOffset="11">1494 3989,'-1'4,"-1"2,1 0,-1-1,0 1,-1-1,1 0,-1 0,0-1,-1 2,1-1,-2 0,1-1,-6 7,-11 9,7-2,-2-1,-1-3,-1 2,0-1,0-2,-30 17,3 1,38-27,1 0,-1-1,0 2,1 0,-2-2,1 0,0 1,0-1,0 0,0-1,-1 1,1-3,-1 2,-13 1,7-3,2 1,-1-2,0 1,1-2,-17-1,23 1,1 0,0 0,0 0,-1-1,1 0,0 1,0-1,1 1,-1-2,1 0,0 0,0 2,0-1,-3-7,0 1,-1 2,2-3,0 1,1 1,0-2,0 2,1-3,0 1,1-2,1 5,-3-23,5 28,0 0,0-1,0 1,0 1,1-1,-1 0,1 0,-1 1,1-1,0-1,0 2,0-1,0 0,0 2,0-1,0-1,0 1,1 0,-1 0,1 0,-1 0,1 0,0 0,-1 0,1 0,0 0,0 0,0-1,-1 1,1 1,0-1,0 1,0-1,0 1,0 0,2 0,-2 0,0 0,2 0,5 1,0-1,0 2,0 0,-1 0,1 0,1 1,11 3,14 10,0 2,-1 2,32 24,88 73,-113-85,-22-17,-4-3</inkml:trace>
  <inkml:trace contextRef="#ctx0" brushRef="#br0" timeOffset="12">608 3690,'0'4,"0"5,0 5,0 4,0 5,-13 13,-9 4,-9 1,-16 7,-5-3,2-2,7-6,3-4,7 1,8-10</inkml:trace>
  <inkml:trace contextRef="#ctx0" brushRef="#br0" timeOffset="13">1416 3964,'0'4,"0"6,-4 3,-6 10,-9 6,-3 7,0-1,-10 3,0 0,-3-3,0-4,6-2,9-3,6-6</inkml:trace>
  <inkml:trace contextRef="#ctx0" brushRef="#br0" timeOffset="14">2227 3918,'0'8,"0"7,-4 4,-6 3,-10 9,-6 4,-2-2,-1 0,2-5,9-2</inkml:trace>
  <inkml:trace contextRef="#ctx0" brushRef="#br0" timeOffset="15">2707 3942,'0'3,"0"7,0 3,0 6,0 10,-4 3,-2 1,1 0,-4-1,5-2,2-10</inkml:trace>
  <inkml:trace contextRef="#ctx0" brushRef="#br0" timeOffset="16">3188 3942,'0'7,"-1"3,0-4,-1 2,0 1,0-2,-1 2,0-2,-1 1,0-1,-10 14,-3 4,-39 35,42-47,-27 26,-3 0,-1-6,-1 2,-3-3,-1-1,-2-5,-60 27,83-42,8-3</inkml:trace>
  <inkml:trace contextRef="#ctx0" brushRef="#br0" timeOffset="17">1998 3897,'-4'0,"-1"5,-5 6,0 7,-2 12,-5 1,-6 4,-2 0,-7-2,-3 0,-1-4,3-4,1-7,7-6</inkml:trace>
  <inkml:trace contextRef="#ctx0" brushRef="#br0" timeOffset="18">1063 3758,'-4'0,"-6"3,-5 7,-2 4,-5 1,-7 0,-3 3,-6 0,-3 4,-1 1,-1-1,-2 2,3-2,8 3,2-6,6-2,2-3,5-3</inkml:trace>
  <inkml:trace contextRef="#ctx0" brushRef="#br0" timeOffset="19">4504 2841,'1'-7,"0"-2,0 0,1 2,0-1,1 1,-1 0,2-2,-1 2,1-1,0-1,1 4,0 0,1-3,-1 3,1-2,7-5,7-5,0 4,0-3,1 1,29-11,-47 25,6-5,0 1,0 2,0-1,17-4,-24 8,0-1,0 1,-1-1,1 1,0 0,0 0,0-1,0 2,-1-1,1 0,0 0,0 0,0 1,-1-1,1 1,0 0,0-1,-1 1,1 0,-1 0,1 0,0 0,-1 0,0 0,1 0,-1-1,0 2,0 0,0-1,1 0,-2 0,2 3,2 6,0-3,-1 3,0-1,-1 1,0-1,1 17,-3 67,-1-54,-2 29,-3 0,-4 0,-2-3,-4 2,-47 116,52-151,-2-5,-1 2,-24 35,25-45</inkml:trace>
  <inkml:trace contextRef="#ctx0" brushRef="#br0" timeOffset="20">4883 3231,'122'1,"135"-3,-222-1,-1-2,0-1,39-8,-48 7</inkml:trace>
  <inkml:trace contextRef="#ctx0" brushRef="#br0" timeOffset="21">6554 2750,'2'91,"0"-36,-2-3,-9 64,5-98,-1-1,-2 0,0 1,0-1,-2 0,1-1,-22 29,13-22,-2-2,0 0,-1 0,-39 26,54-43,-1 0,0 0,-1-1,1 2,0-5,0 2,-1 1,1-1,-1-1,0 1,0-1,0-1,0 0,0 1,0-1,0 0,0-1,0 1,1-1,-13-2,-7-4,2-2,1-1,-2-1,-25-16,27 17,18 6,1 0,0 1,0-1,0 2,0-1,1-3,0 3,0-1,0-1,0 2,1-2,0 1,0-1,0 1,0 0,1 0,0-2,0 0,0-9,0 8,1 0,0-2,1 1,-1-1,2 0,-1 2,1-2,1 3,0-1,0-3,5-7,-6 13,1 1,0 0,0-1,1 1,-1-1,0 2,1-1,-1 1,1-1,0 0,0 1,0-1,0 1,0 1,1-1,-1 1,1-2,-1 3,1-1,0 1,-1 0,1-1,0 1,-1 0,2 0,-1 1,0-1,0 0,0 1,6 3,5 0,-1 1,-1 1,2 0,-2 1,0 1,-1-1,23 20,35 29,-4 2,66 77,-80-81,80 69,-116-111</inkml:trace>
  <inkml:trace contextRef="#ctx0" brushRef="#br0" timeOffset="22">13587 2863,'-1'6,"0"1,0-2,-1 0,1 1,-1 0,-1-2,1 2,-1-1,-5 7,-11 23,-4 13,13-26,1-2,-7 26,12-33,-1-2,0 0,-1 2,-1-5,-11 19,4-4,6-12</inkml:trace>
  <inkml:trace contextRef="#ctx0" brushRef="#br0" timeOffset="23">13637 2682,'1'-1,"-1"0,0 0,1 0,0 0,-1-1,2 0,-1 1,0 0,-1 0,1 1,0 0,0-1,0 0,0 0,0 0,0 1,1-1,-1 0,0 1,0-1,2 1,28-12,-29 11,27-3,1-2,-1 2,0 1,1 1,1 2,43 4,-66-4,1 1,-1 1,0 0,1 0,-1 1,1 0,-1-2,-1 2,1 1,-1 1,1-1,-1 1,-1 0,1 1,-1-1,0-1,12 14,-10-10,-1 1,0 0,-1 1,0-2,-1 0,5 15,-9-20,0 0,0-2,-1 1,1 0,0 0,-1 1,0-1,0 1,0-3,0 4,0-1,0-1,-1 1,1-1,-1 0,0 1,1-1,-1 0,0 1,-1-1,1 1,0-1,-1-2,1 2,-1 0,0 0,0 0,0 0,0 0,0 1,0-2,0 1,-4 1,0-1,-1-1,0 0,-1 1,1 0,-1-1,0 1,1-2,-10 1,-66-4,35 0,3 4,-3 2,-77 14,104-11,4 1</inkml:trace>
  <inkml:trace contextRef="#ctx0" brushRef="#br0" timeOffset="24">15004 2750,'-4'0,"1"1,-1 0,0 0,1 0,-1-1,1 2,0-1,-2 1,2 0,-4 5,-10 2,-24 7,-53 14,56-18,-68 27,104-38,-1 0,1 0,0 0,0 0,0 0,0 0,1 0,-1 1,0-1,1 1,-1 0,1 0,-1 0,1 1,0-2,0 1,0-1,0 1,0 1,0-1,1 0,-1 4,1-2,0-2,1-1,-1 2,1 0,0-1,0-1,0 2,0 0,0 1,1-3,-1 2,1-1,-1 1,1-1,0 0,0 0,5 5,1-2,1 2,0-3,1 2,0 0,1-1,-1 0,0-2,15 5,14 1,41 5,-42-9,39 13,-57-12</inkml:trace>
  <inkml:trace contextRef="#ctx0" brushRef="#br0" timeOffset="25">16598 2682,'-1'12,"-2"4,0-1,0-1,-2-1,-10 25,9-26,-10 23,-3 2,-2-2,-2-2,0 0,-2-1,-1-1,-37 32,48-48,-1 0,-2 1,0-4,0 1,-1-1,0 0,-2-1,-40 15,46-22,9-2,-1 0,1 0,0 0,-1-1,-10 2,14-3,0 0,-1-1,1 1,0-2,1 2,-1-1,0 0,0-1,1 1,-1 0,1-1,-2 1,2-1,0 1,-1-1,-1-2,-3-4,1 2,0 1,1-2,0-1,0 1,0-2,1 2,0-2,1 0,0 3,-3-19,3 9,0 0,2 0,0-1,1-1,3-20,-3 34,1-1,0 1,0 0,0-1,1 3,-1-1,1-1,0 1,0-1,0 1,1-1,-1 0,1 1,0-1,0 1,0 1,6-6,-3 5,0 1,0-1,0 0,0 3,2-2,-2-1,1 1,0 1,0 0,11-1,-2 2,1 1,0 0,0 1,-1 0,0 2,1-3,-1 4,24 9,5 10,-2-2,-1 5,71 55,-74-52,48 35,-76-53,-4-1</inkml:trace>
  <inkml:trace contextRef="#ctx0" brushRef="#br0" timeOffset="26">18015 3714,'0'3,"4"13,1 12,1 10,-2 8,-1 10,-1 5,-1 10,-1 3,-4 1,-2-8,1-10,-4-19,-4-17,-1-21,3-14,4-20,2 3</inkml:trace>
  <inkml:trace contextRef="#ctx0" brushRef="#br0" timeOffset="27">18066 3758,'16'0,"4"0,0 0,-1 0,1 0,0 3,-1 0,0 1,30 10,-40-11,1 0,-2 2,0 1,1-2,-2 1,1 1,-1 1,0-1,0 1,11 12,-14-15,-1 2,0-1,0 1,0-1,0 1,-1 0,0-1,0 0,-1-1,0 2,0 1,0-1,-1-1,0 1,0 1,-1-2,-2 10,2-10,-1-2,0 2,0-1,-1 0,1-1,-1 0,0-1,0 3,0-3,-1 1,1 0,-1 0,1 0,-2-2,1 1,0 0,0 1,0-3,0 2,-1-1,1 0,-5 1,-11 3,-1-3,1 0,-32 0,-56-4,86 2</inkml:trace>
  <inkml:trace contextRef="#ctx0" brushRef="#br0" timeOffset="28">15535 3714,'1'0,"0"0,0 0,0 0,-1 0,1 1,0-1,0 1,-1-1,1 1,-1-1,1 0,0 1,-1 0,1-1,-1 1,1 0,-1 0,0-1,1 1,-1 0,0 0,1 0,-1 0,0 1,5 24,-4-25,2 21,-1-1,-1 1,-1 0,-1-3,-5 29,3-33,-1-1,0-1,0-1,-2 2,0-2,-1 2,0-2,-2 0,-9 12,-2 0,-1-2,0 0,-4-3,1 2,-44 26,54-38,-1-2,0 1,0 0,-2-2,1-2,0 0,-1 1,0-1,0-1,0-2,0 1,-23-1,27-2,2 0,-1 0,0-1,0 0,1 0,0-3,-1 1,0 2,-11-7,16 4,1 0,-1 1,1-1,0 2,1-4,-1 3,1-2,0 1,0-1,0 0,1-1,0 3,1-4,-6-13,4 9,1-4,1 0,-2-26,4 35,1 0,0-1,0 3,1-2,0 1,0-1,0 1,1-1,1 0,-1 2,4-10,-2 11,0-1,0 3,0-1,1-1,1-1,-2 3,1-1,1 0,-1 0,0 1,10-4,67-18,-74 22,2 1,-1 1,0 0,0 0,1 0,-1 0,0 1,0 0,0 1,0 0,0 1,-1 0,1 0,-1 1,1 0,-1 0,0 0,13 10,9 7,0 4,-2 1,27 31,-34-36,191 189,-204-203,1 0,-1 1,20 11,-6-9</inkml:trace>
  <inkml:trace contextRef="#ctx0" brushRef="#br0" timeOffset="29">15814 3873,'8'0,"0"1,0 1,0-1,1 1,0 1,-1-1,13 6,17 4,166 41,241 25,211 1,-561-70,-34 1,-60-10,1 0,-1 0,1 1,0-1,-1 0,1 0,-1 0,0 0,0 1,1-1,-1 1,0-1,0 1,0 0,0 0,1 1,-2-2,0 1,0-1,1 1,-1-1,0 1,0-1,-1 1,1-1,0 1,0-1,0 1,0-1,0 2,0-2,-1 1,1-1,0 1,0-1,-1 0,1 1,0-1,-1 1,1-1,-1 0,1 1,0-1,-1 0,0 1,-4 2,-2 0,0 1,1-1,-12 4,-89 22,-3-2,-182 22,-13-20,-8 1,259-23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55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338 0,'-1'0,"0"1,0-1,0 1,0-1,0 1,0-1,0 1,0 0,0-1,1 1,-1 0,0 0,0 0,0 0,1 0,-1-1,1 1,-1 0,1 1,-1 0,-13 30,7-16,-47 86,-14 30,29-51,19-41,1 1,-16 53,28-75,0 1,-18 30,10-20,5-9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56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103 0,'0'23,"-7"215,3-201,-1 0,-2 0,-2-1,-17 48,15-57,1 2,-10 48,17-54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57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0 1,'4'0,"6"8,10 7,9 6,9 3,6-3,0-4,1-6,1-4,-2-3,-1-3,-4-1,-3-1,-5 0,-6 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58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429 79,'0'-2,"-1"1,1-1,-1 1,0 0,0-1,0 1,0 0,0 0,0-1,0 1,0 0,0 0,0 0,-1 0,-1-1,-28-16,23 13,-2 0,0 0,0 1,0 0,-1 0,0 1,1 1,-1 0,-11-1,-92 1,81 2,24 0,1 0,0 0,-1 1,1 0,0 1,0 0,-14 5,19-6,1 1,-1-1,1 1,-1 0,1 0,-1 0,1 0,0 0,0 1,0-1,1 0,-1 1,0 0,1-1,0 1,-1 0,1 0,0 0,1-1,-1 1,0 0,1 0,0 0,-1 4,1 3,-1 1,2 0,-1-1,1 1,1-1,0 1,1-1,0 0,0 1,10 17,-10-21,1-1,0 0,0-1,1 1,0-1,0 0,0 0,0 0,1-1,0 1,0-2,0 1,0 0,1-1,-1-1,1 1,10 2,19 1,1-1,-1-2,1-2,0-1,49-6,-84 6,1 0,-1-1,0 1,1-1,-1 1,0-1,1 0,-1 0,0 1,0-2,0 1,0 0,0 0,0-1,0 1,0-1,-1 0,1 1,0-1,-1 0,1 0,-1 0,0 0,0 0,0 0,0-1,1-3,0-3,0-1,-1 1,-1 0,0-1,-1-15,0 17,0-15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59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1,'0'4,"4"2,6-1,5-1,5-1,2-1,3-1,0-5,-3-1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60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0 1,'0'6,"1"1,0 0,1-1,0 1,0-1,0 0,1 0,-1 0,2 1,-1-2,1 1,1-1,-1 0,1 1,0-2,0 1,0 0,0-1,10 6,10 5,0 0,2-2,37 14,-62-26,113 39,-70-26,54 24,-95-37,1 1,-1 0,0 1,0-1,-1 0,1 1,0 0,-1 0,1 0,-1 0,0 1,0-1,0 1,-1-1,0 1,0 0,0-1,0 2,0-1,-1 0,0 0,0 0,0 1,-1-2,0 2,1 0,-2-2,1 2,0-1,-1 0,0 0,0 1,0-1,-4 7,-2 3,-2 0,0 0,-1-1,0 1,0-2,-2 0,0 0,-1-1,0 0,-27 16,13-10,-3 0,1-3,-2 0,-55 17,28-11,58-20,0 0,-1 0,1 0,0 0,-1 0,1 0,0 0,-1 0,1 0,0 0,0 0,-1 0,1 1,0-1,0 0,-1 0,1 0,0 0,0 0,-1 0,1 0,0 1,0-1,0 0,-1 0,1 1,0-1,0 0,0 0,0 1,0-1,0 0,0 1,0-1,0 0,0 1,0-1,0 0,0 1,0-1,0 0,0 0,0 1,0-1,0 0,0 1,0-1,1 0,-1 0,0 1,22 5,35-1,207-4,-202-1</inkml:trace>
  <inkml:trace contextRef="#ctx0" brushRef="#br0" timeOffset="1">836 702,'3'-1,"1"0,-1-1,0 0,0 0,-1 0,1 1,-1-1,0 0,1-1,-1 1,0 0,0-1,0 1,2-5,0 1,90-132,2-2,-72 110,5-6,34-56,-63 91,1 0,-1 0,1 0,-1-1,1 1,0-1,0 1,0 0,-1 1,1-2,0 1,1 0,-1 0,0 0,0 0,0 0,1 0,-1 1,0-1,1 1,-1 0,0-1,1 1,-1-1,1 1,2-1,-1 2,-1 0,0 0,1 0,-1 0,0 1,0-1,0 1,-1 0,1-1,0 0,-1 1,1 0,-1 1,1-1,-1-1,2 5,8 15,0 0,0 1,-2 0,9 40,13 99,-17-72,-12-79,0-7,-1 2,0-1,-1-1,1 1,-1 0,1 0,-1 0,0 0,-1 0,1-1,-1 2,0-1,0-1,0 1,-1 0,1-1,-4 5,-9 5</inkml:trace>
  <inkml:trace contextRef="#ctx0" brushRef="#br0" timeOffset="2">938 566,'9'0,"11"0,11 0,13 0,8 0,-1 0,-4 0,-6 0,-7 0,-7 0</inkml:trace>
  <inkml:trace contextRef="#ctx0" brushRef="#br0" timeOffset="3">1675 205,'0'4,"0"9,0 13,0 10,-5 8,-5 7,-2-2,2-4,3-11</inkml:trace>
  <inkml:trace contextRef="#ctx0" brushRef="#br0" timeOffset="4">1623 250,'14'1,"0"0,1 2,16 2,29 5,-31-8,-2-1,2-2,-1-1,0-1,0 0,-1-2,1 0,47-18,-73 22,0 0,-1 0,1 0,0 1,-1-1,1 1,0-1,0 1,-1 0,1 0,0 0,0 0,0 0,0 0,-1 0,2 1,-1-1,0 0,-1 1,1 0,2 1,-2-1,-1 1,0 0,1-1,-1 1,0 0,0 0,0 0,-1-1,1 1,0 0,-1 0,1 0,-1 0,0 0,0 0,0 0,0 4,-1 23,-1 1,-2-1,-11 44,-37 82,36-116</inkml:trace>
  <inkml:trace contextRef="#ctx0" brushRef="#br0" timeOffset="5">2283 205,'0'38,"1"17,-3 1,-12 70,13-120,-1 0,1 0,1 0,-1 1,1-2,0 2,2 6,-1-11,0 1,0-1,0-1,0 2,0-1,1 0,-1 0,1-1,-1 1,1 0,0 0,0 0,0-1,0 0,0 1,1-1,-1 0,0 0,1 1,-1-1,4 0,-2 0,0 1,-1 0,1-1,0 0,0 1,0-1,0-1,0 0,0 0,0 1,0-1,1 0,0-1,-1 1,0 0,0-1,0 0,0 0,5-2,2-6</inkml:trace>
  <inkml:trace contextRef="#ctx0" brushRef="#br0" timeOffset="6">2309 385,'4'0,"6"0,5 0,6 0,1 0,-1-3,0-2,-1-4,-2-4,-4 1</inkml:trace>
  <inkml:trace contextRef="#ctx0" brushRef="#br0" timeOffset="7">2334 136,'4'0,"6"4,6 1,4 0,-2 3,2 0,0-1,2-2,-3-1</inkml:trace>
  <inkml:trace contextRef="#ctx0" brushRef="#br0" timeOffset="8">2207 159,'0'4,"0"9,0 10,0 9,0 2,0 8,0 7,0 4,0-3,0-7,0-7,4-9,2-9</inkml:trace>
  <inkml:trace contextRef="#ctx0" brushRef="#br0" timeOffset="9">2486 136,'4'0,"6"0,5 0,6 0,2 0,2 0,1 0,-4 4,-1 1,-1 0,3 0,-1-3,2 0,0 3,1 0,0 1,-4-3</inkml:trace>
  <inkml:trace contextRef="#ctx0" brushRef="#br0" timeOffset="10">2791 250,'-5'0,"-5"7,-5 8,0 7,1 9,0 2,2 0,4 2,2 2,2 0,3-8</inkml:trace>
  <inkml:trace contextRef="#ctx0" brushRef="#br0" timeOffset="11">2968 183,'4'0,"2"0</inkml:trace>
  <inkml:trace contextRef="#ctx0" brushRef="#br0" timeOffset="12">3070 115,'0'3,"0"6,0 9,-4 8,-7 8,0 3,-3 5,1 5,-3 5,3-3,3 2,3-3,4-6,1-3,1-16,1-11</inkml:trace>
  <inkml:trace contextRef="#ctx0" brushRef="#br0" timeOffset="13">2993 183,'2'1,"0"0,0-1,0 1,0 0,0 1,1-1,-2 1,1-1,0 1,-1-1,1 1,-1 0,0 0,0 0,1-1,-1 1,1 2,3 4,12 18,1-1,-3 2,-1 0,-2 1,12 34,26 67,-17-48,-10-9,-18-58</inkml:trace>
  <inkml:trace contextRef="#ctx0" brushRef="#br0" timeOffset="14">3044 522,'0'3,"4"3,6-2,7 0,7-1,9-2,3 0,0 0,-2-1,-3-1,-5 1</inkml:trace>
  <inkml:trace contextRef="#ctx0" brushRef="#br0" timeOffset="15">3451 227,'0'4,"0"5,0 9,0 5,0 2,0 2,0-2,0 1,0 2,0 1,0-1,0-4</inkml:trace>
  <inkml:trace contextRef="#ctx0" brushRef="#br0" timeOffset="16">3475 294,'42'1,"-5"0,36-4,-61 2,-1-1,2-1,-2 1,0-1,0-1,0 0,13-5,20-17,-35 20,1-1,0 1,1 1,0 0,17-6,-27 11,0 0,1-1,-1 1,0 0,1 0,-1-1,0 1,1 0,-1 1,1-1,-1 0,0 0,1 0,0 1,-1-1,1 1,-1-1,0 1,0 0,1-1,-1 1,0 0,1 0,0 1,0 0,0 0,-1 1,1-2,-1 2,0 0,1-1,-1 0,0 1,1 4,0 6,1 2,-2-2,0 21,-1-25,0 9,-5 213,1-210,-1-6</inkml:trace>
  <inkml:trace contextRef="#ctx0" brushRef="#br0" timeOffset="17">4136 227,'0'372,"0"-368,0 1,0 0,0-1,1 1,0-1,0 1,0-1,1 1,4 7,-4-10,-1 0,1 0,0 1,0-2,0 1,1 0,-1 0,0-1,1 1,-1-1,1 0,0 1,-1-1,1 0,0 0,0 0,6 0,10 2,0-1,1-1,-1 0,0-1,1-1,-2-1,31-5,132-40,-119 29,-44 13,-13 4,-1 0,1 0,0 0,-1 0,1-1,-1 0,0 0,0 0,0 0,1 0,-1-1,0 0,5-5,-3-5</inkml:trace>
  <inkml:trace contextRef="#ctx0" brushRef="#br0" timeOffset="18">4161 408,'9'0,"6"0,7 0,2 0,2 0,1 0,0 0,0-4,-6-5,-4-4,-7-5,-4-2,-4 0</inkml:trace>
  <inkml:trace contextRef="#ctx0" brushRef="#br0" timeOffset="19">4059 205,'0'4,"5"1,9 0,8-1,7-2,5 0,-2-1,1-1,-2 0,-2 0,-1 0,-3-4,1-1,-1 0,-4 1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1,'0'10,"1"0,1-1,0 0,0 1,6 11,2 9,127 594,-31 9,-57-333,50 199,-6-26,-44-146,-1 416,-49 516,-2-456,3 709,13-1120,1-9,-15 1440,1-1802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6495,'14'0,"0"2,1-1,-1 1,22 5,-13-3,408 91,535 48,461-54,-1079-82,1134 38,-536 3,729 33,880-10,-2148-58,1715 18,10-29,-2034-2,1650 13,-1647-11,418 4,-431-9,-30-1</inkml:trace>
  <inkml:trace contextRef="#ctx0" brushRef="#br0" timeOffset="1">8310 7731,'-62'0,"2"-1,-64 6,105-2,0 0,0 0,1 1,0 2,0-1,0 3,-26 10,42-17,-27 14,1 2,1 1,-25 18,44-29,1-1,0 1,1 1,0-2,0 1,1 2,0-1,0 1,0 0,1-1,-1 0,2 1,1 1,-2 9,2-5,0-3,1 2,1 2,0-2,1-1,1 1,4 21,-4-30,0 0,0 1,2 2,-1-1,1-1,-1 0,1 0,-1 0,1 0,1-2,-1 3,1-2,-1-2,1 2,1-1,-1-1,0 2,1 0,7 2,6-1,-1 0,0 1,1-2,1-2,-2 1,2-2,-1-1,25 0,4-4,1-1,50-13,-48 6,-2 2,2-5,-2-1,75-34,-109 41,0-1,0 2,-2-1,0-1,0-1,-2-1,20-21,-22 22,-3 1,0 0,0 0,-1-1,0 1,-1-1,0 0,-1-3,0 4,-1-1,1-15,-2 2,-1-5,-4-25,3 45,-1 1,1 0,-1 1,-1-2,1 2,-1-1,-1 2,0-2,0 0,0 0,-7-5,-6 1,1 4</inkml:trace>
  <inkml:trace contextRef="#ctx0" brushRef="#br0" timeOffset="2">2458 5714,'12'2,"1"1,-1 0,0 0,0 1,0 1,0 1,12 2,36 20,-17-15,1-2,0-2,2 0,82 4,191-12,-149-5,-114 4,-1-1,2-5,-1 0,-2-3,65-15,391-141,-484 153,1-1,-2-3,43-27,-33 21,62-29,-56 35,46-34,1-8,2 1,133-59,-181 96,0-1,67-48,66-62,-9 4,-128 100,-2 0,-1-2,-1-1,-1-2,-2-1,48-66,-40 39,43-62,97-195,-102 136,70-245,-53 17,-64 231,74-313,-76 385,-16 59,1-2,27-54,18-37,25-50,-31 97,39-74,-60 105,3 1,75-97,-37 57,-3 8,137-135,-112 130,102-87,-95 97,-91 79,199-169,-184 162,-1 0,3 0,0 2,0 1,2 0,-1 4,38-13,23 3,0 5,147-9,188 20,-363 8,-2 0,0 5,2-1,92 33,-42-5,145 70,-185-71,0 1,-3 3,-4 5,1 0,-4 4,70 71,407 464,-497-533,-4 1,-3 3,-1 1,23 60,79 244,-89-224,236 594,-98-303,-85-222,136 205,-5-54,0-64,-112-150,-20-13,81 92,-96-127,60 64,100 59,-193-178,1-1,3-2,67 33,12-2,195 68,191 60,-447-161,-3 4,86 55,-77-43,88 43,-51-46,194 56,-171-60,-128-40,0 0,0 1,-1 0,0 1,0-1,0 2,-1 0,17 10,-15-4</inkml:trace>
  <inkml:trace contextRef="#ctx0" brushRef="#br0" timeOffset="3">12488 7022,'1'-32,"0"8,-4 42,-1 9,-15 45,11-49,2 0,-5 40,-14 142,-3 67,27-239</inkml:trace>
  <inkml:trace contextRef="#ctx0" brushRef="#br0" timeOffset="4">11347 8443,'3'-2,"0"1,1 0,-1-1,0 0,0 0,-1 1,1-2,0 1,-1 1,1 0,3-7,7-2,61-44,227-155,-295 204,25-8,-30 12,0 1,-1 0,1 0,0-1,-1 1,1 0,0 0,0 0,-1 0,1 0,0 0,-1 0,1 0,0 0,0 1,-1-1,1 0,0 0,-1 1,1-1,0 0,-1 1,1-1,-1 0,1 1,-1-1,1 1,-1-1,1 0,-1 0,1 1,-1-1,1 0,-1 1,0-1,1 1,-1 0,0-1,0 1,0 0,1-1,2 20,0 0,-2-2,0 2,-1 0,-4 24,1 3,-1 26,-4 1,-3-2,-4 0,-4 0,-3-1,-52 111,59-149,4-8</inkml:trace>
  <inkml:trace contextRef="#ctx0" brushRef="#br0" timeOffset="5">11930 8696,'0'5,"0"2,0 10,0 19,-5 1,0 3,-5 4,-4-9,0 4,3-1,-2-4,1-1,3-8,4 1,1-3,3-4</inkml:trace>
  <inkml:trace contextRef="#ctx0" brushRef="#br0" timeOffset="6">12412 8352,'-16'0,"2"2,0 0,0 1,0 0,0 2,0-4,1 3,-19 10,7-1,1 2,0-3,-28 25,42-29,1 2,0-3,0 2,1 3,0-3,1 2,1 0,0 0,0-2,-5 23,5-18,2 3,0 1,0 0,2-3,1 4,1 30,1-42,0 1,0 0,1 0,0-3,1 3,-1-1,2 0,-1 0,1-1,0 1,5 7,-5-11,-1 1,1 0,0-1,0 0,1 0,-1 1,0-1,2 0,-1-1,0 1,0-1,0-1,0 1,0 0,1 0,-1-1,7 1,6-1,2 0,-1-1,0 0,-1-2,1 0,-1-3,0 2,24-9,-32 9,-1-2,-1 2,1 0,-1-2,0 0,1 0,-1 0,-1-1,1 0,-1-1,0 0,-1 1,0-2,-1 0,1 3,-2-4,7-12,-7 11,1-1,-1 0,-1 2,0-4,-1 2,0-2,-1 4,0-18,-2 20,0 2,0-2,-1 1,1 2,-1 0,-1-2,1-1,-1 2,0-1,0 0,-1 0,0 4,0-3,0 0,0 1,-1-1,-8-4,6 4,-1-1,0 2,1 1,-1-1,0 0,-1 1,0-1,1 2,-1 0,1 0,-18 0,5 0</inkml:trace>
  <inkml:trace contextRef="#ctx0" brushRef="#br0" timeOffset="7">12918 8373,'0'537,"1"-529,-2 0,1 0,-1-2,0 3,-3 3,4-10,-1-1,1 1,0-1,-1 1,1-1,-1 0,1 0,-1 0,0 0,0 0,1 0,-1 0,0-1,0 1,0 0,0 0,0-1,0 1,0 0,0-1,0 1,0-1,-1 1,1-1,0 1,0-1,-1 0,1 0,0 0,0 1,-1-1,1 0,0 0,0-1,-1 1,1 0,0 0,0-1,-1 1,1-1,0 1,-2-2,-10-3,0-2,1-2,1 3,-2 0,-10-14,-50-49,68 61,0 4,0-2,0 0,0 0,1-1,1 0,0 0,0 0,0 0,1-1,0 0,1 3,-2-18,3 20,0-2,1 1,-1-1,1 0,0 1,1-2,-1 3,1-1,0-1,0 3,0-2,0-1,1 1,0 0,1 0,-1 1,0-2,1 2,0 0,-1 0,1 0,0 1,7-2,7-5,1 2,0 1,0-1,26-2,33-11,-47 11,-25 8,0-2,0 1,0 0,0 0,0 0,0-1,0 0,-1 0,0-1,1-1,0 3,-1-1,0-2,-1 1,0 0,5-7,-2-1,0 2,-1-3,-1 3,1-2,-2 1,0-1,-1-2,3-16,-5 23,-1 0,0 0,0 0,0 1,-1 1,0-1,-1 0,1-1,-1 2,0-2,-1 0,0 2,0-1,0 0,-1 2,0 0,0-2,-8-9,7 11,0-2,0 4,0-3,-1 1,1 1,-3 0,2-2,0 4,-1-2,1 0,0 1,-1 1,0-1,0 1,1 0,-1 0,0 0,-1 1,1 0,-12 2,-7 2</inkml:trace>
  <inkml:trace contextRef="#ctx0" brushRef="#br0" timeOffset="8">12259 8327,'4'-3,"2"-7,9 2,5-6,8 2,9 3,1 2,0 3,-4 2,-7 1</inkml:trace>
  <inkml:trace contextRef="#ctx0" brushRef="#br0" timeOffset="9">12386 4061,'1'0,"1"0,-1 1,1-1,-1 1,0-1,1 0,-1 1,0 1,0-1,0 0,1 0,0 0,-1 0,0 0,0 0,-1 1,2 0,16 26,-16-25,7 15,-1 1,-2 1,0-2,-1 2,2 24,2 1,29 124,0-11,23 238,-62-26,-8-295,-3-1,-24 85,12-53,-1 56,18-101,-17 69,-25 75,41-157,2 1,1 62,7 303,-2-242,0-175</inkml:trace>
  <inkml:trace contextRef="#ctx0" brushRef="#br0" timeOffset="10">13045 5392,'0'7,"0"16,-4 10,-6 17,-7 20,-7 21,-4 17,-3-2,-3 0,-1-1,-3-4,4-16,4-8,8-12,7-16</inkml:trace>
  <inkml:trace contextRef="#ctx0" brushRef="#br0" timeOffset="11">13375 5759,'0'4,"0"5,-5 5,-5 16,-10 17,-1 11,-10 16,-14 33,-6 13,-4 13,-1-4,10-15,10-29</inkml:trace>
  <inkml:trace contextRef="#ctx0" brushRef="#br0" timeOffset="12">13830 6102,'0'4,"0"6,-4 8,-7 13,-8 17,-6 15,-4 14,0 2,4-10,2-7,1-7,8-12,7-16</inkml:trace>
  <inkml:trace contextRef="#ctx0" brushRef="#br0" timeOffset="13">14135 6241,'0'4,"0"5,0 7,0 13,-5 4,-1 13,-3 9,-1 1,-4 0,2-1,-2-10,2-11,3-4,1-9</inkml:trace>
  <inkml:trace contextRef="#ctx0" brushRef="#br0" timeOffset="14">14539 6355,'5'0,"0"6,0 6,0 10,-2 16,-5 8,-7 4,-2 3,-3-1,0-8,4-7,2-5,4-8</inkml:trace>
  <inkml:trace contextRef="#ctx0" brushRef="#br0" timeOffset="15">15780 6540,'0'2,"-1"2,0 0,0 0,0-1,0 0,-1-1,1 1,-1 1,0-1,0 0,-4 3,-30 34,26-29,-20 22,-3-3,1 0,-3-3,-1 0,-1-3,-2 2,1-3,-54 20,77-39,0 0,0-1,-1 0,-1-2,1 1,-30-1,-20 3,24 1,21-2,-1 0,1-1,-1-1,1-1,0-1,-25-4,41 4,1-1,-1 0,1 0,-1-1,1 0,0 1,0 0,0-1,0 0,1 0,0 1,-1-3,1 2,-1-1,2 0,-1 0,1 0,0-2,-1 3,1-2,0 1,1 1,0-2,0 0,0 1,1-7,-1 6,1 0,-1 1,1-2,0 0,1 1,-1 2,1 0,0-2,1-1,-1 1,1 1,0-1,1-1,0 2,-1 0,1 0,0 1,1-1,0-1,-1 3,1-1,0-1,0 1,7-5,0 3,-1 2,1 0,1-1,-1 3,0-1,1 0,-1 0,0 1,1 1,0 0,13 4,7-1,0 3,53 16,-51-14,-16-2,2-1,-1 0,-2 1,1 3,-1-2,1 2,-2 2,25 15,46 58,-29-25,-41-42,-3 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9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547 0,'-4'1,"0"0,1-1,-1 1,0 0,0 0,1 0,-1 0,1 2,-1-2,1 1,-1 0,1 0,-3 3,-37 34,0 4,-6 5,4 2,-46 64,70-82,-1-2,1 1,2 1,-28 67,43-87,1-3,1 1,0 2,1-1,0-2,0 2,1-1,1 1,0-1,1 2,0-2,1 0,0 0,0 1,2-1,-1-1,1 1,9 11,-5-9,0 1,2-1,0 0,0-2,1 2,1-2,-1 0,2-1,0-1,0 1,1-2,0 1,0-2,1 0,0-1,-1 0,2-2,-1 2,1-3,0 0,0-1,22 0,-36-1,1-1,-1 1,1-1,-1 0,0 1,1-1,-1 0,0 0,1-1,-1 0,0 1,0-1,-1 0,1 0,0 0,-1 0,1-1,-1 1,0 0,0-1,0 0,0 1,0-1,0 0,-1 0,0 0,0 0,2-6,0-5,0 0,-1-1,0 0,-2-24,-1 10</inkml:trace>
  <inkml:trace contextRef="#ctx0" brushRef="#br0" timeOffset="1">0 223,'4'0,"6"0,6 0,3 0,8 2,12 12,11 4,3 0,8 6,1-4,9 1,9 0,-5-4,-12-6,-15-3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59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77,'1'0,"0"0,0 1,-1-1,1 1,0-1,0 1,-1-1,1 1,0-1,-1 1,1-1,0 1,-1 0,1 0,-1-1,1 1,-1 0,1 0,-1-1,0 1,1 0,-1 0,0 0,0 0,1 1,4 28,-5-27,4 49,-3 60,1 26,-2-138,0 1,0-1,0 0,0 0,0 1,0-1,0 0,0 1,0-1,0 0,0 0,0 1,0-1,0 0,0 0,1 1,-1-1,0 0,0 0,0 1,0-1,0 0,1 0,-1 1,0-1,0 0,0 0,1 0,-1 1,0-1,0 0,1 0,-1 0,0 0,0 0,1 0,-1 1,10-10,13-26,-18 26,10-15,46-84,-55 94,0 0,-1 0,-1 0,0-1,-1 1,2-22,-4 10</inkml:trace>
  <inkml:trace contextRef="#ctx0" brushRef="#br0" timeOffset="1">474 26,'0'5,"4"5,2 18,3 4,6 14,3 3,3-3,3 0,1-4,0-5,-3-4,-2-8,-4-4,-1-6,2-5,2-4,2-4,-3-2</inkml:trace>
  <inkml:trace contextRef="#ctx0" brushRef="#br0" timeOffset="2">947 226,'0'4,"0"10,0 12,-4 4,-2 11,-3 6,-6 0,1 1,2-1,0-7,1-7,2-8</inkml:trace>
  <inkml:trace contextRef="#ctx0" brushRef="#br0" timeOffset="3">1096 202,'0'407,"15"-607,-15 192,5-35</inkml:trace>
  <inkml:trace contextRef="#ctx0" brushRef="#br0" timeOffset="4">1121 2,'18'-1,"-9"1,0 0,0 0,0 1,18 3,-24-2,0-1,1 0,-1 1,0 0,0 0,0 0,0 0,0 0,0 0,-1 1,1 0,-1-1,0 1,1 0,2 6,5 8,0 1,-1-1,-2 2,1-1,-2 1,-1 1,6 31,-11-49,0-1,0 1,0 0,0 0,0 0,0 0,-1 0,1 0,-1 0,1 0,-1-1,0 1,1 0,-1 0,0-1,0 1,0 0,-1-1,1 1,0-1,-1 0,1 1,-1-1,1 0,-1 0,1 0,-1 0,0 0,1 0,-1 0,0-1,0 1,-2 0,-7 1,1-1,0 1,0-2,-21-1,23 1,-15-1</inkml:trace>
  <inkml:trace contextRef="#ctx0" brushRef="#br0" timeOffset="5">1371 126,'4'0,"6"0,5 0,4 0,4 0,1 0,2 0,0 0,0 0,0 0,-1 0,0 0,1 4,-6 6,-4 1</inkml:trace>
  <inkml:trace contextRef="#ctx0" brushRef="#br0" timeOffset="6">1445 500,'4'0,"6"0,5 0,5 0,2 0,-1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0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0 322,'5'0,"4"0,7 0,4 0,7 0,3 0,11 0,14 3,11 6,2 2,4-2,-3-2,-8-2,-10-2,-15-3</inkml:trace>
  <inkml:trace contextRef="#ctx0" brushRef="#br0" timeOffset="1">733 46,'28'0,"-9"-1,0 1,0 1,0 0,19 5,-34-5,1 0,0 0,-1 1,1 0,-1 0,1 0,-1-1,0 2,0 0,0 0,0 0,-1-1,1 2,-1 0,1-2,-1 2,0 0,0-1,-1 2,3 3,6 18,-1 1,-2 0,0-1,5 48,-9-26,-4 89,0-125,-1 0,-1 0,0-1,-1 1,0-1,-1 0,-1 1,1-2,-2 1,-10 16,9-19,0 0,0-1,-1 1,0-1,0-1,-1 1,0-2,0 1,0-1,-1 0,1 0,-22 6,-2-3,-2 0,-42 3,2 1,73-12,1 0,-1 0,0 1,0-1,0 1,0-1,1 1,-1-1,0 1,1 0,-1 0,0 0,1 0,-3 1,4-1,0 0,0-1,1 1,-1-1,0 1,0-1,1 1,-1-1,1 1,-1-1,0 1,1-1,-1 0,1 1,-1-1,1 0,-1 1,1-1,-1 0,1 1,-1-1,1 0,-1 0,1 0,0 0,-1 0,1 1,0-1,62 10,246-5,-253-5,-13 0</inkml:trace>
  <inkml:trace contextRef="#ctx0" brushRef="#br0" timeOffset="2">1236 597,'0'4,"6"1,-1 4,1 8,-2 9,-1 8,-5 9,-3 2,-4 1,-2-7</inkml:trace>
  <inkml:trace contextRef="#ctx0" brushRef="#br0" timeOffset="3">1338 551,'2'0,"-1"0,0-1,0 1,0-1,0 1,0-1,0 1,0-1,0 0,0 0,0 1,0 0,-1-1,1 0,0 0,0 0,-1 0,1 0,0-1,12-23,-12 23,122-232,-41 82,-81 148,1 1,0-1,0 2,0-2,0 1,1 0,-1 1,1-1,0 0,3-2,-5 5,0-1,0 1,-1 0,1-1,0 1,0 0,-1 0,1-1,0 1,0 0,-1 0,1 0,1 0,-1 0,0 0,-1 0,1 0,0 1,0-1,0 0,0 1,1 0,-1 0,1-1,0 1,-1 0,0 1,1-1,-1 1,0-1,0 1,1-1,-1 0,1 3,5 10,0 1,-1-2,-1 2,0 1,-1-1,2 17,6 100,-7-62,11 164,-14-195</inkml:trace>
  <inkml:trace contextRef="#ctx0" brushRef="#br0" timeOffset="4">1843 1,'19'1,"1"2,-1-1,1 2,-2 1,1-1,23 11,-22-8,-1 0,1-2,1 1,0-2,25 2,-39-6,-1 0,0 1,0-1,1 2,-1-1,0 1,0-1,0 1,7 3,-11-3,1 0,-1-1,1 1,-1 0,0 0,0 1,0-1,0 0,0 0,-1 1,1 0,-1-1,1 0,-1 1,0 0,0 0,-1-1,1 1,0 0,-1 4,3 55,-3 0,-15 109,6-106,-20 67,22-105,-2 0,-1-2,-2 1,0-1,-22 30,20-37,1-6</inkml:trace>
  <inkml:trace contextRef="#ctx0" brushRef="#br0" timeOffset="5">1768 414,'4'3,"6"3,5 7,5 4,2 2,4-5,-1-2,2-2,-1-1,-4 1,-2-1,-4-1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1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1,'0'7,"0"11,0 8,0 9,0 13,0 9,0 3,0 3,0-3,0-8,0-8,0-8,5-11,5-9,13-3,21-4,2-5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1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0,'0'4,"0"6,0 5,0 1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1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1294 4515,'0'7,"-16"354,4-199,12-138</inkml:trace>
  <inkml:trace contextRef="#ctx0" brushRef="#br0" timeOffset="1">1 5829,'4'0,"6"1,5 4,6 1,1-2,7 3,4 0,-1 0,-1-3,-6-1</inkml:trace>
  <inkml:trace contextRef="#ctx0" brushRef="#br0" timeOffset="2">559 5781,'1'0,"0"-1,0 1,0 0,0-1,-1 1,1-1,0 1,0-1,0 0,-1 1,1-1,0 0,-1 1,1-1,0 0,-1 0,1 0,-1 1,1-2,0 1,11-26,-5 11,-6 13,0 1,1 1,-1-1,1 0,-1 1,1-1,0 0,0 1,0-1,0 2,0-1,0 0,0 0,1 0,0 0,-1 0,2-1,-2 1,4 1,-2 0,1-1,0 1,0 0,0 1,-1-1,1 0,0 1,-1 1,9 2,-3-2,-1 2,0-1,-1 2,1 0,-1 1,0 0,-1-1,1 2,10 9,-12-9,-2 1,1-1,-1 0,0 2,-1-1,0 2,3 13,7 64,-13-85,1 7,0 3,0 1,-1 24,-1-32,0 1,0-3,0 1,-1 1,1 0,-1 0,-1 0,1-1,-1 0,-5 8,-10 7,13-14,0 1,0-2,-1 2,2 0,0 0,0 0,-2 8,5-13,1 1,0-1,-1 0,1 1,0-2,0 0,0 1,0-1,0 2,0-1,1 0,-1 2,0-2,1 0,-1 1,1-1,0 2,1 0,0-1,0 0,-1-1,1 0,0 1,1 0,-1 0,1-1,-1 0,1 0,-1 1,5 0,9 4,1-2,0-1,1 1,0-1,24 0,95-4,-84 0,-25 0</inkml:trace>
  <inkml:trace contextRef="#ctx0" brushRef="#br0" timeOffset="3">1344 6103,'4'0,"2"5,3 4,3 6,-4 1,-1 6,-3 0,-2 10,-1 2,-1 0,0-3,0 4,-1-4,1-5</inkml:trace>
  <inkml:trace contextRef="#ctx0" brushRef="#br0" timeOffset="4">1624 6034,'1'-4,"-1"0,1 0,1 0,-1 2,0 0,1-2,0 1,0-1,0 1,5-7,2-1,34-47,2 3,2 2,97-84,-91 94,41-44,-91 85,-1 0,0 0,0 1,1-1,-1-1,1 1,0 0,0 0,1 1,-1-1,0 1,4 0,-5 1,-1 0,1 0,-1 0,1 0,-1 0,1 0,-1 0,1 0,-1 0,1 0,-1 1,0 0,1-1,-1 1,0 0,1 0,-1-1,0 1,0 0,0 0,0 1,0-1,0 1,0-1,0 0,0 0,0 0,0 1,3 6,0 1,-1-3,0 2,-1 0,0-1,0 0,1 12,1 60,-4-59,-9 197,5-182,-2 2,-2-1,-25 65,23-80</inkml:trace>
  <inkml:trace contextRef="#ctx0" brushRef="#br0" timeOffset="5">2511 5526,'103'-2,"116"5,-215-3,-1 0,2 0,-2 0,1 1,-1 0,1 0,-1 0,0 0,2 0,-2 2,0-2,0 1,0-1,0 1,0-1,-1 1,1 1,-1-1,1 1,-1 0,0 0,0 0,3 4,-2 1,0-1,0-1,-1 2,-1 0,0-1,0 1,-1 0,0 1,-1 7,-4 17,-1-3,-1 2,-2-2,-1 0,-28 56,-94 137,124-208,-79 109,70-105</inkml:trace>
  <inkml:trace contextRef="#ctx0" brushRef="#br0" timeOffset="6">2561 5874,'881'0,"-852"0</inkml:trace>
  <inkml:trace contextRef="#ctx0" brushRef="#br0" timeOffset="7">1344 3501,'-2'1,"1"0,-1 0,1 0,0 0,-1 0,1-1,0 1,0 0,0 1,-1-2,1 1,1 2,-1-2,0 1,0-1,0 1,1-1,-1 1,1 0,-1-1,1 1,0 2,-2 1,-54 168,9 2,-34 278,80-444,-19 231,24-195,-4-44,1 0,-1-1,0 1,1 0,-1 0,2 0,-1 0,-1 1,1-1,0 0,-1 0,1 0,0 0,1 1,-1-2,-1 0,1 0,0 1,-1-1,1 0,0 0,-1 0,1 0,0 0,-1 0,1 0,0 0,-1 0,1-1,0 1,-1 0,1 0,0 0,-1-1,1 1,-1 0,2-1,-1 1,-1-1,1 1,-1 0,1-2,15-14</inkml:trace>
  <inkml:trace contextRef="#ctx0" brushRef="#br0" timeOffset="8">2485 2833,'0'4,"0"13,0 19,0 19,0 21,-14 24,-11 28,-11 37,-4 1,-13 13,-4 4,2-18,6-21,12-35</inkml:trace>
  <inkml:trace contextRef="#ctx0" brushRef="#br0" timeOffset="9">4107 438,'0'16,"0"7,-4 31,-7 43,-4 46,-9 30,-10 56,-18 49,-11 34,-4 10,-6 26,5-9,4-23,9-46,15-62,13-59,11-57</inkml:trace>
  <inkml:trace contextRef="#ctx0" brushRef="#br0" timeOffset="10">6059 0,'-6'462,"-32"-6,-43 50,-203 650,-36-282,-58-31,215-484,147-321</inkml:trace>
  <inkml:trace contextRef="#ctx0" brushRef="#br0" timeOffset="11">7124 1314,'-34'828,"-177"259,-105-41,308-1022,1-5,2 0,0-3,-4 30,10-26</inkml:trace>
  <inkml:trace contextRef="#ctx0" brushRef="#br0" timeOffset="12">8086 2810,'0'24,"-5"34,-9 43,-15 39,-13 45,-14 29,-3-9,-10 8,-8 2,-5-19,10-30,15-40,16-44,16-35</inkml:trace>
  <inkml:trace contextRef="#ctx0" brushRef="#br0" timeOffset="13">8974 3455,'0'4,"0"14,0 25,0 19,-4 28,-11 41,-14 20,-9 4,1-12,3-24,10-27,8-24,8-26</inkml:trace>
  <inkml:trace contextRef="#ctx0" brushRef="#br0" timeOffset="14">9963 3525,'0'11,"0"16,0 23,-5 19,-13 36,-14 22,-8 25,-4 6,-11 8,2-16,2-14,12-30,17-32,11-28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205 476,'0'4,"0"5,-4 15,-6 18,-1 14,-4 11,-2 11,-4 3,-2 4,4-2,-2-10,5-10,1-10,1-9,5-8,3-6,3-9</inkml:trace>
  <inkml:trace contextRef="#ctx0" brushRef="#br0" timeOffset="1">485 573,'5'0,"0"3,0 7,0 5,-2 4,-1 2,-1 7,-1 2,0 9,0 10,-9 29,-12 18,-9 1,-10 0,-2-4,1-14,10-16,7-18</inkml:trace>
  <inkml:trace contextRef="#ctx0" brushRef="#br0" timeOffset="2">155 1152,'4'0,"6"0,6 0,3 0,4 0,3 0,-1 0,2 0,-5 0</inkml:trace>
  <inkml:trace contextRef="#ctx0" brushRef="#br0" timeOffset="3">815 1152,'-2'77,"0"-38,1-1,10 73,-8-106,-1 0,1 0,0-1,1 1,-1-1,1 0,-1 0,2 1,-1-1,0 0,1 0,1 0,-2-1,2 1,-1-1,0 1,1-1,-1 0,1 0,0 0,0-1,0 0,1 1,-1-2,2 1,-2-1,1 1,-1-1,1 0,0 0,-1-1,1 1,0-1,6-1,-2 2,-1-1,-1-1,1 1,-1-2,1 1,0-1,-1 0,1 0,-1 0,12-7,-15 7,1-1,0-1,-2 1,1 0,0-1,-1 1,0-1,1 0,-2 0,1-1,0 1,-1-1,0 1,0 0,0-1,-1 0,2-6,-1 3,0 0,-1-2,-1 1,0 2,0-3,-1 1,-1 1,1-1,-1 0,0 1,-6-14,1 6,-1 0,0 1,-2 0,-21-27,12 20</inkml:trace>
  <inkml:trace contextRef="#ctx0" brushRef="#br0" timeOffset="4">1807 1031</inkml:trace>
  <inkml:trace contextRef="#ctx0" brushRef="#br0" timeOffset="5">1705 1344,'0'5,"0"-1</inkml:trace>
  <inkml:trace contextRef="#ctx0" brushRef="#br0" timeOffset="6">3203 669,'-1'10,"0"0,0 0,-1-1,-1 1,1 0,-2-1,1 0,-1 1,-2-2,1 1,-6 9,-11 11,-44 44,66-72,-53 52,-3-2,-2-3,-2-2,-124 72,135-94,29-15</inkml:trace>
  <inkml:trace contextRef="#ctx0" brushRef="#br0" timeOffset="7">3153 644,'2'1,"0"1,0-1,0 0,0 1,0 0,0-1,0 1,-1 0,1 0,0 0,-1 0,0 0,2 1,-2-2,0 1,0 0,1 4,2 3,20 37,-15-26,2-2,0 1,0 0,2-1,15 16,-23-29,-1-1,1 1,0-1,1 0,-1-2,2 2,-2-1,1 0,0 0,0-1,1 0,-1 0,0-1,2 1,-2-1,1 0,-1-1,1 0,-1 0,1 0,13-3,36-10,-1-1,0-4,-1-1,-1-2,96-54,-128 62,1 0,-2-1,34-29,-53 43,-1-1,1 0,0 1,-1-1,1 0,0 1,-1-1,1 1,0-1,0 1,0-1,0 1,-1-1,2 1,-1 0,0 0,0-1,1 1,-1 0,-1 1,0-1,1 0,-1 0,0 1,1-1,-1 0,0 1,0-1,1 0,-1 1,0-1,0 0,1 1,-1-1,0 1,0-1,0 1,0-1,0 0,0 1,0-1,0 1,0-1,0 1,0 0,-6 37,-5 5,-11 41,-22 171,44-221,3-11</inkml:trace>
  <inkml:trace contextRef="#ctx0" brushRef="#br0" timeOffset="8">4244 644,'43'-1,"-1"2,0 1,0 3,71 15,34 8,-131-23</inkml:trace>
  <inkml:trace contextRef="#ctx0" brushRef="#br0" timeOffset="9">4219 1007,'5'0,"4"0,16 0,6 0,3 0,0 0,-2 0,-1 0,-2 0,-3 0,1 0,-2 0,1 0,-6 0</inkml:trace>
  <inkml:trace contextRef="#ctx0" brushRef="#br0" timeOffset="10">5259 404,'0'-22,"0"7,0 2,0-1,1 1,6-18,-6 26,0 1,1 0,-1 0,1-1,1 1,-1 1,0 0,1-1,0 0,0 1,0-1,0 1,1 0,-1 0,1 1,-1-1,8-2,-2 1,1-1,0 2,0-1,1 1,-1 1,1 0,-1 0,0 1,2 0,-2 1,1 0,-1 1,2 0,-2 0,21 7,-24-6,1 0,-1 1,1-1,-2 3,1-2,0 0,-1 2,1-1,-1 1,0 0,0 0,-1 1,0-1,0 1,0 0,-1 0,0 1,1-1,-2 1,0 0,0 0,2 9,-1 5,-1 1,-1-1,-2 30,1-3,-1-44,1 1,0-1,0 0,0 1,1-1,0 1,0-1,0 0,0 0,0-1,1 1,1 0,-1 0,0-1,0 1,5 2,8 7,2 0,25 14,-1-1,-27-16,-1 0,0 1,-1 1,0 0,16 22,-27-32,0 1,0-1,0 1,-1 0,1 0,-1 0,0 0,0-1,0 1,0 1,0-1,-1 0,1 0,-1 1,0-1,0 0,0 0,-1 0,1 0,-1 0,1 0,-1 0,0 1,-1-1,1 0,0 0,-1 0,0-2,1 2,-1 0,0-1,0 1,-1-1,1 0,0 1,-1-1,-5 3,-7 3,1 1,-1-1,0-1,-1-1,0 0,0-1,-19 4,-15 0,-59 4,-246-6,328-8</inkml:trace>
  <inkml:trace contextRef="#ctx0" brushRef="#br0" timeOffset="11">6530 17,'0'0,"0"-1,0 1,0-2,-1 2,1-1,0 0,-1 1,1-1,-1 0,1 0,-1 1,1-1,-1 0,1 1,-1-1,0 1,1-1,-1 1,0-1,0 1,1-1,-1 1,0 0,0-1,0 1,1 0,-1 0,0-1,0 1,-1 0,-31 0,1 8,0 0,1 2,-1 2,1 0,2 2,-1 0,-36 27,54-33,0 1,1-2,1 4,0-1,1 0,-1 1,1 0,1 0,1 1,0 0,-11 23,12-15,0 0,1 0,1 0,1 0,1 1,0-1,3 27,-1-38,0-2,1 0,-1-1,1 0,0 1,0 0,4 9,-4-14,1 0,-1 0,0 0,1 0,-1 0,1 0,-1 0,1-1,0 1,0-1,0 1,1-1,-1 0,0-1,0 1,1 0,-1 0,0 0,0 0,1-1,-1 1,1-1,2 0,16 2,0 0,0-2,1 0,-1-2,0 0,0-2,-1 1,2-1,-2-3,0 0,35-15,-40 14,-2 0,2 0,-2-1,0-1,-1 1,1-2,-2-1,0 1,-1-1,0-1,0 1,-1-2,-1 1,-1-1,11-28,-16 38,-4 17,-8 27,-22 34,-52 85,20-40,-195 462,250-562,2-1,0-1,1 0,1 2,1-1,0 1,-1 25,5-41,0 0,0-1,1 1,-1 0,1-1,-1 1,1 0,0-1,0 0,0 0,0 1,0-1,1 0,-1 0,1 1,0-1,0 0,-1 0,1 0,0-1,1 1,-1 0,0-1,0 0,1 1,-1-2,1 1,-1 0,1 0,4 1,35 5</inkml:trace>
  <inkml:trace contextRef="#ctx0" brushRef="#br0" timeOffset="12">7268 525,'-5'-1,"1"1,-1-1,1 0,-1 0,0-1,-5-2,-26-5,29 9,1 0,1 0,-1 1,0-1,1 1,-1 0,1 1,-2 0,2-2,0 3,-1-1,1 0,0 1,-4 4,1-1,0 0,1-1,1 2,-1 0,1 1,0-2,-7 17,0-1,2 1,1 2,2-1,0 0,-6 31,9-31,1 1,2 0,0-1,1 1,5 36,-2-49,0-1,0 1,2 0,-1-1,2 0,0 0,0 0,1-1,0 1,1-2,0 1,0 0,16 13,-13-14,0-1,1 1,1-1,-1 0,1-2,0 0,1 0,-1 0,1-1,0-1,1-1,-1 0,0 0,29 1,-38-4,0 0,0-1,0 1,1-1,-1 0,1 0,-1-1,-1 1,1-1,0 0,0 1,-1 0,1-2,-1 0,6-4,-4 1,0 0,1 1,-2-1,0-1,0 1,0-1,5-13,-1-7,-1 1,-1-1,5-43,-11 66,8-62,-2-96,-7 140,-1 0,0 0,-2 0,-1 1,0 0,-3 0,1 1,-15-29,17 41,-1-1,0 1,-2 0,1 1,0 0,-1 0,0 0,0 2,-1-1,0 1,0 0,0 0,0 0,-1 1,0 2,-10-4,-16-3,2 2,-2 1,-45 0,-161-2,110 8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127 1,'0'4,"0"12,-4 20,-1 11,-5 13,-4 8,-5 0,-3-1,3-6,2-11,7-6,4-10</inkml:trace>
  <inkml:trace contextRef="#ctx0" brushRef="#br0" timeOffset="1">585 47,'0'8,"0"5,0 10,0 11,0 5,0 7,-4 10,-11 12,-6 6,-5 2,-1-5,-2-2,6-10,2-18,3-20,6-17,5-18,4-6</inkml:trace>
  <inkml:trace contextRef="#ctx0" brushRef="#br0" timeOffset="2">178 409,'0'4,"4"1,6 0,7-1,2-2,5 0,0-1,2 0,1-1,4-1,9 1,8 0,3 7,2 8,1 3,-5 0,-10-3</inkml:trace>
  <inkml:trace contextRef="#ctx0" brushRef="#br0" timeOffset="3">813 522,'4'0,"-1"0,0-1,0 1,0-1,0 0,0 1,0-1,0 0,0-1,-1 1,1-1,1 0,-2 1,5-4,32-36,-7 9,-15 19,0 1,1 2,0 0,32-14,84-25,-130 47,0 1,0-1,1 1,-1 0,0 1,0-1,1 1,-1-1,0 1,0 0,2 1,-2-1,0 1,6 1,-7 0,-1-1,1 0,-1 1,0-1,1 1,-1 0,0 0,0 0,0-1,0 1,-1 0,1 1,-1-1,1 0,-1 0,1 1,-1 0,0-1,0 0,0 1,-1 0,1 3,2 11,-2 0,0 0,-1 0,-1 1,-6 33,-31 83,31-110,-4 11</inkml:trace>
  <inkml:trace contextRef="#ctx0" brushRef="#br0" timeOffset="4">1700 228,'0'4,"0"8,0 4</inkml:trace>
  <inkml:trace contextRef="#ctx0" brushRef="#br0" timeOffset="5">1523 613,'13'-3,"4"-2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431 231,'-4'0,"-6"4,-1 5,-4 5,-7 7,-8 10,-9 5,-1 6,-6 3,-6 1,-1-3,-5-1,7-7</inkml:trace>
  <inkml:trace contextRef="#ctx0" brushRef="#br0" timeOffset="1">457 186,'2'0,"1"0,0 0,0 1,0 0,-1-1,1 1,-1 1,1-1,0 0,-1 0,0 1,1-1,-1 0,1 1,-1 0,0 0,0 0,0 0,0 0,-1 0,1 0,-1 1,2 1,4 10,0 1,8 28,-1-7,-10-27,1 0,0-1,1 1,0 0,0-2,1 2,0-2,2 0,-2 0,2 0,-1-1,18 10,-18-12,-1-2,0 1,1 0,-1 0,1-1,-1-1,1 0,1 0,-1 0,-1-1,1 0,0 0,0 0,0-1,0-1,0 1,0 0,10-6,-10 4,0-3,1 1,-2 0,0-1,0 0,-1 0,0-1,0 1,9-14,0 3,42-57,-57 74,0 0,0 0,0 0,0-1,1 1,-1 0,0 0,0-1,1 1,-1 0,0 0,0-1,1 1,-1 0,0 0,0 0,1-1,-1 1,0 0,1 0,-1 0,0 0,1 0,-1 0,0 0,1 0,-1 0,1 0,-1 0,0 0,1 0,-1 0,0 0,1 0,-1 0,0 0,1 0,-1 1,0-1,1 0,-1 0,0 0,0 1,1-1,-1 0,0 0,0 1,1-1,-1 0,0 0,0 1,0-1,1 0,-1 0,0 0,0 1,7 21,-6-18,2 5,11 48,44 107,-56-161,-1 1,1 0,1-1,-1 0,1 1,-1-1,1-1,0 1,-1 0,1 0,1-1,-1 1,0-1,1 1,-1-1,1-1,0 1,0 0,7 1,1-1,0 0,0-2,0 1,1-1,17-1,-2 0</inkml:trace>
  <inkml:trace contextRef="#ctx0" brushRef="#br0" timeOffset="2">1748 162,'321'13,"-190"-4,210 16,-334-24,1 0,-1 1,0 0,0 1,1-1,-1 1,12 6,-17-8,1 1,0 0,-1 0,1 0,-1-1,1 1,-1 0,0 1,0-1,0 1,0-1,-1 0,2 1,-2 0,1-1,-1 1,0 0,0 0,0-1,0 6,-1-6,-1 0,1 1,-1-1,0 1,0-1,0 0,0 1,0-1,-2 1,2-2,-1 1,1 1,-1-1,0 0,0 0,0-1,0 1,-3 1,-48 28,53-31,-29 14,-2-1,1-2,-59 14,-99 10,51-20,-221 1,292-15,17 1,15 2</inkml:trace>
  <inkml:trace contextRef="#ctx0" brushRef="#br0" timeOffset="3">3143 2,'86'-1,"3"0,124 13,-202-11,0 1,0 0,0 0,0 1,-1 1,0-1,0 1,17 10,-24-12,0 0,0 0,0 1,0-1,0 1,-1-1,1 1,-1 1,0-1,0-1,0 2,0 0,-1-2,0 2,1 0,-1-1,0 0,-1 1,1 0,-1-1,0 1,0 0,0-1,0 1,-1 0,-1 6,0-6,1 0,-1 1,0-2,-1 1,1 0,-1-1,0 1,0 0,0-2,0 2,-1-1,1 0,-1-1,0 1,0 0,0-1,-1 0,1 0,-7 2,-8 3,-3 0,-38 6,-58 4,75-12,0 2,-46 11,87-17,1-1,-1 0,0 1,1-1,-1 1,1-1,0 1,-1 0,1 0,-1 0,1-1,0 1,0 0,0 0,-1 0,1 0,0 0,-1 3,2-3,0 0,0-1,0 1,0 0,1-1,-1 0,0 1,1 0,-1 0,0-1,1 1,-1 0,1-1,-1 1,1-1,-1 1,1-1,0 1,-1-1,1 1,0-1,-1 1,1-1,0 0,0 1,11 4,1 0,-1-2,14 4,-22-5,24 4,-1 2,1 1,-3 2,2 0,35 21,-52-26,0 2,0-1,0 0,0 1,-1 1,-1 0,0 0,-1 0,0 0,0 2,-1-1,1 1,-2-1,5 16,-9-22,-1-1,0 1,1-2,-1 2,0-1,0-1,-1 2,1-1,-1 1,0-2,0 1,0 1,0-1,0-1,-1 1,0 0,1 0,-1-1,0 1,0 0,-2-1,2 0,-1 0,1 0,-1 1,0-1,-5 2,-9 5,-2 1,1-2,-33 10,28-9,-107 33,110-37,2-1,-1 0,0-2,0 0,-23 0,9-4</inkml:trace>
  <inkml:trace contextRef="#ctx0" brushRef="#br0" timeOffset="4">4028 94,'0'-1,"-1"0,1 0,-1 0,1-1,-1 1,1 0,-1 0,0 1,0-1,0 1,1-1,-1 0,0 0,0 0,0 1,0-1,0 0,0 1,-1-1,1 1,0-1,0 1,0 0,0-1,-1 1,1 0,0 0,0 0,-3 0,-37 1,35 1,0 0,0 1,0-1,1 1,0 0,-2 1,2-2,0 2,1 0,-1 0,1 0,0 1,0-1,0 1,1-1,0 2,0-2,0 2,0-1,1 1,-1-1,1 1,1 0,0-1,0 1,0 8,0-9,1 0,0 0,0 0,0-1,0 1,1 0,0 0,0-1,1 1,0 0,0-1,1 1,-1-2,0 2,1-1,0 0,0 0,0 0,1-1,-1 1,1-1,0 0,0 0,0 0,1 0,-1-1,1 0,0 1,0-1,0 0,10 1,-9-2,1 0,0 0,-1 0,2-1,-1 0,0-1,-1 1,1-1,0-1,-1 1,10-3,0-3,0 0,28-16,-2 0,-41 22,0 1,1-1,-1 0,0 1,0 0,1 0,-1-1,0 1,1 0,-1-1,0 1,1 0,-1 0,1 0,-1 0,0 0,1 0,-1 0,0 1,1-1,-1 0,0 1,2-1,-1 1,-1 0,0 1,1-1,-1 1,0-1,0 1,0-1,0 0,0 1,0-1,0 1,0 0,-1 0,1 2,2 9,0 0,-2 0,-1 23,-1-24,-2 77,2 53,1-140,0 0,-1 0,1 0,1 1,-1-1,0 1,1-2,-1 2,2-1,-2 1,1-1,0 0,0 0,1 0,-1 1,0-1,3 2,6 0</inkml:trace>
  <inkml:trace contextRef="#ctx0" brushRef="#br0" timeOffset="5">4815 140,'0'-1,"0"0,0 0,0 0,-1 1,1-1,0 0,-1 0,1 1,0-1,-1 0,1 0,-1 1,1 0,-1 0,0-1,1 0,-1 1,1-1,-1 1,0 0,1-1,-1 1,0-1,0 1,1 0,-1 0,0-1,0 1,0 0,1 0,-1 0,0 0,-1 0,0 0,-1-1,0 1,1 0,0 1,-1-1,1 0,0 1,0-1,0 1,-1 0,-1 1,0 0,0 1,0 1,0-1,0 0,1 1,0 0,0 0,-1 0,1 0,0 1,-1 4,-22 58,19-46,4-12,-15 37,-10 56,25-90,1 1,1 0,0 1,0-1,1 0,1 0,1 0,0 0,6 19,-6-25,1-2,1 1,-1-1,1 1,0-1,0 1,1-2,1 1,-1-1,0 1,0-1,1-1,0 1,-1 0,2-1,-1 0,0 0,2-1,-2 1,1-2,0 1,11 1,-1 0,0-1,-1-2,1 0,0 0,0 0,-1-2,2 0,23-6,-36 6,0 1,1-1,-1 0,-1-1,1 2,0-2,-1 0,0 0,0 1,0-2,0 0,0 1,-1 0,1-2,4-5,-4 4,-1-1,1 1,-2-1,1 0,-1 1,0-2,-1 1,0 0,1-13,-3 6,1-1,-2 0,0 1,-1-1,-1 0,0 1,-1 0,-1 0,-14-24,6 19,0 1,-2-1,0 2,0-1,-2 2,-1 0,0 1,-1 2,-1-1,0 2,-1 0,0 2,-44-16,57 23,1 1,-2 0,2 0,-1 0,0 1,0 0,1 1,-1 0,-1 1,1-1,0 1,-16 5,-5 3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5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265 103,'0'5,"0"9,-4 10,-6 7,-5 6,-9 4,-5 9,0 0,-1 0,1 0,1-9,5-2,7-5,6-2,4-8</inkml:trace>
  <inkml:trace contextRef="#ctx0" brushRef="#br0" timeOffset="1">265 128,'0'-5,"1"0,-1 0,1 0,1 0,-1 1,0-1,1 0,0 1,0-1,1 1,-1 0,1-1,0 1,0 0,0 1,1-1,-1 1,1-1,6-3,-4 2,1 1,0 0,0 0,0 0,1 1,-1 0,1 1,0 0,-1 0,1 0,11 0,-10 2,0 0,-1 0,1 1,0 1,0-1,0 1,-1 1,1-1,-1 2,0-1,0 1,0 0,0 1,13 9,-16-9,0 0,0 0,0 0,-1 0,1 1,-1 0,-1 0,1 0,-1 1,0-1,0 1,-1-1,0 1,0 0,-1 0,0 0,0 0,0 0,-1 9,0-14,-1 0,1 1,-1-1,1 0,-1 1,0-1,0 0,0 0,0 0,0 0,0 0,0 0,-1 0,1 0,-1 0,0-1,1 1,-1-1,0 1,0-1,0 1,0-1,0 0,0 0,0 0,-1 0,1-1,0 1,0-1,-1 1,-4 0,-9 0,0 1,0-2,-28-2,23 1,-18-1,1 2,0 2,0 1,-1 2,2 1,-1 3,-44 15,1 4,65-20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383 322,'-2'0,"0"1,0-1,0 1,0-1,1 2,-1-2,0 1,1 0,-1 0,0-1,1 1,-1-1,1 2,0-1,-1 1,1-1,0 1,-1 1,-23 33,18-24,-27 34,-3-2,-50 49,29-39,-29 32,70-66</inkml:trace>
  <inkml:trace contextRef="#ctx0" brushRef="#br0" timeOffset="1">332 161,'6'-1,"-1"0,0 0,0 1,0-1,0-1,0 0,-1 0,1 0,-1 1,8-7,-5 5,-1 0,0-1,1 1,12-4,-6 6,2-1,-1 1,-1 1,0 0,1 0,-1 0,1 2,-1-1,0 2,0 0,0 1,0 0,-1 0,0 1,2 1,11 7,0 0,0 1,-1 0,40 32,-60-42,0 1,1 1,-2-2,0 2,0-1,0 1,-1-2,0 2,0 0,-1-1,1 0,-1 2,-1-1,1 0,-1-1,0 1,-1 0,1 0,-1-1,-1 1,1-1,-1 1,0 0,0-1,-1 0,0 2,0-3,0 2,-3-3,3 3,-1-2,-1 1,1-1,0 0,-9 5,-1-2,-2-1,1 1,0-3,0 1,-2-2,2 0,-33 5,-115-7,125-2,15 1</inkml:trace>
  <inkml:trace contextRef="#ctx0" brushRef="#br0" timeOffset="2">1351 138,'22'2,"-2"0,0 2,1 0,-1 1,0 0,0 2,32 15,18 6,49 7,3-2,209 32,-313-63,3 0,-1 1,24 8,-43-11,1 0,-1 0,0 2,0-2,1 1,-1-1,0 1,0 0,0-1,0 1,0-1,0 1,0 0,0 0,0 0,0 0,0 0,0 0,-1 0,1 0,0 1,-1-1,0 0,0 0,0 0,0-1,-1 1,1 1,0-1,0 0,-1 0,1 0,-1 0,1-1,-1 0,1 1,-1 0,0 0,1-1,-1 1,0 0,-1 1,-5 3,0-2,-3 3,2-2,-15 5,-45 13,-1-3,-3-3,-90 11,19-6,125-17,1-1,-1 3,-20 6,11 2</inkml:trace>
  <inkml:trace contextRef="#ctx0" brushRef="#br0" timeOffset="3">3388 1,'0'28,"2"1,-2 2,-2-1,-1-1,-3 2,-11 42,6-43,-1-3,-2 3,-2-2,0 0,-2-2,-1 0,-40 41,50-59,-1 1,-1-2,1 0,-1 1,-2-3,2 1,-1-1,0 2,0-4,-2 1,-21 5,9-5,1-1,1-2,-2 0,1-2,-35-1,57 1,-1 1,0-1,0 0,-1 0,1-1,1 0,-1 1,1-1,-1 0,1-1,0 1,0 0,0 1,0-2,1 1,-1-2,1 2,0-1,-1-1,1 2,1 0,-1-2,0 0,1 0,-2-3,2 2,-2-2,2 0,-1 2,2-1,-1-1,1 1,0 1,0-3,1 1,0 1,1 2,-1-4,6-9,-5 13,1 1,-1 0,1 0,-1 0,1 0,0 0,0-1,0 2,1 1,-1-2,1 1,-1 0,1 0,0 0,0 1,2 0,-2-1,0 1,0 0,8-2,9 2,1-1,42 2,-49 1,226 4,-227-3,0 0,2 0,-2 2,0 0,0 0,0 1,0 0,18 12,12 8,42 32,-61-40,152 119,-173-134,-1 1,1 0,-1 1,0-1,1 1,-1-2,-1 2,1-1,-1 1,1 1,-1-1,0-1,-1 2,1-1,-1 0,1 4,0 10</inkml:trace>
  <inkml:trace contextRef="#ctx0" brushRef="#br0" timeOffset="4">1199 1171,'1'39,"-1"-4,0-2,-8 42,6-65,-3 2,2-1,-1-1,0 1,-1-1,0 1,0-1,-2-1,1 2,-14 11,10-11,-1-1,0 0,-1 0,0-2,-2 2,1-3,0 1,-19 7,22-12,-1 1,0 0,0-1,-1-1,1 0,0 0,0-1,-1 0,1-1,-1 0,0-1,-12-2,16 1,-3 0,3-1,-1-1,1 0,0 2,0-3,1 1,-1-1,0-1,1 1,0 1,-10-15,5 6,-1-1,2 0,1-1,1 0,-9-20,17 33,-1 1,1-1,0-1,0 1,0-1,1 0,-1 0,1 1,-1-1,1 1,0-1,0 2,0-2,1 0,-1 0,0 1,1-1,0 0,0 1,0 0,2-4,-1 4,0-1,1 2,0-3,-1 2,1 1,0-1,0 0,0 1,0-1,0 1,0 0,1-1,-1 1,0 1,1-1,0 1,3 0,12-2,-1-1,2 2,-2 0,1 2,-1 0,3 2,-3-1,1 1,0 1,-2 2,1-1,0 1,-1 1,0 0,-1 2,32 20,202 153,-167-120,32 15,-98-66</inkml:trace>
  <inkml:trace contextRef="#ctx0" brushRef="#br0" timeOffset="5">2548 1194,'-6'6,"-1"-3,-1 1,1-1,0-1,0 2,0 0,-1-2,-11 3,-10 1,-174 63,161-52,1 1,-65 39,103-55,0 0,0 0,-1 0,2 1,-1-1,0 1,1 0,0-2,-4 7,6-8,0 1,0 0,0-1,-1 1,1 0,0-1,0 1,0-1,0 1,0 0,0-1,0 1,0 0,0-1,1 1,-1 0,0-1,0 1,1-1,-1 1,1 1,0-2,0 1,1-1,-1 1,1 1,-1-1,1 0,-1 0,1 0,0 0,-1-1,4 2,12 4,1-1,0-3,2 2,24 2,84-2,21 2,-19 17,-100-16</inkml:trace>
  <inkml:trace contextRef="#ctx0" brushRef="#br0" timeOffset="6">3617 1056,'0'4,"0"5,0 10,0 8,0 6,0 8,0 3,-4 20,-2 0,0-6,-2-8,-1-10,1-6,3-11</inkml:trace>
  <inkml:trace contextRef="#ctx0" brushRef="#br0" timeOffset="7">3643 1102,'0'-1,"1"0,-1 0,1-1,-1 2,1-1,-1 1,1-1,0 1,-1-1,1 0,0 0,0 0,0 0,0 1,0-1,0 0,0 1,0-1,0 1,0-1,0 1,0 0,0-1,1 1,-1 0,0 0,2-1,39-3,-38 4,11-1,0 0,2 1,18 3,-28-2,1 1,-1 0,-1 0,0 1,1 0,-1-1,0 0,0 1,10 9,7 4,0 2,0 0,-3 3,27 29,-46-47,1 0,-1-1,1 0,-1 1,0-2,0 1,0 0,0-1,0 2,-1 0,1 0,-1 0,0 0,0-2,0 2,0 0,0-1,0-1,-1 1,1 2,-1-1,0-1,0 0,0 0,-2 4,1-4,0 1,0 0,-1-1,1 0,-1 0,0 0,0 0,-1 1,1-2,0 0,0 1,-1-1,1 0,0 2,-1-2,1 0,-1-1,-4 0,-20 1,-44-2,-10 1,79 0,-1 0,0 1,0 0,0 0,-2 0,2 1,1-1,-7 4,-6 5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1,'5'0,"4"0,6 0,5 4,2 2,3-1,1-1,0-1,0-1,-1-1,1 0,-1-1,-4-1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22 241,'-10'-26,"1"5,8 19,0 0,1 0,0 0,-1 0,1 0,0 0,0 0,0 1,1-1,-1 0,0 0,1-1,0 1,-1-1,1 2,0 1,0-2,0 0,2-2,-2 3,1 0,-1 0,1 0,0 0,0 1,-1-2,1 2,0-1,0 1,0 0,0 0,0 0,0 0,0 0,0 0,0 0,0 0,0 0,-1 0,1 0,0 0,2 3,28 5,-4 1,1 2,0 1,37 21,-37-18,-20-12,1 3,-2-2,0 1,1 1,-1 0,-1-1,0 3,10 11,-13-15,0 4,0-3,-1 3,0-2,0 1,-1 1,0-2,0 2,-1-1,1 14,0-4,-2-1,0 1,-1-1,-6 26,6-37,-1-1,0 2,0-2,0 2,-1-2,0 0,0 1,0 0,0-1,-1-1,0 2,0-2,0 1,0-1,-1 0,0 1,0-1,-8 2,-9 4,-1-1,0-1,-42 7,38-8,1-1,-34 14,57-19,1 1,1 0,-1-1,1 1,-1-1,1 2,-1-1,1 0,0 0,-1-1,1 1,0 1,0-1,0 0,0 0,0 0,-1 4,1-5,1 1,0 0,0 0,0-1,0 1,1 0,-1-1,0 1,0 0,0 0,1 0,-1 0,1-1,-1 1,0-1,1 1,-1 0,1 1,0-2,-1 0,1 1,1 0,3 3,1 0,1-1,0 0,-1 0,1-1,11 5,41 10,4-2,-2-4,3-2,-1 0,66-2,-107-7</inkml:trace>
  <inkml:trace contextRef="#ctx0" brushRef="#br0" timeOffset="1">934 639,'0'4,"0"5,0 5,0 2,0 5,0 0,0 2,0 4,0 2,0-2,-4 0,-3-3,2-3</inkml:trace>
  <inkml:trace contextRef="#ctx0" brushRef="#br0" timeOffset="2">1213 439,'1'-3,"0"0,0-2,0 2,0-1,1 1,-1 0,1-1,0 1,3-4,4-7,13-24,1 1,5 1,36-43,110-90,-171 166,1 0,0-1,0 0,1 1,-1 1,9-4,-13 5,1 1,0 0,0-1,0 1,-1 0,1 0,0 0,0 0,0 0,-1 0,1 0,0 0,0 0,-1 0,1 0,0 1,0-1,0 0,-1 0,2 1,-1 0,0 0,0 0,0 1,0-1,0-1,0 0,0 1,-1 1,1-1,-1 0,1 1,-1-1,1 1,-1-1,1 3,4 30,-1 2,-2-1,-5 49,-1-19,2-10,-3 1,-16 69,11-83</inkml:trace>
  <inkml:trace contextRef="#ctx0" brushRef="#br0" timeOffset="3">1768 19,'167'10,"-48"0,-98-10,-5 0,-1 0,1 3,0-2,19 6,-32-6,0 0,1 0,-1 0,0 1,0-2,0 2,0 0,-1-2,1 2,-1 0,1 1,-1-1,0-1,1 2,-1-1,-1 1,1-1,0 0,-1 1,1-1,-1 1,0 0,0-1,0 1,0-1,0 5,1 28,-2-1,-5 45,1-40,2-24,0 0,-2-1,0 1,-1-1,0 2,-17 24,-59 80,47-74,24-31</inkml:trace>
  <inkml:trace contextRef="#ctx0" brushRef="#br0" timeOffset="4">1921 418,'4'0,"6"0,5 0,6 0,6 0,3 0,2 0,-1 0,-1 0,-3 0,1 0,-2 0,0 0,-6 0</inkml:trace>
  <inkml:trace contextRef="#ctx0" brushRef="#br0" timeOffset="5">3466 41,'-114'2,"-157"19,203-12,2 3,1 3,-105 35,154-43,1-2,0 2,0 1,0-1,1 2,-15 12,21-14,-1 1,1 1,0 0,1-1,0 2,1-1,-1 1,-6 19,8-18,1-1,1 4,1-2,0 0,0 0,2 0,0 0,0 1,1 0,1-2,0 1,1 0,1 1,1-2,-1 0,9 14,-1-5,0 1,0-3,2-1,1 1,0-1,3 0,-1-1,23 17,-32-28,1 1,1 0,0-2,-1 0,3 1,-2 0,0-4,1 3,1-2,-1 1,17 1,11-2,-2-1,44-5,-14 1,-44 1,0-1,-1 0,0 1,1-4,25-8,-28 7</inkml:trace>
  <inkml:trace contextRef="#ctx0" brushRef="#br0" timeOffset="6">2681 418,'4'0,"6"0,5 0,5 0,4 0,5 0,3 0,3 0,7 0,-2 0,-1 0,-6 0,-1 0,-4 0,-1 0,-6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301 0,'-1'6,"-1"-1,1 1,-1-1,0 1,0-1,-1 0,0 1,0-2,0 1,0-1,-7 9,-7 10,-6 10,10-14,1-1,-13 28,-2 14,-24 59,32-65,3 0,2 2,-10 103,12-24,0 38,11-105,3 68,0-127,0-1,0 0,1 1,0-1,0 0,1 0,0 0,1 0,0-1,11 13,5 3,41 34,-45-43</inkml:trace>
  <inkml:trace contextRef="#ctx0" brushRef="#br0" timeOffset="1">276 807,'4'0,"6"0,5 0,5 0,2 0,6 4,7 2,2-1,-1 3,-2-1,-4 1,-2-3,-1-2,-2-2,0 0,-1-1,-3 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131 101,'-6'0,"1"0,0 1,-1-1,1 1,0 0,-1 0,1 0,0 0,0 1,0 0,0 0,1 0,-1 1,1-1,-1 1,-6 5,7-4,0 1,0-1,1 1,0 0,0 0,0 0,1 0,0 0,0 0,0 1,1-1,0 0,0 0,0 8,-1 4,2 1,0 0,1-1,6 25,-5-32,1 0,1-1,0 0,0 1,1-1,1 0,0 0,0-1,8 10,-5-9,4 5,1 0,0 0,29 21,-38-32,0 0,0 0,1 0,-1 0,1-2,-1 1,1 1,0-2,0 0,0 0,0 0,1 0,-1 0,0-1,0 0,0-1,9 0,0-1,-1-2,0 1,1-2,-2 1,1-2,-1 0,0 0,0-1,0 0,-1-1,-1 0,0-1,0 1,-1-2,0 0,0 0,-2-1,1 1,-2-2,9-15,4-10,-13 21,1 0,1 1,1 1,1-1,12-14,-20 27,0-2,0 2,0-1,1 0,-1 2,1-2,0 1,0 0,0 0,0 1,0-1,0 0,0 2,1-1,-1 0,1 0,-1 1,1-1,-1 1,1 0,-1 0,1 1,-1-1,0 1,1 0,8 2,-5 1,1-2,-1 3,1-2,-1 2,-1-1,1 1,-1 1,0-1,0 0,-1 1,1 0,-1 1,-1 0,0 0,0 0,0 0,-1 1,-1-1,5 13,-2-3,-1 0,-1 1,-1 0,0 0,-2-1,0 2,-5 33,4-50,0 0,-1 1,1-1,-1 0,0 0,0 0,0 0,0 0,0 0,0 1,-1-2,1 1,-1 0,0 0,1-1,-1 1,0-1,0 1,0-1,0 0,0 0,-1 1,1-1,0 0,-1 0,1-1,-1 0,1 1,-1 0,1-1,-1 0,1 0,-1 1,1-1,-1-1,1 1,-5-1,-4 0,-1 0,1-2,-1 0,1 1,0-2,0 1,-10-7,0 0,1-2,0 0,1 0,-23-22,-61-65,83 75,16 18,-1 1,0-2,0 2,-11-8,1 1,1-1,-16-17,18 17,0 2,-1-1,-16-10,-58-49,38 30,-4-1,39 32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119 1,'-5'0,"0"4,-5 6,-4 6,0 3,-2 0,2 0,3 1,3 1,0-2,0-1,2-3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176 1,'1'19,"-2"0,0 0,-1 0,0 0,-2 0,0 0,-8 19,0-11,-1-2,-29 43,31-52,0-1,1 1,1 1,1 0,0 0,1 1,1 0,-6 29,10-26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0 162,'37'-3,"-1"-1,0-1,-1-1,0-2,45-16,8-1,206-55,-287 78,1 1,-1 0,0 0,1 0,-1 0,10 2,-15-1,-1 0,1 0,0 1,0-1,-1 1,1-1,0 1,-1-1,1 1,-1-1,1 1,-1 0,1 0,-1 0,0 0,0 1,1-1,-1 0,0 0,0 0,0 1,0-1,0 1,-1-1,1 0,0 0,-1 1,1 0,-1 0,1 1,-1 4,1-1,-1-1,-1 2,1-1,-1 0,0 0,0 0,-1 0,0-1,-3 7,-33 56,28-51,-29 42,-2-1,-75 79,-114 92,227-226,-23 21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53 0,'0'4,"0"7,0 4,0 4,-4 0,-6 0,-1 1,-3-3,1-4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713 1,'-7'0,"0"1,0 0,0 0,1 0,-2 1,2-1,-1 2,0-1,1 1,0 0,0 0,-10 6,-4 6,1 1,-20 19,16-13,-85 82,-35 31,64-71,-69 59,143-119,2 1,-1 0,1-1,-1 1,2 0,-1 1,-1-1,2 1,0 0,1-1,-1 1,1-1,0 12,0 3,2 0,5 32,-5-41,0-5,1-1,0 1,0-1,0 1,0-1,1 0,0 1,0-2,0 2,1-2,0 1,0 0,0-2,1 2,-1-1,2-1,-1 1,0-1,0 0,2 0,-2 0,1 0,-1-1,9 2,14 4,1-2,-1 0,2-2,29 2,-58-6,73 5,-1-2,105-8,-175 5,0 0,0 0,0 0,0-1,1 1,-1-1,0 0,0 0,0-1,0 1,-1 0,1-1,1 0,-2 1,1-1,-1 0,0 0,0 0,1-1,1-2,0-1,-2 2,0-2,0 2,0-2,-1 1,0-1,0 0,-1 1,0-11,0 4,0-1,-1 1,0-1,-1 1,-9-24,9 30,-1 0,0 1,0-2,-1 2,1 0,-2 0,0-1,1 1,-1 1,0-1,-1 1,1 0,-11-6,-8-2,0 0,-1 2,0-1,-32-6,-109-20,89 22,56 11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399 0,'1'17,"2"-1,0 0,9 27,1 7,15 102,-7 1,-1 173,-19-305,-1-14,0 2,0 1,-1-1,-3 16,3-23,1 0,-1 1,0-1,0 0,0 0,0-1,0 1,-1-1,1 1,0-1,-1 1,1 0,-1-1,0 1,0-1,0 1,1-1,-1-1,0 0,-1 1,1 0,0 0,0 0,0-1,0 1,-5 0,-8 0,0-1,0 0,0-1,1-1,-1 0,0 0,1 0,-1-3,1 1,-19-8,2-1,0-2,1-2,-36-23,55 32,0 1,0-2,1 1,1-3,0 3,0-2,1-1,1 1,-8-12,13 18,1 1,-1-1,1 0,0 1,0-1,0 1,0-1,1 0,-1 0,1 0,0 1,1-1,-1 0,1 0,0 1,0 0,0-1,0 0,1 0,0 2,-1-1,1-2,1 2,-1 0,1 1,-1-2,1 1,0 0,0 0,0 1,0 1,1-1,5-4,14-5,2 0,-1 1,1 1,0 1,1 1,50-7,-43 8,0 1,-1-5,55-18,-75 23,-1 1,1-2,-2-1,1 2,-1-3,0 1,0-1,-1 0,-1 0,1-1,-1 1,-1-2,0 1,0-1,-1 0,-1 0,5-13,-9 21,4-12,0-1,-1 0,0 0,2-28,-6 39,0 1,0-1,0 0,-1 0,0 2,0-2,0 0,0-1,0 4,-1-3,1 1,-1-1,0 0,-1 2,1-1,0 0,-1 0,0-1,0 3,0-2,0 1,0 0,0 0,-1-1,1 1,-6-1,-6-2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50 1,'1'4,"0"-1,0 1,1-1,-1 1,1-1,0 0,1 1,-1-1,0 0,1 0,6 5,2 4,24 31,77 71,-85-91,0-2,2 0,0-2,43 22,-11-14,1-1,1-3,1-3,1-2,1-2,1-4,69 6,-123-16,-14 1,-24 4,-373 51,70-15,270-33,32-6,0 0,0 1,0 1,1 2,-37 14,45-12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1 412,'0'-15,"2"0,0 1,1 0,0 0,1-1,1 2,1-1,10-18,10-12,35-44,-30 45,-18 23,-10 13,1 1,0-1,0 1,2 1,-1-1,0 0,0 1,1 0,0 0,7-3,-12 7,0 1,0-1,0 1,0-1,0 1,0 0,0-1,0 1,0 0,0 0,0 0,0-1,0 1,0 1,0-1,0 0,0 0,0 0,0 0,0 1,0-1,0 0,0 1,0-1,0 1,0-1,0 1,0 0,-1-1,1 1,0 0,0-1,-1 1,1-1,0 1,-1 0,1 0,-1 0,1-1,-1 1,0 0,1 0,-1 2,4 4,-2 1,0 1,0-1,0 10,-1-11,13 140,7 42,-19-179,0-1,0 1,1-1,0 1,8 13,-10-21,0 0,1 0,-1 0,0 0,0 0,1 0,-1-1,1 0,-1 1,2-1,-1 1,0-1,0 0,0 0,0 0,0 0,0 0,0 0,0 0,0-1,0 1,0-1,1 1,-1-1,0 0,0 0,1 0,-1 0,0 0,1-1,0 1,1-1,8-5,0 0,0 0,-1-1,-1 0,0-1,1 0,-1-1,14-17,2 1,11-8,-1-2,-2-2,33-48,-63 78,0 1,-1 0,2-2,2-13,-3 4</inkml:trace>
  <inkml:trace contextRef="#ctx0" brushRef="#br0" timeOffset="1">996 152,'0'13,"-2"-1,1 1,-2-1,0 1,-1-1,0-1,-8 18,-48 75,30-68,20-26,0 2,1-1,-8 15,15-24,1 1,0-1,0 1,0-1,0 1,0-2,1 2,-1-1,1 1,0 0,-1 0,1-1,1 0,-1 1,0-1,1 1,-1 0,1-1,0 1,-1-2,1 2,3 4,-2-4,1 0,0-1,0 0,0 1,0 0,1-1,-1 0,0 0,2 0,-1-1,-1 0,1 1,0-1,4 1,63 9,-56-9,6 1,-11-1,0-1,0 1,1-1,-1-1,0 0,1-1,14-2,-25 3,0 0,1 0,-1 0,0 0,0 0,1 0,-1-1,0 1,0 0,0 0,1 0,-1 0,0-1,0 1,0 0,0 0,0-1,0 1,1 0,-1 0,0-1,0 1,0 0,0 0,0-1,0 1,0 0,0 0,0-1,0 1,0 0,0 0,0-1,0 1,-6-10</inkml:trace>
  <inkml:trace contextRef="#ctx0" brushRef="#br0" timeOffset="2">869 317,'4'0,"6"0,5 0,6 0,1 0,4 0,0 0,0 0,-3 4,-3 1,1 0,-4-1</inkml:trace>
  <inkml:trace contextRef="#ctx0" brushRef="#br0" timeOffset="3">946 105,'4'0,"6"5,9 3,12 11,-1 5,0-1,-3-6,-3 1,-4-1,1-3,-1-4,-2-2</inkml:trace>
  <inkml:trace contextRef="#ctx0" brushRef="#br0" timeOffset="4">1328 175,'6'0,"8"0,1 0,-1 1,-1 0,28 6,-37-6,0 0,0 1,1 0,-1 0,-1 0,1 0,-1 1,0-1,1 0,-1 1,0 0,-1 0,1 0,0 0,-1 0,1 0,-1 1,0 0,0-1,2 8,-2-7,-1 0,0 1,1 0,-2 0,1-1,-1 1,1 0,-1 0,-1-1,1 1,-1 0,1-1,-2 0,1 1,0 0,-1-1,0 0,0 1,0-1,-1 1,-1-2,1 1,-4 5,-3 1,-1-1,-1-1,1 1,-1-2,0 1,-1-2,-14 7,-48 17,39-17,-43 23,78-35,1-1,0 0,-1 0,1 0,-1 1,1-1,-1 0,1 0,0 1,-1-1,1 0,0 1,-1-1,1 1,0-1,-1 0,1 1,0-1,0 1,-1-1,1 1,0-1,0 1,0-1,0 1,0-1,0 0,0 0,0 1,0-1,0 1,0 0,14 10,29 2,-9-8,1-2,49-1,-49-2</inkml:trace>
  <inkml:trace contextRef="#ctx0" brushRef="#br0" timeOffset="5">1684 647,'3'-3,"-1"-1,0 1,0-1,0 0,1 0,-1 1,-1-1,0 0,0 0,1-4,3-13,30-90,-19 57,41-93,-47 129,0 0,1 1,0 0,3 0,-1 1,1 0,32-25,-44 40,0-1,0 1,0-1,1 1,-1 0,0 0,0 0,1 0,-1 0,0 0,1 1,-1 0,1 0,-1 0,0-1,1 1,-1 0,2 0,-2 1,4-1,-2 1,-1 1,1-1,-1 1,1 0,-1 0,0 0,1 1,0-1,-2 0,1 0,4 7,3 3,-1 0,-1 2,1-1,-2 0,7 19,1 12,-3-1,9 60,-15-62,4 0,0-1,21 47,-24-71</inkml:trace>
  <inkml:trace contextRef="#ctx0" brushRef="#br0" timeOffset="6">1787 364,'4'0,"6"0,5 0,6 0,2 0,7 0,2 0,8 0,3 0,-2 0,-4 0,-4 0,-7 0</inkml:trace>
  <inkml:trace contextRef="#ctx0" brushRef="#br0" timeOffset="7">2424 129,'0'3,"0"7,0 9,0 4,0 8,0 2,0 3,-4 4,-1-2,-1-2,1-4,2-7</inkml:trace>
  <inkml:trace contextRef="#ctx0" brushRef="#br0" timeOffset="8">2424 129,'1'2,"-1"-1,0 2,1-1,-1 0,1 0,0 0,-1 0,1 0,0 0,0-1,0 1,1 0,-1-1,0 1,1 0,-1-1,1 1,0-1,-1 1,1-1,0-1,1 1,-1 0,0 0,0 0,0 0,0-1,0 1,0 0,0-1,4 1,9 1,1-1,0 0,23-1,-23-1,-9 1,1 0,1 0,-1 0,1 1,0 0,14 3,-21-3,1 0,0 0,-1 0,2 1,-1-1,-1 1,0 0,1 0,-1 0,0 0,0 0,0 0,0 0,-1 1,1-1,-1 1,1 0,-1-1,2 6,3 15,-1-1,-1 1,-1 1,-1-1,-2 1,-3 38,1-11,1-27</inkml:trace>
  <inkml:trace contextRef="#ctx0" brushRef="#br0" timeOffset="9">2986 152,'0'4,"0"6,0 11,0 9,0 6,0 8,-5-2,0-4,0-6,0-8</inkml:trace>
  <inkml:trace contextRef="#ctx0" brushRef="#br0" timeOffset="10">3215 129,'0'3,"0"11,0 9,0 7,0 4,0 5,0 5,0 2,0-3,0-4,0-5,0-4,5-8,5-7,5-6,6-5,-3-3</inkml:trace>
  <inkml:trace contextRef="#ctx0" brushRef="#br0" timeOffset="11">3241 247,'9'0,"7"0,4 0,5 0,2 0,-5 0</inkml:trace>
  <inkml:trace contextRef="#ctx0" brushRef="#br0" timeOffset="12">3215 82,'5'0,"9"0,8 4,3 1,3 0,-4-1</inkml:trace>
  <inkml:trace contextRef="#ctx0" brushRef="#br0" timeOffset="13">3471 58,'4'0,"6"0,6 0,-1 3,3 3,2 0,1-2,3-2,-4 4,0 1,-1-2,3-1,1-1,-3-1</inkml:trace>
  <inkml:trace contextRef="#ctx0" brushRef="#br0" timeOffset="14">3726 175,'0'5,"0"4,0 5,0 5,0 2,0 3,0-1,0 2,0 4,0 1,0-1,0-1,0-1,0-2,-4-4,-2-7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21:03:23.6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153 1,'0'17,"2"7,-2 0,-2 0,0 0,-2 1,0-2,-16 42,-74 126,66-147,28-44,0 0,0 0,0 0,0 0,0 0,0 0,0 0,0 0,0-1,0 1,0 0,0 0,0 0,1 0,-1 0,0 0,0 0,0 0,0 0,0 0,0 0,0 0,0 0,0 0,0 0,0 0,0 0,1 1,-1-1,0 0,0 0,0 0,0 0,0 0,0 0,0 0,0 0,0 0,0 0,0 0,0 0,0 0,0 0,0 0,0 0,0 0,0 1,0-1,0 0,0 0,0 0,0 0,0 0,0 0,0 0,0 0,0 0,0 0,0 0,0 0,0 1,0-1,0 0,11-5,12-7,-1-4</inkml:trace>
  <inkml:trace contextRef="#ctx0" brushRef="#br0" timeOffset="1">866 1,'-2'7,"0"1,0 0,-1-1,0 0,0 1,-5 6,6-10,-28 46,-2-3,-44 52,-17 24,83-108,6-7,0-1,-1 0,0 0,-1 0,0 0,-1-1,1 0,-1 0,0 0,-12 7,4-8</inkml:trace>
  <inkml:trace contextRef="#ctx0" brushRef="#br0" timeOffset="2">153 221,'5'0,"5"0,6 0,4 0,12 0,4 0,5 0,5 0,2 0,-2 0,-5 3,-4 2,-6 0,-2-2,-7 1</inkml:trace>
  <inkml:trace contextRef="#ctx0" brushRef="#br0" timeOffset="3">1348 352,'-58'-1,"34"0,-1 0,1 2,-48 6,69-7,0 1,0 0,0 0,0 1,0-2,1 2,-1-1,0 1,1 0,-1-1,0 1,1 0,0 0,0-1,0 2,0-1,0 0,1 1,-1-1,1 1,0-1,0 1,0-1,0 1,0 0,0-1,1 1,0 0,-1-1,1 1,0 0,1-1,-1 1,0 0,1 0,0 0,0-1,0 0,0 1,0-1,0 1,1 0,0-2,-1 2,1-1,0 1,0-2,0 1,2 0,-2 0,4 2,10 6,0-1,2 0,-1 0,1-2,1 0,-1-1,2 0,-1-1,0-2,1 1,0-1,37 0,-54-3,1 0,0-1,-1 1,1-1,-1 1,0-1,0 1,1-1,-1 0,0-1,0 1,0-1,0 1,0 0,-1-1,1-1,0 2,0-1,-1-1,1 1,-1 0,0-1,0 1,-1 0,1-1,-1 0,1 1,-1-2,0 2,0-1,0 0,-1 0,1 0,-1 1,1-2,-1 1,-1-5,0-3,0-1,-1 2,0-2,-1 1,0 0,-1 1,-1-1,-11-19,6 16,1 0,-2 1,-1 1,0-2,-1 3,0-1,-2 1,1 0,0 2,-3-1,-22-10,19 13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3T09:46:47.83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1,'0'4,"4"2,6-1,5-1,5-1,3-1,1-1,2 0,0-1,0-1,-5 1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3T09:47:42.6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672 1,'1'45,"0"-14,-1-1,-2 0,-8 47,8-67,-1-1,0 1,0-1,-1 0,0-1,-1 1,0-1,0 1,0-2,-1 1,-1 0,1-1,-1-1,-1 1,-10 7,-7 4,-1-1,-40 18,54-29,-1-1,0-1,-1 0,1-1,-1 0,0-1,-25 0,-7-1,-107-5,146 3,1 0,0 0,0-1,0 0,1 0,-1-1,0 0,1 0,-1 0,1-1,0 1,0-1,1 0,-1-1,1 1,-5-7,6 7,0 0,0 0,1 0,-1 0,1 0,0-1,0 1,1-1,-1 1,1-1,0 0,0 1,1-1,0 0,-1 0,1 0,1 1,-1-1,1 0,0 0,2-7,-2 10,1-1,0 0,0 1,0-1,0 1,0-1,0 1,1 0,-1 0,1 0,-1 0,1 1,0-1,0 1,0-1,-1 1,2 0,3-1,10-2,0 0,21-2,-19 4,11-3,-1 2,51 1,-71 2,1 0,-1 2,1-1,-1 1,1 0,-1 1,0 0,0 1,0 0,-1 0,1 1,10 8,47 42,67 74,-103-97,-1 2,-2 1,-2 2,24 44,-37-56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13T09:47:40.5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1 229,'32'0,"2"0,43-4,-64 2,-1 0,1-1,-1-1,0 0,0 0,22-13,12-12,-2-3,49-45,-73 60,-10 7,17-12,-26 22,-1-1,1 1,0 0,-1 0,1 0,0-1,0 1,-1 0,1 0,0 0,-1 0,1 0,0 0,0 1,-1-1,1 0,0 0,-1 0,1 1,0-1,-1 0,1 1,0-1,-1 0,1 1,-1-1,1 1,-1-1,1 1,-1-1,1 1,-1 0,1-1,-1 1,0-1,1 1,-1 0,0-1,0 1,0 0,1 1,5 15,0 1,0 1,-2-1,4 36,-4 79,-4-92,2 1,10 68,-7-91</inkml:trace>
  <inkml:trace contextRef="#ctx0" brushRef="#br0" timeOffset="507.31">674 204,'27'-10,"-2"1,21 3,1 3,90 4,-45 1,-41-2,-30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3:09.8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244 0,'-1'1,"0"0,-1 0,1 0,0 1,0-1,-1 0,1 0,0 1,0-1,1 1,-1-1,0 1,0-1,1 0,-1 0,1 1,-1-1,1 4,-2-1,-137 341,135-333,0 1,0 0,2-1,-3 23,3-18,0-1,-6 20,-43 112,48-136</inkml:trace>
  <inkml:trace contextRef="#ctx0" brushRef="#br0" timeOffset="620">529 125,'1'68,"-7"134,3-176,-1 0,-1-1,-2 0,0 1,-22 43,13-41,9-18</inkml:trace>
  <inkml:trace contextRef="#ctx0" brushRef="#br0" timeOffset="1116.33">78 419,'6'0,"6"0,4 0,2 0,1 0,1-3,1 0,-1-1,0 1,-1 1,1 1,5 0,3 1,-1 0,-1 0,-3 0,-4 0</inkml:trace>
  <inkml:trace contextRef="#ctx0" brushRef="#br0" timeOffset="2308.55">849 477,'-44'16,"33"-12,1 0,0 0,-14 9,20-10,0 0,0-1,0 2,1-1,-1 1,1-1,0 1,0 0,1 0,-5 8,4-5,0 0,1 0,-1 0,2 0,-2 0,2 1,0-1,1 1,-1-2,3 17,-1-19,-1 0,2 0,-1 0,1 0,-1 0,1 0,0 0,0 0,0 0,0 0,1-1,0 0,0 0,0 1,0-1,0 0,1 0,-1-1,8 5,7 1,2-1,-2 0,1-1,0-1,2-1,-2 0,1-1,1-2,-1 0,24-2,-39 1,0-1,0 1,-1-1,1 0,-1 0,1-1,-1 1,1-1,-1 0,0 0,0-1,0 1,0-1,-1 0,8-5,-7 3,0-1,0 0,0 0,0-1,-1 1,0 0,-1 0,0-1,2-8,-2 8,2-8,0 0,2-28,-6 38,0-1,0 0,-1 0,0-1,-1 1,1 1,-1-1,0 1,-1-1,-3-6,-2-2,-1-2,0 3,-2-1,0 1,-24-23,26 29,0 0,-1 0,0 1,0 0,0 0,0 2,-1-1,0 1,-21-6,16 7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3:12.7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54 166,'0'3,"0"4,0 1</inkml:trace>
  <inkml:trace contextRef="#ctx0" brushRef="#br0" timeOffset="340">1 781</inkml:trace>
  <inkml:trace contextRef="#ctx0" brushRef="#br0" timeOffset="1812.05">852 400,'-1'16,"0"-1,-2 0,0 0,-1 1,-1-2,-9 25,-49 82,43-87,-2-1,-2-1,-1-1,-1 0,-48 39,44-44,-48 32,66-49</inkml:trace>
  <inkml:trace contextRef="#ctx0" brushRef="#br0" timeOffset="3427.76">927 456,'-1'0,"0"0,1 1,-1-1,0 0,1 1,-1-1,1 1,-1-1,1 0,-1 1,1-1,-1 1,1 0,0-1,-1 1,1-1,0 1,-1-1,1 1,0 0,0-1,0 1,-1 0,1-1,0 2,-4 20,3-19,-2 21,0-3,2 1,1 0,0 0,6 36,-5-56,0 0,0 0,-1 0,2 0,0 0,-1 0,0 1,0-1,1 0,-1-1,1 1,0 0,0 0,-1-1,1 1,4 2,-5-4,1 1,-1-1,1 1,-1-1,1 1,-1-1,1 0,-1 0,1 0,-1 0,1 0,-1 0,1 0,0 0,-1-1,1 1,-1 0,0-1,1 1,-1-1,1 0,-1 1,0-1,1 0,-1 0,0 0,0 0,2-1,12-14,-1 0,0-1,-2 0,0-1,17-32,-17 26,2 1,1 0,18-21,20-10,-53 54,0 0,0 0,1 0,-1-1,0 1,2 0,-2 0,0 0,1 0,-1-1,0 1,0 0,1 0,-1 0,0 0,1 0,-1 0,0 0,1 0,-1 0,0 0,1 0,-1 0,0 0,1 0,-1 1,0-1,1 0,-1 0,0 0,1 0,-1 0,0 1,0-1,1 0,-1 0,0 1,0-1,1 0,-1 0,0 1,0-1,0 0,1 1,7 16,-7-14,30 88,-23-64,1 0,2-2,0 0,18 31,-21-41,0 1,-1 0,0 1,-1-1,-2 1,4 23,-5-27,1-1,0-1</inkml:trace>
  <inkml:trace contextRef="#ctx0" brushRef="#br0" timeOffset="4511.38">1889 385,'3'3,"4"4,4 1,4 2,6 2,4 3,6-3,4 2,4-3,4 0,3-3,-4-1,-4-2,-4-2,-5-2</inkml:trace>
  <inkml:trace contextRef="#ctx0" brushRef="#br0" timeOffset="5510.78">2076 626,'-19'0,"-7"0,-32 4,51-4,0 2,0-1,0 0,0 1,0 0,0 1,0 0,1 0,-8 5,13-8,1 1,-1-1,0 0,1 1,-1-1,0 1,1-1,-1 1,1 0,-1-1,1 1,-1 0,1-1,0 1,-1 0,1-1,0 1,-1 0,1 0,0 0,0-1,0 1,0-1,0 1,0 0,0-1,0 1,0 0,0 1,1-1,0 1,0 0,0-1,0 1,0-1,0 1,1-1,-1 0,1 1,-1-1,1 0,1 1,6 3,0 0,0-2,18 7,-4-5,0 0,1-1,43 0,29 4,-69-4,0-2,30 0,-42-2</inkml:trace>
  <inkml:trace contextRef="#ctx0" brushRef="#br0" timeOffset="6509.52">3290 153,'4'0,"1"1,-1 0,1 0,-1 0,1 1,-1-1,1 1,-1-1,0 1,0 0,0 1,6 4,1 3,1 0,13 14,-8-6,-1 2,-1-1,-1 2,13 24,-21-35,-2 0,0 0,0-1,-1 2,0-1,0 1,-1-1,-1 1,0-1,-1 0,0 1,-1 10,0-17,0-1,-1 1,1-1,-1 0,1 2,-1-2,0 0,0 0,0 0,-1-1,1 0,-1 1,0-1,1 0,-1 1,0-1,0 0,-1 0,1-1,-1 1,0-1,1 0,0 1,-1-2,-3 2,-12 2,0-1,-1-1,-27 0,39-2,-112-1,143 2,0 1,0 1,0 0,42 14,-60-15,-1 0,1 0,-1 0,1 0,0 0,-1 1,0 0,0 0,-1 1,1-1,-1 1,1 0,-1 0,0 0,-1-1,1 1,-1 1,0-1,0 1,0-1,-1 1,2 5,0 6,0 0,0-1,-2 2,0-2,-2 24,0-36,1 1,-1 0,0-1,0 1,0-1,0 1,0-2,-1 1,0 1,0-1,0 0,0 0,0 0,0 0,-4 3,0-2,0 0,0 0,0 0,0 0,-2 0,2-1,-10 3,-8 2,-2-3,1 1,-35 2,-20 0,-2-3,-119-9,184 3,0-1,-29-7,42 8,-1 0,1-1,-1 1,1-1,-1-1,1 1,0 0,0 0,0-1,1 0,-1 0,1-1,-7-5,-2-11</inkml:trace>
  <inkml:trace contextRef="#ctx0" brushRef="#br0" timeOffset="7172.63">4335 153,'-1'5,"0"-1,0 0,-1 0,0 1,1-1,-1 0,-1 1,1-1,-1 0,0-1,-4 6,0 0,-17 21,-1-1,-2 0,-1-3,-35 27,62-52,0-1,1 1,-1-1,0 1,-1-1,1 1,0 0,1 0,-1-1,0 1,1 0,-1 0,1 0,-1-1,1 1,-1 0,1 0,-1 0,1 0,0 0,0 0,-1 0,1 0,0 2,1-2,0 0,0 0,0 1,1-1,-1 0,0 0,0 0,2 0,-2-1,1 0,-1 1,1 0,-1 0,1-1,2 1,26 9,2-1,51 6,71 2,-109-13,10 1,65 7,-103-9,1 1,0 0,-1 3,25 8,-38-13,0 0,-1 0,2 1,-2-1,0 1,0 0,0 0,0 0,0 0,-1 0,1 0,-1 1,4 5,-4-2,1-1,-1 0,-1 1,1-1,-1 0,0 1,0 12,-2-5,0-1,-1 0,-1 1,0 0,0-2,-2 1,-10 22,9-24,0-1,-3 1,2-1,-1 0,-1-1,0 1,0-1,-1-1,0-1,-1 1,0-1,-15 7,1-2,-2-1,1-1,-1-2,-48 10,53-15,0 0,0-2,-1 0,0-2,1 0,-1-1,1-2,0 0,0-1,1-1,0-1,0 1,0-3,-24-13,4-2,2 0,0-2,3-2,-1-1,-52-57,49 41,13 9</inkml:trace>
  <inkml:trace contextRef="#ctx0" brushRef="#br0" timeOffset="7692.63">4304 1,'3'0,"5"0,3 0,4 0,2 0,2 0,1 3,13 7,22 4,18 10,15 3,-1 0,-11-5,-11-5,-19-3,-14-5</inkml:trace>
  <inkml:trace contextRef="#ctx0" brushRef="#br0" timeOffset="8605.59">5782 217,'0'-1,"0"0,0 1,-1-1,1 0,0 1,-1-1,1 0,0 1,-1-1,1 1,-1-1,1 1,-1-1,1 1,-1-1,1 1,-1-1,1 1,-1 0,0-1,1 1,-1 0,0-1,1 1,-1 0,0 0,1 0,-2-1,-23-2,22 3,-12 0,2 0,0 1,-1 1,1 0,-1 0,0 2,1 0,0 0,-15 7,-3 3,1 2,-42 28,65-40,0 0,0 1,1 0,0 0,0 1,0 0,1-1,0 1,0 1,1 0,-1-1,2 2,-1-2,1 1,0 1,1-1,-2 1,3-1,-1 1,1 0,0 12,0 2,2-1,0 2,2-2,1 0,0 0,2 0,0 0,1-1,1 0,1-1,1 0,19 27,-23-39,0 0,0 0,1-2,-1 1,1 0,1-1,-1 0,1 0,1 0,-1-1,0-2,1 2,-1-1,11 2,14 2,-1-1,53 3,-72-9,14 2,-1-1,1-2,-1 0,0 0,35-10,-48 8,-1 0,2-1,-2-1,0 0,0 0,-1-1,0 0,1-2,-1 1,-1-1,0 0,12-14,-7 6,-2-1,-1 0,0-2,-1 1,-2-1,0 0,0-1,8-35,-9 21,-2-1,-2 1,-1 0,-4-55,1 77,-1 2,-1-1,0-1,0 2,-1-1,-1 0,0 0,-1 2,1-2,-2 1,0 1,-1 0,0-1,0 1,0 1,-1 0,-1 0,1 0,-1 1,-1 1,0-1,0 1,0 1,-1-1,1 2,-1 0,0 0,-1 1,0 0,1 0,-12 0,-18 0,1 1,-1 2,1 2,-1 1,1 2,0 2,0 1,1 2,-39 15,56-17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3:51.3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8,'0'-3,"0"-1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3:51.7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3:49.2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59 0,'-2'23,"-1"1,-1-2,0 1,-12 28,6-20,-5 39,11-29,3 74,3-52,-2-47</inkml:trace>
  <inkml:trace contextRef="#ctx0" brushRef="#br0" timeOffset="570.99">334 14,'0'3,"0"7,0 17,0 9,0 9,0 6,-3 4,-3 5,-1-4,0-7,-2-13,0-12</inkml:trace>
  <inkml:trace contextRef="#ctx0" brushRef="#br0" timeOffset="1064.99">70 245,'7'3,"4"1,12 6,3 1,7 2,3-1,-4-1,-2 0,-4-4,-4-1,0-4,-3 0,-1-2,0 0,-2 2,-3 2,-2-2</inkml:trace>
  <inkml:trace contextRef="#ctx0" brushRef="#br0" timeOffset="1735.4">521 356,'80'-2,"88"4,-167-1,1-1,-1 0,1 1,0 0,-1-1,1 1,-1 0,1 0,-1-1,0 1,1 0,-1 1,0-1,0 0,0 0,0 0,0 1,0-1,0 0,0 1,0-1,-1 1,1-2,0 2,-1 0,0-1,1 3,1 5,0 0,-1 0,0 13,-1-21,-1 33,-2 1,-1-1,-2-1,-13 43,15-62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3:55.6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507 191,'-1'2,"0"1,-1-1,1 0,-1 0,0 0,0 1,0-1,0 0,0 0,0-1,-1 1,1 0,-7 2,4 0,-37 23,-2-2,-1 0,-1-4,-1-1,-1-2,-72 18,113-34,-1 0,0 1,1 0,0 1,-1-1,-7 5,14-7,0-1,0 1,0 0,0 0,0-1,0 1,0 0,0 0,0 0,0 0,1 0,-1 0,0 0,1 0,-1 1,1-1,-1 0,1 0,0 0,-1 1,1-1,0 0,0 0,0 1,0-1,0 0,0-1,0 2,0-1,1 0,-1 0,0 1,1-1,-1 0,1 0,0 0,-1 0,1 0,0 0,-1 0,1 0,0 0,0 0,0 0,0 0,1 1,9 6,0-1,1 1,0-1,0 0,0 0,0-2,19 5,97 22,-117-30,47 10,2-3,97 2,-126-10</inkml:trace>
  <inkml:trace contextRef="#ctx0" brushRef="#br0" timeOffset="1111.27">963 250,'0'0,"0"-1,0 0,1 1,-1-1,0 0,1 1,-1-1,0 1,1-1,-1 0,1 1,-1-1,1 1,-1-1,1 1,-1 0,1-1,0 1,-1 0,1-1,0 1,-1 0,1-1,0 1,-1 0,1 0,1 0,24-4,-22 4,10 0,1-1,-1 2,1-1,-1 1,1 1,-1 0,0 1,25 9,-33-9,0-1,0 1,0 0,0 1,-1-2,0 2,1 0,-1 1,0-1,0 1,-1 0,0 0,0-1,0 1,-1 1,0 0,0-1,0 1,-1 0,0-1,2 9,-3-9,0 0,0-1,-1 1,1-1,-1 1,0 0,0-1,-1 1,0 0,1 0,-2-2,1 2,0 0,-1-1,0 1,-5 7,7-11,-1 0,1 0,0 0,-1 0,1-1,0 1,0 0,-1 0,1 0,0 0,0 0,0 0,1 0,-1 1,0-1,0 0,0 0,1 0,-1 0,1 0,-1 0,1 0,-1 0,1 0,-1-1,1 1,0 0,-1 0,1 0,0-1,0 1,0 0,0-1,1 2,5 2,0 0,0-1,14 6,-8-3,23 11,-25-15,0 3,-1-1,0 2,0-1,-1 1,0 1,1-2,-1 3,9 9,-3 2,-1 2,-1-1,0 1,9 27,-10-23,-7-17,0 1,-1 1,0-1,0 0,-1 1,1-1,-1 0,1 15,-5-22,1 0,-1 0,0 0,0 0,0-1,0 1,0 0,-1 0,1-1,0 1,-1 0,1-1,-1 1,1-1,-1 0,0 1,-2 0,-36 20,34-20,-21 10,1-2,-1-2,-1 0,-49 8,-115 3,178-18,-24 3,-83 2,109-6,0-1,0 0,-1-1,2 0,-1-1,1 0,-20-7,26 8,1 0,1 0,-1 0,0-1,1 1,0-1,0 0,0 0,0 0,0 0,0-1,1 2,0-2,-4-6,0-7</inkml:trace>
  <inkml:trace contextRef="#ctx0" brushRef="#br0" timeOffset="1929.75">2130 204,'-1'11,"0"0,-1 0,0 0,-1 0,0 0,-1-2,0 2,-1-1,0-1,-1 1,-9 11,-4 5,-2-1,-38 35,17-25,29-26,1 1,-15 16,26-26,1 1,0-1,0 0,-1 0,1 1,0-1,0 0,0 1,-1-1,1 0,0 1,0-1,0 1,0-1,0 0,0 1,0-1,0 0,0 1,0-1,0 1,0-1,0 0,0 1,0-1,0 0,0 1,0-1,1 0,-1 1,0-1,0 0,0 1,1-1,-1 0,0 1,0-1,1 0,-1 0,0 1,2-1,-2 0,0 0,1 0,-1 1,0-1,1 0,-1 0,0 0,1 0,-1 0,0 0,1 0,-1 0,1 0,-1 0,0 0,1 0,0 0,30 2,-28-2,65-1,119 4,-150 0,2 1,70 17,-50-3,64 24,-94-29,0 1,-2 0,0 2,26 20,-46-31,-1 0,1 1,0 1,-1-1,-1 1,1 0,-1 0,-1 0,0 1,0 0,0 0,-1-1,0 1,-1 1,2 9,-3-10,0-1,-1 0,0 1,-1-2,0 2,0-1,0 0,-1 0,0 0,-1 0,1-1,-1 1,-1 0,1-2,-1 2,0-1,-1 0,-5 6,4-7,-1 1,1-1,-1 1,1-1,-1 0,0-1,-1 0,1-1,-1 0,-15 5,11-5,0 0,-1-1,1 0,-1-1,0-1,-20-1,0-4,1-1,0-1,-1-1,-50-21,-87-51,94 41,46 25</inkml:trace>
  <inkml:trace contextRef="#ctx0" brushRef="#br0" timeOffset="2603.73">2240 0,'3'0,"8"0,11 3,9 5,7 5,15 5,14 5,8 2,4-4,1 0,-6 1,-7-5,-7-1,-12-5,-10-2,-9-4,-5-3,-8-1</inkml:trace>
  <inkml:trace contextRef="#ctx0" brushRef="#br0" timeOffset="3464.63">3311 258,'-17'31,"-66"125,69-126,1 0,1 2,-13 57,23-78,1 1,-1 1,1-2,2 1,-1 1,3-2,-2 1,2 0,0-1,0 1,1 0,0-2,13 22,-5-14,1 1,1-2,1 0,1-1,1 0,0-1,1 0,0-1,37 19,-22-16,0-1,2-1,0-2,1-1,50 10,-53-15,2-1,-1-3,1 0,-1-1,1-2,52-6,-72 4,0-2,0 1,1-2,-2 0,0-1,0 0,18-9,-23 8,1 1,-2-1,1 0,-1-1,0 0,0 0,0-1,-1 1,-1-2,9-15,-10 15,-2 0,1 0,-2 1,1-1,-1-1,-1 2,0-2,0 1,-1-1,-2-11,1 7,-2 1,0-1,-1 1,0-1,-1 1,-10-20,-1 9,1 1,-2-1,-2 2,-26-27,-93-79,134 126,-35-32,-2 3,0 1,-68-36,93 57,-1 2,-1 0,1 1,-1 1,0 0,-1 1,0 1,1 0,-1 2,-1 0,1 1,0 1,-21 2,25 2,3 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3:53.6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640 12,'-3'0,"-5"3,-8 7,-5 11,-8 11,-8 9,0 3,-11 11,-3 0,-8 7,-2-1,4-8,-2-5,10-5,10-12,8-7,10-12,8-7</inkml:trace>
  <inkml:trace contextRef="#ctx0" brushRef="#br0" timeOffset="882.53">465 16,'1'1,"0"-1,0 0,0 1,-1-1,1 0,0 0,0 0,-1 1,1-1,0 1,-1-1,1 1,-1 0,2-1,-2 1,1 0,-1 0,1-1,-1 1,1 0,-1 0,9 23,-6-18,35 99,6 13,-36-98,2-1,0 0,25 30,-32-46,0 1,0 0,0-1,1 0,0 1,0-1,0-1,0 0,0 0,0 1,1-1,-1 0,1-1,0 1,0-1,5 1,-6-1,0-1,0 0,0 0,-1 0,1-1,0 1,0-1,0 0,0 0,-1 0,1-1,0 1,-1-1,2 0,-2 0,0 0,0 1,0-1,0-1,4-4,2-3,-1 0,0 0,0-2,-1 1,8-17,22-64,-20 46,52-127,-69 173,0-1,0 1,0-1,0 0,0 1,0-1,1 1,-1-1,0 1,0-1,1 1,-1-1,0 1,1-1,-1 1,0 0,1-1,-1 1,1 0,-1-1,1 1,0-1,5 10,3 26,-8-30,9 62,0 99,-8-89,-2-70,1 1,0-2,0 1,0 0,5 14,2-7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4:24.248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gnorePressure" value="1"/>
      <inkml:brushProperty name="inkEffects" value="galaxy"/>
      <inkml:brushProperty name="anchorX" value="0"/>
      <inkml:brushProperty name="anchorY" value="0"/>
      <inkml:brushProperty name="scaleFactor" value="0.5"/>
    </inkml:brush>
  </inkml:definitions>
  <inkml:trace contextRef="#ctx0" brushRef="#br0">0 4347,'0'0,"3"0,5 0,4 0,3 0,2 0,1 0,1 4,1-2,0 2,-1-1,0-1,1-1,-2 0,1 0,3 2,5 1,10 3,1-1,1 3,2-1,9-2,4-1,4-2,-2-1,0-2,-5 0,-3 0,-8 0,-3-1,-1 1,-2 4,5-1,-4 0,2 0,-2 3,5-1,-3 0,0-2,-5-1,-3 0,-3-2,-4 0,-2 0,-1 0,3 0,7 0,1-1,10 1,3 0,-4 0,9 0,-6 0,3 0,-5 0,-5 0,-5 0,-5-3,-4-1,-4-3,-3 0,-3-2,0-3,0-2,2 0,7-7,4 0,1-1,9-2,-2 1,-1-1,-7 3,0 1,10-3,2 2,0-1,-4 2,-2 0,-1 2,-3 3,2 1,5-7,4-4,0-5,6 1,0-2,0-2,0 0,-3 3,-4 2,-2 1,-4 1,1 3,-7 2,2 1,-4 2,-1 4,0 3,-1 2,-1-2,-4-1,3-1,1-7,4 1,4-7,4 2,4-3,2 1,-8 1,-2 0,-4 1,-3-3,-1 2,4 2,-2-6,5-2,3 1,-1-1,3 3,-3 3,-1 5,-2-1,-3 2,-2-3,4-3,-2-1,-4-1,0-3,-1 2,-4-2,0-1,-3-4,4-6,2-3,3-9,-4 2,-4-1,1-2,-4 5,3-1,-3 4,1-3,-1-2,-2 3,2-1,-1 2,1 0,0 4,3 1,-3-1,2 2,2-6,-2 2,6-3,2 2,1 0,1 1,-4 3,0 2,-4 5,-3 6,0 4,-3 3,-1 4,-2 0,-1 2,-1-1,3-3,3-1,1 1,-1-1,2 2,-2-1,3 3,-2-2,2-2,-2 1,2-2,-1-2,-2 1,2 1,-3 1,0-3,1-2,-1 1,3-3,-2 1,3 3,2-2,-1 1,1 0,1-3,2 1,2-3,1 0,0-1,1-6,5-1,-4 3,2-3,0-11,0 5,3-8,7 0,-4 5,1 0,3 3,-3 7,3 6,-4 5,1 4,-4 2,0 3,-2 4,0 3,-6 2,-1 1,3 2,1 2,4 2,11 0,4 1,4 0,10 1,-3-1,-1 0,-3 1,-3-1,-7 0,-5 0,3 0,0 3,1 5,-2-2,0 8,-2-2,-5 2,-2-2,3 1,-3-1,-2 7,1-1,1 6,3 3,15 14,2-1,0 2,-1-6,-6 0,-5-5,-6-4,-3-1,-2-2,2 10,-2 1,0 2,5 0,-2 1,-1-1,0-1,2 0,-2 0,1-3,-5-2,-2-3,-1 0,-3-3,-1-4,-2-4,-3 0,1 1,-2 2,2-1,3 5,4-2,0 4,2-1,1 2,2-2,-5 0,0 0,0-5,1 3,2-2,-1 3,1 0,-4-3,2 1,2-2,2 5,0 4,1 1,-1-6,-3-4,-6-1,1-5,-3-1,0 0,2 0,2 6,-1-1,0 10,11 3,1 6,0-1,4 4,3 0,-1-4,-7-2,-2 0,-2-8,-4 1,-2-7,4 1,2-1,4 6,1-4,7 6,0 0,6 13,-2-4,4 7,-2-8,-8-6,0 0,-8-5,-3 1,-1-5,-4-2,0-1,7 5,2-3,2 0,6 6,0-1,0 5,-8-4,3 3,-3-3,-1 0,-1-8,4 3,-2-3,1 4,-4 1,-3-2,4 0,12 6,0-2,-1 2,0-4,-5-1,-3-5,3-3,2 1,-1-4,-1-3,-7 0,-1 3,0 1,-2-2,0 2,1-2,2 0,-1 2,3 2,17 0,0 3,0-4,3 1,-3-3,-2 4,5 1,-2 0,6 3,2-2,4-2,-1 0,5-1,1-2,1 0,-2-4,-1 3,-4-3,3-1,-5-3,0 1,-7 0,0-1,-5-1,-3-1,-5-1,-4-1,-1 0,0 3,0 1,-1-1,6 0,8-1,14 2,3 1,14-1,-1-1,1 2,4 1,-6-2,2 0,-6-2,-10-1,-6 0,-5-1,1 0,-5-1,-4 1,-5 0,3 0,0 0,0 0,8 0,-4 0,2 0,-1 0,2 0,7 0,-2 0,-2 0,1 0,-3 0,1 0,-6 0,5 0,-4-4,-3 0,-5 1,-2-1,-3 2,-1 0,-2 1,1 1,-1 0,3 0,1 0,1 1,2-1,0-4,0 1,-3-1,3 1,0 1,-2 1,-1 1,3-4,-1 0,2 0,1 1,-3 1,-1 1,-4-3,-3 0,0 0,-1 1,2 1,0 2,0 0,1-1,2 1,3 0,3 1,5-1,-2 0,-5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4:43:53.932"/>
    </inkml:context>
    <inkml:brush xml:id="br0">
      <inkml:brushProperty name="width" value="0.05" units="cm"/>
      <inkml:brushProperty name="height" value="0.05" units="cm"/>
      <inkml:brushProperty name="ignorePressure" value="1"/>
    </inkml:brush>
    <inkml:brush xml:id="br1">
      <inkml:brushProperty name="width" value="0.05" units="cm"/>
      <inkml:brushProperty name="height" value="0.05" units="cm"/>
      <inkml:brushProperty name="color" value="#E71224"/>
      <inkml:brushProperty name="ignorePressure" value="1"/>
    </inkml:brush>
    <inkml:brush xml:id="br2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1964 4717</inkml:trace>
  <inkml:trace contextRef="#ctx0" brushRef="#br0" timeOffset="367.02">1870 5325</inkml:trace>
  <inkml:trace contextRef="#ctx0" brushRef="#br0" timeOffset="846.62">2567 4693,'0'3,"0"6,-3 0,-6 9,-8 10,-6 13,-6 11,-5 7,-9 4,-4 2,-2-1,4-7,1-8,10-10,6-7,7-10</inkml:trace>
  <inkml:trace contextRef="#ctx0" brushRef="#br0" timeOffset="1697.32">2579 4808,'-1'24,"-2"1,-1-2,-8 30,5-23,-4 35,11-62,-1 0,1 0,1-1,-1 1,0 1,1-1,0 0,0 0,0 0,0 0,0 0,0 0,3 3,-3-4,0-2,0 1,0 0,0 0,0 0,0 0,0-1,0 1,1 0,-1 0,0-1,0 1,1-1,-1 1,1-1,-1 0,0 1,1-1,-1 0,1 0,-1 0,0 0,1 0,-1 0,1 0,-1-1,0 1,1 0,-1-1,0 1,1-1,0 1,1-2,4-2,-1 1,0-2,0 1,-1-1,1-1,-1 1,0-1,0 2,4-10,38-62,-42 67,65-124,16-30,-73 139,-9 15,2 1,-2 0,2-1,-1 1,1 0,0 1,9-10,-14 16,0 0,0 0,0 0,1 1,-1-1,0 0,0 1,0-1,1 1,-1-1,0 1,0-1,1 1,-1 0,0 0,1 0,-1 0,0 0,1 0,-1 0,0 0,4 1,-3 0,0 0,0 0,-1 0,1 0,0 0,-1 1,1-1,-1 1,0-1,1 1,-1-1,0 1,1 3,3 4,-1-1,-1 2,1-1,3 18,13 119,2 2,-16-112,-5-22,2 0,7 26,-4-27</inkml:trace>
  <inkml:trace contextRef="#ctx0" brushRef="#br0" timeOffset="2610.65">3498 4839,'-2'1,"-1"-1,0 1,1 0,-1 0,0 0,1 0,0 1,-1-1,1 1,-1-1,1 1,-4 3,-23 24,24-22,-1-1,1 2,0 0,1-1,-1 1,2 0,-2 0,2 1,1 0,0-1,-3 18,5-20,-1 1,1 0,0 0,1 1,-1-2,2 0,-1 1,1 0,0 0,0 0,1-2,-1 2,3-1,-2 0,1 0,4 5,1-1,0 0,0-1,1-1,0 0,1 0,17 9,-25-15,0 0,0 0,0-1,0 0,1 1,-1-1,1 0,-1-1,1 1,-1 0,1-1,0 0,0 0,-1 0,1 0,-1-1,1 1,-1-1,1 0,-1 0,0 0,1-1,-1 1,0-1,0 1,0-1,0 0,0 1,2-4,45-50,-7 7,-38 44,-1-1,0 0,0 0,-1 0,1 0,-1-1,0 2,-1-2,0 0,1 1,-2-1,1 0,0-7,-1 9,-1 1,0-1,0 0,-1 1,1-1,-1 0,0 2,0-2,0 1,0-1,0 1,-1 0,0-1,0 1,0 0,0 0,0 0,0 1,-1 0,1-1,-1 1,0-1,-5-2,3 2,-2 0,2 1,0-1,0 1,-1 1,1-1,-1 1,0 0,-10-1,-55 3,48 1,4-1</inkml:trace>
  <inkml:trace contextRef="#ctx0" brushRef="#br0" timeOffset="-3063.49">179 4416,'-1'115,"3"126,0-208,4-1,-1 0,17 53,-19-73,0-1,-1 0,-1 1,0-1,-1 1,0 0,-3 21,-4 1,-14 42,15-54,1-8</inkml:trace>
  <inkml:trace contextRef="#ctx0" brushRef="#br0" timeOffset="-2534.98">667 4363,'-4'67,"-3"0,-28 110,19-104,-11 130,26-171,1-8,-1 2,-1-1,-1-1,-12 42,3-45,1-7</inkml:trace>
  <inkml:trace contextRef="#ctx0" brushRef="#br0" timeOffset="-1652.55">216 4853,'0'-4,"4"0,4-1,10 1,8 2,4 0,1 1,-6-3,-3 0,-1-4,-4-4,-5 0</inkml:trace>
  <inkml:trace contextRef="#ctx0" brushRef="#br0" timeOffset="-404">1183 4895,'-31'-1,"13"0,-1 1,-19 2,32-1,1 0,-2 0,2 0,0 1,0 0,-1 0,1 1,1-1,-1 1,0 0,-5 5,-40 30,23-17,-49 46,73-62,-1 0,1 0,0 0,-1 0,2 0,-1 0,1 1,0-1,1 1,-1 0,1-1,0 8,0 3,1-1,0 1,4 20,-3-34,-1 0,1 1,-1-1,1-1,0 1,0 0,0 0,0 0,0 0,1 0,-1 0,0 0,2 0,-1-1,-1 1,1-1,0 1,0-1,0 0,0 1,0-1,0 0,0 0,0-1,0 1,0 0,1-1,3 1,6 1,1-1,0-1,0 0,14-1,-4-1,25 2,-21 1,45-6,-63 4,-2 0,1-1,-1 0,1 0,-1-1,0 0,0 0,0-1,0 1,9-6,12-12,-18 14,-1 1,0-1,11-11,-17 15,0 0,-1-1,1 2,-1-2,0 0,0 0,0 1,-1-1,1 0,-1-1,0 1,1-6,0-6,-1 2,-1-1,0-1,-3-23,3 37,-1-1,0-1,0 1,0 0,0-1,0 1,-1 0,0 0,1 0,-1 0,0 1,0-1,-1 1,1-1,-1 1,1-1,-1 1,0 0,1 0,-2 0,0 0,1 1,0-1,0 1,0 0,-6-1,-9-2</inkml:trace>
  <inkml:trace contextRef="#ctx0" brushRef="#br0" timeOffset="6665.57">5325 4520,'0'-1,"0"0,1 0,-1 0,0 0,0 0,1 0,-1 0,1 0,-1 0,1 0,-1 0,1 0,0 1,-1-1,1 0,0 0,0 1,-1-1,1 0,1 0,22-10,-17 8,14-6,-1 0,1 1,1 3,-1-1,0 1,2 1,-1 0,0 2,27 1,-46 1,-1 0,0 0,1 1,-1-1,1 1,-1 0,0-1,0 1,0 0,1 0,-1 1,0-1,0 0,0 1,-1-1,1 1,0 0,0-1,-1 1,1 0,0 0,-1 0,0-1,0 1,0 0,0 0,1 1,-1-1,0 0,-1 1,0-1,1 0,-1 1,0 4,0 1,0 1,-1 0,0 0,-2-1,1 1,0 0,-2 1,-2 6,-1-2,-1 0,0-1,-1 0,0-2,-1 2,-2-2,-14 14,-95 67,85-67,-52 35,84-56,16-9,31-16,-24 12,43-19,1 2,2 2,87-19,-145 41,2 1,-1 0,0 0,0 0,13 1,-19 0,-1 0,1 1,-1-1,1 0,0 1,-1-1,1 1,-1-1,1 0,-1 1,1 0,-1 0,0 0,2 0,-2 0,0 0,0 1,0-1,0 0,0 1,0-1,0 0,0 1,-1-1,1 1,-1-1,1 1,-1 0,1-1,-1 1,0-1,0 1,0 1,2 28,-3-1,0 0,-11 54,8-70,0 1,-1 0,0-1,-1 1,0-2,-2 1,0 0,0-2,-1 1,0 0,-3-2,-15 16,17-18,0 0,-1-1,-3 0,3-2,-1 1,0-1,-1-1,1 0,-2 0,1-2,-1 0,1 0,-1-1,-23 2,-17-5,33-1</inkml:trace>
  <inkml:trace contextRef="#ctx0" brushRef="#br0" timeOffset="7544.59">6327 4366,'-1'7,"-1"-1,0 1,-1-2,1 1,-1 0,0 0,0 0,-6 7,3-4,0 0,1 1,-4 11,8-20,1 1,0-1,0 0,-1 0,1 0,0 1,0-1,0 0,0 0,1 0,-1 1,0-1,1 0,-1 0,0 0,1 0,-1-1,1 1,0 1,-1-1,1 0,0-1,0 1,-1 0,1 0,0 0,0 0,0-1,0 1,0 0,0-1,0 1,1-1,-1 1,0-1,0 0,0 1,1-1,1 0,7 3,0-2,2 0,17 1,-17-2,0 0,1 1,-2 0,1 0,-1 1,1 1,-1 0,0 0,1 1,-1 0,0 1,-1 0,0 2,0-1,-1 0,2 1,-3 1,10 8,-1 1,-1 2,23 30,-34-41,-1-1,1 1,-1-1,-1 2,0-1,0 1,0-1,-1 0,-1 1,2 12,-4-17,1 1,-1 0,-1 0,1-1,-1 1,1-1,-1 0,0 0,-1 0,1 1,-1-1,0-1,0 1,-6 5,-2 2,-2 0,-27 19,9-10,-1-3,0 0,-2-2,-48 15,71-27,1 0,-23 3,30-5,1-1,-1 0,0 0,1 0,-1 0,1 0,-1 0,1-1,-1 1,1-1,-1 0,1 0,0 0,-1 0,1 0,0 0,0-1,-3-1,-3-7</inkml:trace>
  <inkml:trace contextRef="#ctx0" brushRef="#br0" timeOffset="8368.93">6352 4315,'4'0,"4"0,6 0,7 0,4 0,2 0,0 0,-2 0,0 0,-1 0,-1 0,-1 0,1 0,-5 0</inkml:trace>
  <inkml:trace contextRef="#ctx0" brushRef="#br0" timeOffset="9598.41">7176 4315,'-1'2,"0"1,1 0,-1 0,0 0,0-1,-1 1,1 0,-1 0,-3 4,-3 6,-16 43,-26 87,24-64,17-53,1 0,2 1,1 0,1 0,1 0,2 1,4 51,-3-77,1 0,-1 0,1 0,0 0,-1 0,1 0,0 0,0 0,0 0,0 0,1-1,-1 1,0-1,1 0,-1 1,1-1,0 0,-1 1,1-1,0 0,0 0,0 0,1 0,-1-1,0 1,0 0,0-1,0 1,2-1,8 2,0-1,0-1,0 0,15-2,-6 1,20-1,0-2,0-1,71-19,-56 10,-30 9,46-17,-64 19,1-1,-1 0,-1 1,0-2,0 0,0 0,0 0,-1-1,10-10,-7 6,-1 0,0 1,-1-2,0 0,-1-1,0 2,-1-2,-1 0,0 0,0 0,-1-1,-1 1,0 0,0-1,-1-23,-4 31,2-2,-1 1,0 0,0 0,-1 0,1 2,-2-2,1-1,0 2,-1 0,0 0,-7-6,-3-3,0 1,-31-20,29 24,-1 0,0 0,0 1,0 1,-1 1,-1 1,1 0,0 0,-1 2,0 0,0 2,-31 0,46 1,0 0,0 0,0 0,0-1,0 1,0-1,0 0,0 0,0 0,0-1,0 1,-3-3,2 1,1 0,0 0,1-1,0 1,-1-1,1 0,1 0,-1 0,-3-6,-1-4</inkml:trace>
  <inkml:trace contextRef="#ctx0" brushRef="#br0" timeOffset="5145.1">4452 4760,'0'-3,"0"-5,4-1,4 1,6 1,8 3,2-2,6 1,2 0,2 1,1 2,-5 1,0 0,-5 1,-4 0</inkml:trace>
  <inkml:trace contextRef="#ctx0" brushRef="#br0" timeOffset="5649.23">4488 4961,'12'0,"7"0,4 0,1 0,3 0,-3 0,2 0,-3 0,-4 0</inkml:trace>
  <inkml:trace contextRef="#ctx0" brushRef="#br0" timeOffset="19999.4">1795 6198</inkml:trace>
  <inkml:trace contextRef="#ctx0" brushRef="#br0" timeOffset="20341.41">1758 6592,'0'2,"0"7,0 4,0 3,0 0</inkml:trace>
  <inkml:trace contextRef="#ctx0" brushRef="#br0" timeOffset="17894.98">113 5857,'0'3,"0"6,0 11,-4 13,-1 15,-4 14,1 6,-3 4,0-1,3-6,-5-5,-2-11,4-9,2-5,4-4,2-8</inkml:trace>
  <inkml:trace contextRef="#ctx0" brushRef="#br0" timeOffset="18408.97">547 5857,'-3'11,"-6"6,-4 8,0 7,-6 16,-7 11,1 1,-2 9,2 4,3-4,4-7,3-2,2-6,4-7,0-7,2-9,-3-9,2-7</inkml:trace>
  <inkml:trace contextRef="#ctx0" brushRef="#br0" timeOffset="18903.4">76 6283,'4'0,"5"0,4 0,5 0,2 0,1 0,3 0,-1 0,-1 0,1 0,0 0,-4 0</inkml:trace>
  <inkml:trace contextRef="#ctx0" brushRef="#br0" timeOffset="19631.42">540 6379,'13'0,"15"1,44-6,-62 4,1-1,-1-1,0 0,1 0,-1-1,0 0,11-8,81-53,-46 26,-54 38,0-1,1 1,-1-1,1 1,0 0,-1 1,1-1,-1 0,1 0,0 1,-1-1,1 1,3-1,-5 2,1-1,-1 0,0 1,0-1,0 1,0 0,0-1,0 1,0-1,0 1,0-1,0 1,0 0,0 0,-1 0,1 0,0 0,-1 0,1 0,-1 0,1 1,-1-1,1 0,-1 0,0 0,0 1,1-1,-1 0,0 0,0 2,2 25,-1-1,-1 1,-1 0,-6 30,-27 110,30-151,2-10,1-5,0 0,1 1,-1-1,1 1,0-2,0 2,0-1,0 1,0 2,4 5</inkml:trace>
  <inkml:trace contextRef="#ctx0" brushRef="#br0" timeOffset="22166.09">2761 6003,'0'3,"0"7,0 7,0 4,-7 11,-8 8,-3 8,-10 9,-5 0,1-3,1-3,2-7,3-9,1-10,6-5,2-7,4-5</inkml:trace>
  <inkml:trace contextRef="#ctx0" brushRef="#br0" timeOffset="23353.09">2658 6014,'2'9,"0"0,0 0,2-1,-1 0,1 0,0 0,0 0,11 12,-8-8,3 2,1 2,1-1,20 17,-26-27,0 1,1-1,0 1,0-1,0 0,2-1,-1 0,0-1,15 6,-19-8,-1-1,1 0,0 1,-1-1,1-1,-1 1,2 0,-1-1,-1 0,1 1,-1-1,1-1,-1 1,0 0,1-1,-1 1,0-1,0 1,0-1,-1 0,6-5,6-6,1 0,19-27,-20 22,126-154,-139 171,-1 0,1 0,0 1,-1-1,1 0,0 0,0 0,0 0,0 1,0-1,0 0,0 1,0-1,0 1,1-1,-1 1,1-1,-1 1,-1 0,1 1,0-1,-1 0,1 0,-1 0,1 0,-1 1,2-1,-1 0,-1 1,1-1,-1 0,0 1,1-1,-1 0,1 1,-1-1,1 1,-1-1,0 0,0 1,1-1,-1 2,3 3,-1 1,0 0,0-1,1 12,8 83,-10-71,2 2,1-2,10 30,-14-57,1 1,0-1,0 1,0-1,0 1,1-1,-1 0,1 0,-1 0,1 0,0 0,5 3,2-1</inkml:trace>
  <inkml:trace contextRef="#ctx0" brushRef="#br0" timeOffset="24679.6">3905 6043,'3'0,"7"0,3 0,4 0,3 0,10 0,10 0,10 0,8 0,13 0,5 0,2 0,-5 0,-4 0,-10 0,-11 0,-13 0</inkml:trace>
  <inkml:trace contextRef="#ctx0" brushRef="#br0" timeOffset="25179.6">4033 6190,'4'0,"8"0,11 0,4 0,1 0,5 0,-1 0,-1 0,-3 0,2 0,3 0,-1 0,0 0,-7 0</inkml:trace>
  <inkml:trace contextRef="#ctx0" brushRef="#br0" timeOffset="25678.12">4469 5694,'-3'7,"-6"10,-8 12,-6 16,-3 14,1 11,-5 5,-3 4,-1 2,6-6,4-6,5-14,7-15</inkml:trace>
  <inkml:trace contextRef="#ctx0" brushRef="#br0" timeOffset="26715.12">4868 5857,'20'-17,"0"1,2 0,1 2,-1 0,1 1,2 2,-1 0,41-11,-60 20,0 0,0 1,1 0,-1 0,0 1,0-1,2 1,-2 0,0 1,1-1,6 2,-9-1,-1 0,0 0,1 0,-1 1,0-1,0 0,0 0,0 1,0 0,0-1,0 1,0 0,-1 0,1 0,-1 1,0-1,1 0,-1 0,0 1,0-1,-1 1,1-1,0 1,-1-2,2 5,-1 4,1 0,-2 0,1 0,-1 1,-1-1,0 0,-6 20,6-25,-2 1,1 0,-1 0,0 0,0 0,0-2,-1 2,0-1,0 0,0 0,-1 0,0-1,-10 7,-102 56,113-65,125-33,-73 17,47-12,-84 24,1 0,-1 0,1 2,0 0,23 0,-32 0,0 1,0-1,0 1,0-1,0 1,0 0,0 0,0 1,0-1,0 0,-1 1,1 0,-1-1,1 1,-1 0,2 0,-2 1,0-1,0 0,0 1,0-1,-1 1,1-1,-1 1,1-1,-1 1,0 0,0 0,-1 0,1 0,0 0,-1 0,0 0,0 0,0 0,-1 5,0 3,-1-1,0-1,-1 2,0-1,0 0,-1-2,-2 2,1-1,-10 14,-16 16,-2-2,-1-1,-3-2,-70 52,91-75,-1 0,0 0,-1-2,1-1,-36 13,41-17,1-1,-1-1,0 0,0-1,0 0,0-1,0 0,1 0,-2-1,-22-4,-2-6</inkml:trace>
  <inkml:trace contextRef="#ctx0" brushRef="#br0" timeOffset="27803.86">6248 5659,'-90'91,"56"-64,20-15,0-2,1 3,-18 19,31-31,-1-1,0 1,1 0,-1 0,0-1,1 1,-1 0,1 0,-1-1,1 1,-1 0,1 0,0 0,-1 0,1 0,0 0,0 0,0 0,0-1,0 1,0 0,0 0,0 0,0 0,0 0,0 0,1 0,-1 0,0 0,1-1,-1 0,1 1,-1 0,1 0,-1 0,1-1,-1 1,1 0,0-1,-1 1,1 0,0-1,0 1,0-1,-1 1,1-1,0 0,2 1,4 2,1-1,0-1,0 1,15 0,-22-2,161 1,-120-3,2 1,-1 3,-1 1,48 9,-85-11,-2-1,1 1,0 0,-1 0,1 1,-1-1,1 1,-1 0,0 0,1 0,-1 0,0 0,-1 1,1-1,0 1,-1 0,1 0,-1 0,0-1,0 1,0 0,0 1,-1-1,0 1,1-1,0 1,-1-1,-1 1,1-1,-1 0,1 1,-1 0,0 0,-1-1,1 1,-1 0,-2 5,2-7,0 2,-1-1,1 1,-1-1,0 0,0 0,0 0,0 0,-1 0,1 0,-1-1,1 0,-1 0,0 0,-4 3,-9 5,-32 13,30-15,-2 3,-2-1,1-2,-1 0,-1-2,1 1,-1-2,-1-2,-44 3,47-6</inkml:trace>
  <inkml:trace contextRef="#ctx0" brushRef="#br0" timeOffset="28394.37">6213 5389,'3'0,"6"0,4 0,6 0,4 0,4 0,4 4,8 4,6 5,2 4,8 5,-1 0,-6-4,-12-5</inkml:trace>
  <inkml:trace contextRef="#ctx0" brushRef="#br0" timeOffset="29386.35">7361 5580,'0'-1,"-1"0,1 1,0-1,-1 0,1 1,0-1,-1 1,1-1,-1 1,1-1,-1 1,1-1,-1 1,1-1,-1 1,1 0,-1-1,0 1,1 0,-1 0,0-1,1 1,-1 0,0 0,1 0,-1 0,0 0,1 0,-1 0,0 0,1 0,-2 0,1 0,1 0,-1 0,0 1,0-1,-29 8,22-5,0 1,1 0,-1 1,0 0,1 1,0-1,1 1,-1 0,1 0,1 1,-9 12,-1 4,0 0,-13 37,23-49,1 2,0 0,1-1,1 1,0-1,1 1,0 0,1-1,1 2,2 12,-2-15,1 0,1-1,0 1,0-1,1 1,1-2,-1 1,2 0,-1-1,1 0,1 0,10 9,-11-13,-1-1,1 0,0 0,0-1,1 1,-1-1,1-1,-1 1,1-1,1-1,-1 0,0 0,0 0,0 0,12-1,5-1,-1 0,0-1,35-9,-51 10,0 0,1-1,-1 0,0-1,1 0,-1 0,0 0,-1-1,0 2,1-3,-1 1,0-1,-1 0,0 0,1 0,0-1,-2 1,5-8,68-85,-74 92,0-1,0 1,0-1,-1 1,0-1,0 0,0 0,-1 0,0-13,0-9,-5-31,2 34,2 12,-2 1,1-2,-2 2,0-1,-7-18,7 26,1 1,-1 0,0 0,0 1,-1-1,0 1,0-2,0 2,0 0,0 0,-1 1,1-1,-1 2,0-1,0 0,-9-3,3 2,-1 0,1 1,0 1,-1 0,-23-1,5 2</inkml:trace>
  <inkml:trace contextRef="#ctx0" brushRef="#br0" timeOffset="31552.51">9377 4709,'-8'9,"1"1,0 0,0 0,-7 14,-3 6,-96 136,-42 73,147-227,2 2,-1 0,1-1,0 1,2 1,0-2,-4 29,7-34,1 0,0-1,0 1,1 0,0 0,0 0,1-1,0 1,0-1,0 1,1-1,0-1,1 1,1 0,-1 0,7 9,-1-4,0 0,1-2,0 0,1 1,1-2,0-1,-1 1,1-2,1 2,1-4,-1 1,0-1,0 0,1-1,0-1,0 0,0-2,22 1,-10-1,-2-1,2-2,-1 0,27-7,-43 6,-1 0,-1 0,1 0,0-1,-1 0,0-1,2-1,-3 0,1 1,-1-2,0 2,0-2,0-1,8-11,-7 9,-1-1,0-1,-1 2,0-3,-1 1,0 0,-1 0,-1-1,1 1,-2-2,2-16,-6 6</inkml:trace>
  <inkml:trace contextRef="#ctx0" brushRef="#br0" timeOffset="32276.52">9007 4917,'0'-4,"3"-1,6 0,5 1,7 1,7 2,3 1,7-1,5 1,-2 1,4-1,-2 0,-5 0,-5 0,-5 3,-5 7,-9 0</inkml:trace>
  <inkml:trace contextRef="#ctx0" brushRef="#br0" timeOffset="54553.91">10425 5086,'90'1,"101"-3,-124-8,-48 7,0 0,23-1,-26 4,-8 0,0 0,-1 0,1-1,0 0,8-2,-13 2,-1 1,-1-1,1 0,0 0,0 0,0 0,0 0,-1-1,1 1,0 0,-1-1,1 1,-1-1,0 0,1 1,-1-1,0 1,0-1,0 0,-1 0,1 0,0 0,0-2,2-12</inkml:trace>
  <inkml:trace contextRef="#ctx0" brushRef="#br0" timeOffset="55183.54">10498 5313,'4'0,"5"0,8 0,9 0,12 0,3 0,1 0,3 0,-4 0,-5 0,-8 0</inkml:trace>
  <inkml:trace contextRef="#ctx0" brushRef="#br0" timeOffset="57795.5">11888 3892,'28'2,"0"2,1 0,-2 2,45 13,-9-1,9-2,0-2,1-3,0-4,128-2,-184-5</inkml:trace>
  <inkml:trace contextRef="#ctx0" brushRef="#br0" timeOffset="56003.56">11990 4263,'0'3,"0"6,4 10,8 18,7 13,7 4,2 5,10-2,3 9,5-1,0-7,-4-8,-3-7,-7-8,-4-9,-3-11,-6-3,-7-4</inkml:trace>
  <inkml:trace contextRef="#ctx0" brushRef="#br0" timeOffset="56586.84">12454 4459,'0'-4,"-4"-1,-4 0,-6 2,-6 7,-10 14,-9 15,-14 9,-8 13,-10 6,0-3,4-5,12-7,7-9,16-10</inkml:trace>
  <inkml:trace contextRef="#ctx0" brushRef="#br0" timeOffset="58540.5">12875 4669,'3'0,"6"0,5 0,7 0,4 0,6 0,4 0,1 0,-3 0,2 0,1 0,3 0,2 0,-2 0,-4 0,-4 0,-8 0</inkml:trace>
  <inkml:trace contextRef="#ctx0" brushRef="#br0" timeOffset="60808.56">14237 4322,'-1'9,"-1"-1,-1 0,1 0,-1 0,-1 0,1 0,-2-1,1 0,-9 10,12-15,-40 55,-63 67,97-116,-4 3,0 2,0 1,1-2,1 3,-14 25,16-28,0 0,-1 0,-1-1,1 1,-2-1,-17 14,13-10,0-1,-17 24,17-17,2-3</inkml:trace>
  <inkml:trace contextRef="#ctx0" brushRef="#br0" timeOffset="62193.59">14222 4277,'-1'72,"2"80,0-148,-1 1,1-1,0 1,0 0,0-1,0 0,1 0,0 0,0 0,0 0,1 0,-1 1,1-1,0 0,0-1,0-1,0 2,6 3,-6-5,0-1,0 1,1 0,-1-1,1 0,0 0,-1 0,0 0,1-1,-1 1,1-1,-1 0,1 0,-1 0,1 0,-1-1,1 1,-1-1,1 0,-1 0,0 0,1-1,-1 1,0-1,4-2,11-6,-1-2,-1-1,0 0,0 0,22-26,-18 16,0-3,29-51,-36 50,-1 1,-2-2,9-40,-19 68,3 59,15 119,-17-170,0 1,1-2,1 1,0 0,0 0,8 14,-4-12</inkml:trace>
  <inkml:trace contextRef="#ctx0" brushRef="#br0" timeOffset="63214.14">15363 4270,'-19'1,"0"0,0 2,0 0,0 0,-18 8,-89 36,105-39,-157 70,175-78,-1 1,1 1,-1 0,1 0,-1 0,1 0,0 0,0 0,0 1,1 0,-1-1,0 1,0 0,1 0,0 0,0 0,0 0,0 0,1 1,-1-1,1 1,0 0,0-1,1 1,-1 0,1-1,-1 0,1 1,1 0,-1 0,1 4,-1-1,0-2,1 1,-1 0,1 0,1 1,-1-1,1 0,0-1,0 0,1 1,-1 0,1-1,2 0,-2-1,1 1,0 0,0 0,0-1,1 0,0 0,-1 0,1 0,1-2,-1 1,7 4,13 5,0-1,1-2,32 10,-44-15,1-1,-1-1,1-1,-1 0,0-1,2 0,-2 0,16-3,-21 1,-1-1,1 0,-1 0,0 0,0-1,0 0,-1-1,0 0,0 1,0-1,0-1,0 0,-1-1,-1 1,1 0,-1-1,0 0,-1 0,0-1,0 1,-1-1,0 0,0 0,-1 0,0 0,0-1,-1 0,0 1,0-10,-2 0,2 4,-2-1,0 1,-4-21,4 31,0 1,0-1,0 1,0-1,-1 1,1 0,-1 0,0-1,0 1,0 2,-1-2,1 0,-1 0,1 1,-1-1,0 1,0 0,0 0,-5-2,-60-19,49 18</inkml:trace>
  <inkml:trace contextRef="#ctx0" brushRef="#br0" timeOffset="64765.14">11763 5087,'394'-16,"554"-67,-938 82,1099-43,-2 40,-844 5,-231 0,-20 0,-1-1,0 0,1 0,-1-1,0-1,0 1,14-5,-21 2,-10 0</inkml:trace>
  <inkml:trace contextRef="#ctx0" brushRef="#br0" timeOffset="65635.14">13381 5422,'-72'-1,"-79"3,149-2,1 0,-1 0,0 0,0 0,0 1,0-1,0 1,1-1,-1 1,0 0,1 0,-1 0,0-1,1 2,-1-1,1 0,-1 0,1 0,0 0,0 0,-1 1,1-1,0 1,0-1,0 1,1 0,-1-1,0 1,1 0,-1 0,-1 1,2 0,0 0,0 0,0 0,2 0,-2-2,1 2,-1 0,1 0,0-1,0 1,0 0,1-1,-1 1,0-1,1 0,0 1,0-1,-1 0,5 3,6 3,-1 0,1 0,0-1,3-2,21 10,-19-7,0-1,-2 0,16 11,-25-14,0 1,-1 0,1 0,-1 0,0 1,0 0,3 8,25 46,-30-52,3 2,0 2,-2-1,0 0,3 20,-6-28,-1 0,0 1,0-1,0 0,0 1,0-1,-1 1,0-1,-1 6,1-9,1 2,-1 0,0-1,0 1,0-1,-1 1,1-1,0 1,-1-1,1 0,0 0,-2 1,2-1,-1 0,0 0,1-1,-1 1,-3 1,-13 2,-1-1,0-1,-1 0,1-1,0-2,-29-2,42 2,0 1,0 0,0-1,0 0,-1-1,2 1,-2-1,1 0,1 0,0-1,-1 0,1 0,0 0,0 0,1-1,-1 1,-5-7,-2-6</inkml:trace>
  <inkml:trace contextRef="#ctx0" brushRef="#br0" timeOffset="66477.8">13944 5334,'-2'6,"-1"0,0 0,0-1,-1 0,-4 5,-5 8,-123 163,-2 1,136-180,-4 7,-1 0,2 1,0 0,-7 20,11-29,1 0,0 1,-1-1,1 1,0-1,0 1,-1-1,1 0,1 0,-1 1,0-1,0 1,0-1,1 1,-1-1,1 1,-1-1,1 0,0 1,-1-1,1 0,0 1,0-1,0 0,0 0,0 0,0 0,0 0,1 0,-1 0,0 0,0 0,1-1,-1 1,1 0,-1-1,1 0,-1 1,0-1,1 0,0 1,0-1,0 0,2 0,14 0,1 0,-1-1,2-1,-2-1,0-1,0 0,24-9,-20 6,1 2,-1-1,1 2,31-2,-36 6</inkml:trace>
  <inkml:trace contextRef="#ctx0" brushRef="#br0" timeOffset="66987.8">13904 5492,'4'0,"4"0,7 0,2 0,7 0,3 0,4 0,1 0,-1 0,-7 0</inkml:trace>
  <inkml:trace contextRef="#ctx0" brushRef="#br0" timeOffset="67492.81">13983 5283,'3'0,"7"0,3 0,4 0,3 0,2 0,1 0,0 0,0 0,0 0,-1 0,-3 0</inkml:trace>
  <inkml:trace contextRef="#ctx0" brushRef="#br1" timeOffset="76712.35">16019 4614,'0'-4,"4"0,5 0,5 0,4 1,2 2,2 0,1 0,0 1,0 1,1-1,-1 0,-1 0,2 0,-2 0,-4 0</inkml:trace>
  <inkml:trace contextRef="#ctx0" brushRef="#br1" timeOffset="77272.39">16038 4954,'4'0,"8"0,7 0,3 0,3 0,-1 0,1 0,0 0,-2 0,0 0,1 0,-2 0,0 0,1 0,-1 0,-4 0</inkml:trace>
  <inkml:trace contextRef="#ctx0" brushRef="#br1" timeOffset="77962.57">17087 4539,'4'0,"5"0,4 0,1 4,6 1,2-1,1 1,2-2,-1-2,0 0,0 0,-4-1</inkml:trace>
  <inkml:trace contextRef="#ctx0" brushRef="#br1" timeOffset="79003.57">17955 4172,'-10'11,"-1"2,1-1,1 1,1 1,-12 23,-24 76,33-80,-1-2,3-8,0 2,2 0,-1 0,-3 47,11-65,0 0,1 0,1-1,-1 1,1 0,0 0,1-1,0 0,0 0,1 0,-1 1,1-1,0-1,0 0,1 0,0 1,0-1,6 4,11 8,2 1,50 27,-65-41,6 4,-3 0,1 0,1-2,0 0,22 7,-32-12,0 0,0 0,0-1,0 1,-1-1,1 0,0 0,0 0,-1-1,1 1,0-1,-1 0,1 0,-1 0,1-1,-1 1,1-1,-1 0,0 0,0 0,0 1,0-1,5-5,77-88,-22 22,-28 35,4 0,35-53,-66 79,-1 0,0-1,-2 0,1 1,-2-2,1 0,-2 1,2-15,-2 7,-1 2,-1-1,-1 0,-1 0,-4-21,-1 14,0 1,-2 1,-2-1,-13-27,-1 10,-40-56,61 94,0 1,0 0,0 0,0 0,-1 1,0 0,0 0,0 0,0 0,0 0,-1 0,1 1,-1 0,-5-2,2 2,2 1,-1 0,0 0,0 1,0 0,0 0,0 1,0 0,1 0,-10 2,-13 3,1 1</inkml:trace>
  <inkml:trace contextRef="#ctx0" brushRef="#br1" timeOffset="79766.16">18736 4742,'0'3,"0"5,0 5,0 4,0 6,0 2,0 5,-4 1,-1-2,-3-1,-1-4,2-3</inkml:trace>
  <inkml:trace contextRef="#ctx0" brushRef="#br1" timeOffset="80789">19284 4045,'5'-4,"0"0,0 1,0 0,0 0,1 1,0-1,0 1,0 0,0 0,0 1,7-2,13 0,33-2,-43 4,-3 0,7 0,-1 0,0 1,1 1,28 5,-45-6,1 1,-1-1,1 1,0 0,-1 1,0-1,1 0,-1 1,0 0,0 0,0 0,0 0,-1 0,1-1,-1 2,1-1,-1 1,0 0,0 0,0 0,0 0,0 0,-1 0,0 0,1 1,-1-1,0-1,-1 2,1-1,-1 1,1 4,-1-4,-1 1,1 0,-1-1,0 0,0 1,-1 0,1-1,-1 1,0-1,-1 0,1-1,-1 2,1-1,-5 4,-6 6,-1-1,-20 15,-2 5,35-32,1-1,-1 1,0-1,1 0,-2 1,2 0,-1 0,1 0,-1 0,1-1,0 1,-1 0,1 0,0 0,0 0,0 0,0 0,0 0,0 0,0 0,0 0,0 0,0 0,0 0,0-1,1 1,-1 0,0 0,1 0,-1 0,1 0,-1-1,2 1,-2 0,1 0,0 0,4 4,0-2,-1 1,1 0,9 5,-2-1,-2-1,-1-1,1 2,-1 0,0 0,-1 1,0-1,-1 2,0-1,-1 1,0 0,0 0,0 1,-2-1,6 19,-8-21,20 89,-20-82,0 0,0-1,-2 2,-2 20,2-33,-1-1,0 0,0 0,0 0,0 0,0 1,0-1,-1-2,1 2,-1 0,1 0,-1 0,0-1,0 1,1-1,-1 1,0-1,-1 0,1 0,0 0,0 0,0 0,-1-1,1 1,0 0,-6-1,-7 3,-1-1,-32 1,32-3,-18 1,-2-2,1-1,-2-1,3-2,-1-2,1-1,-45-15,40 7</inkml:trace>
  <inkml:trace contextRef="#ctx0" brushRef="#br1" timeOffset="81745.07">20185 4045,'0'-2,"0"1,1 0,-1-1,1 1,-1 0,1-1,-1 1,1 0,0 0,0 0,-1 0,1 0,0 0,0 1,0-1,0 0,1 0,-1 0,1 0,-1 1,0-1,1 0,-1 1,0-1,3 0,37-8,17 3,94 3,-97 3,489 27,-541-27,17 1,-1 2,-1 0,0 2,26 8,-40-11,1 0,0 0,-1 1,1-1,-1 0,0 2,0-1,1 0,-2 1,1 0,-1 0,0 0,0 0,0 0,0 0,-1 0,0 1,0 0,0 0,1 6,0-2,0 2,-1 0,0-1,-1 1,0 0,-1 0,0-1,-1 1,0 0,-1-1,0 1,-1 0,0-2,-1 2,0-1,0 0,-1-1,-1 1,0-1,-1 0,-10 11,-7 5,-2-1,-2-1,-37 24,-99 54,102-66,-23 11,52-31,-53 35,86-49,-1-1,1 0,-1 0,1 0,0 0,-1 0,1 1,0-1,-1 0,1 0,0 1,-1-1,1 0,0 0,0 1,-1-1,1 0,0 1,0-1,0 0,0 1,-1-1,1 0,0 1,0-1,0 1,0-1,0 0,0 1,0-1,0 1,0-1,0 0,0 1,0-1,0 1,0-1,0 0,1 1,-1-1,0 0,0 1,0-1,1 0,-1 1,0-1,0 0,1 0,-1 0,0 0,0 0,1 1,-1-1,0 0,1 0,-1 0,1 0,-1 1,1-1,29 8,-26-8,122 21,204 6,131-26,-404-1,-42 0</inkml:trace>
  <inkml:trace contextRef="#ctx0" brushRef="#br0" timeOffset="93677.08">6022 10880,'364'-26,"-213"12,89-2,284 18,-420 2,370 21,-32 2,86 6,1372 77,39-107,-1090-6,-614 4,453-12,-364-32,-30 3,448 27,-507 15,489-12,-131 0,-75 21,-30 0,-466-12,-1-2,1 0,0-1,-1-1,35-12,43-10,17 9,189-8,120 24,-260 3,-40-1,-20 0</inkml:trace>
  <inkml:trace contextRef="#ctx0" brushRef="#br0" timeOffset="95668.87">11705 6387,'0'207,"4"743,30 1,-5 188,-39-855,-2 115,0-80,1 271,13-365,-17 109,-38 834,54 550,1-1686,1-1,10 41,2 7,-12-54,0-14,-2 0,0-1,0 1,-1 0,0-1,-2 12,2-22,0 1,0-1,0 0,-1 0,1 0,0 0,0 0,0 0,0 0,0 0,0 1,0-1,-1 0,1 0,0 0,0 0,0 0,0 0,0 0,-1 0,1 0,0 0,0 0,0 0,0 0,0 0,-1 0,1 0,0 0,0 0,0 0,0 0,0 0,-1 0,1-1,0 1,0 0,0 0,0 0,0 0,0 0,0 0,-1 0,1 0,0-1,0 1,0 0,0 0,0 0,0 0,0 0,0 0,0-1,0 1,0 0,0 0,0 0,0 0,0 0,0-1,0 1,0 0,0 0,0 0,-6-11,-3-11</inkml:trace>
  <inkml:trace contextRef="#ctx0" brushRef="#br0" timeOffset="97448.53">10852 11134,'-4'1,"1"0,0 0,0 0,1 1,-1-1,0 1,1-2,-1 2,1 0,0 0,0 0,0 0,0 0,-2 3,-4 3,-32 31,-54 70,83-96,1 1,1 1,0-1,0 2,2-1,0 1,2-1,0 2,-4 17,9-32,0 0,0 0,0 0,0 0,0 1,0-1,1 0,-1-1,1 1,-1 0,1 0,0 0,0-1,0 1,0 0,0 0,0 0,2 1,0 0,0 0,0-1,1 1,-1-1,1 0,-1-1,1 1,0 0,4 1,9 2,-1-1,2-1,27 3,-40-6,50 5,0-3,80-6,-132 3,1 0,0 1,-1-1,1-1,-1 1,0 0,1-1,-1 1,0-1,0 0,-1 0,1 0,0-1,-1 1,1-1,-1 1,0 0,0-1,0 0,0 0,3-6,1-5,0 0,0-1,4-22,-6 22,9-56,-12 64,0-1,-1 0,0 1,-1 0,1-1,-2 0,-2-8,4 14,-1 0,0 1,0-1,0 0,-1 1,1-1,0 1,0-1,-1 1,1-1,-1 1,0 0,1 0,-1 0,0 0,1 0,-4-1,-37-9,35 10,0-1,0 0,-1 0,-8-4,-24-23,24 16,5 5</inkml:trace>
  <inkml:trace contextRef="#ctx0" brushRef="#br0" timeOffset="113272.36">8062 10104,'387'28,"-332"-22,394 23,-393-29,2 0,63-6,-103 4,-1-1,1-1,1 0,-2-2,0 0,0 0,27-15,10-11,3 3,98-39,-123 57,1-1,-2-1,-1-2,44-27,-19 8,-30 21,21-19,-17 12,0-1,-1-1,0 0,-3-3,39-43,-23 13,102-140,-95 131,-30 41,0-1,-2 1,24-51,-15 8,15-79,17-45,-41 150,-2-1,15-78,-17 20,-3-140,-10 189,3 1,1-1,15-63,90-306,-72 250,-23 102,31-98,-11 72,52-133,-57 158,51-83,-37 66,-33 63,1 0,1 2,28-39,-35 56,-1-1,1 1,0 0,0 0,0 1,1-1,-1 1,1 0,-1 0,1 1,0-1,1 2,-2-1,1 0,0 0,0 1,8 0,6 0,1 1,0 1,22 3,34 15,-2 1,96 41,-151-55,97 49,-42-32,1-2,149 21,-159-32,-61-10,6 0,-1 0,1 1,-1 0,0 1,1 0,0 1,-2-2,1 3,14 8,19 13,-32-20,0 0,-1 1,10 7,62 61,74 88,-120-117,-2 3,-4 0,30 64,-12-21,203 458,-241-527,77 249,-24-64,91 340,-116-418,5-1,6-3,95 177,-127-276,1-1,2 1,39 40,-10-7,-34-41,1 1,27 24,-27-30,4 3,1 0,25 17,-38-30,1 1,0-1,0-1,0 1,0-1,0-1,0 1,0-1,1-1,15 1,217 17,41 1,1-2,-140-3,182-5,-290-9,53 8,29 2,507-11,-294-1,-293 1</inkml:trace>
  <inkml:trace contextRef="#ctx0" brushRef="#br0" timeOffset="148402.75">10184 9752,'0'-1,"1"-1,-1 0,1 1,-1-1,1 0,-1 1,1-1,0 1,0-1,0 1,1 0,-1 0,0 0,0 0,3-2,22-17,-19 15,114-66,-80 49,61-43,-90 56,0 1,0 0,20-8,-31 16,0 0,0-1,0 1,0 0,0-1,0 1,0 0,0 0,0 0,0 0,0 0,0 0,0 0,0 0,0 0,0 1,0-1,0 0,0 1,0-1,0 0,0 1,0-1,0 1,0 0,-1-1,1 1,0 0,0-1,-1 1,1 0,-1 0,1-1,0 1,-1 0,1 0,-1 0,0 0,1-1,-1 1,0 0,0 0,1 0,-1 1,2 8,0 0,-1 0,1 14,-2-16,1 22,-1 1,-2-1,-1-1,-10 38,-41 112,43-144,-12 30,17-49</inkml:trace>
  <inkml:trace contextRef="#ctx0" brushRef="#br0" timeOffset="148975.81">10740 9807,'3'0,"6"0,4 0,6 0,0 0,3 0,0 0,2 0,-1 0,0 0,0 0,-1 0,0 0,1 0,-1 0,-4-3,-4-5,-5-2</inkml:trace>
  <inkml:trace contextRef="#ctx0" brushRef="#br0" timeOffset="150339.51">12509 9555,'-1'15,"-1"-1,-1-1,0 2,-6 16,1-5,-1 4,0 1,-26 48,26-64,1 0,-2-1,0 1,-2-2,0 0,-22 20,4-8,0 0,-1-3,-2-1,1-1,-57 24,81-41,1-1,-1 0,1 0,-1-1,0 0,0-1,0 1,0-1,0 0,0-1,0 1,0-1,0-1,-8-2,11 2,1 1,-1-1,1 0,-1 0,0-1,1 1,0-1,0 0,1 0,-1 0,1 0,0 0,0 0,0-1,0 0,1 0,0 0,0 0,0 0,0 0,0 0,1 0,0 0,-1-8,0-3,1-2,0 0,1 0,1 0,1 1,1 0,8-28,-10 38,1 0,1 0,-1 1,1-1,0 1,0 1,0-1,1 0,0 0,0 0,0 1,2 0,0 0,-2 1,1-1,1 1,-1-1,0 1,1 1,0-1,0 1,0 0,0 0,0 1,7-2,2 2,0-1,0 2,27 1,-35 0,0 0,-1 0,1 1,-1 0,1 0,-1 0,0 1,1 0,-1 0,8 6,24 17,-13-10,-2 1,-1 1,38 39,-15-7,-17-20,38 52,-58-68</inkml:trace>
  <inkml:trace contextRef="#ctx0" brushRef="#br0" timeOffset="151179.53">9889 9820,'0'4,"0"5,0 3,0 15,0 9,0 13,0 5,0-1,0 4,0-4,0-6,0-3,3-4,2-4,1-8</inkml:trace>
  <inkml:trace contextRef="#ctx0" brushRef="#br0" timeOffset="151568.04">10426 10044,'3'0,"2"4,4 4,-1 4,0 8,-3 14,-1 9,-2 24,-1 8,-1-1,0 0,-1-9,1-16</inkml:trace>
  <inkml:trace contextRef="#ctx0" brushRef="#br0" timeOffset="151998">11105 8770,'0'14,"0"15,-4 27,-1 18,-3 18,-5 7,0-4,-1-5,1-17,4-16,2-21,4-17</inkml:trace>
  <inkml:trace contextRef="#ctx0" brushRef="#br0" timeOffset="152415.13">12447 7624,'0'52,"-21"447,-49-86,37-228,27-146,2-9</inkml:trace>
  <inkml:trace contextRef="#ctx0" brushRef="#br0" timeOffset="152843.15">13336 8477,'0'3,"0"9,0 5,0 4,0 1,0 1,0 0,0 0,0 3,0 3,-5 4,-11 15,-8 5,-6 18,0-2</inkml:trace>
  <inkml:trace contextRef="#ctx0" brushRef="#br0" timeOffset="153354.15">12389 10377,'0'4,"0"3,0 6,0 3,0 10,0 3,0 1,0-2,0 0,0-7</inkml:trace>
  <inkml:trace contextRef="#ctx0" brushRef="#br0" timeOffset="153708.13">13186 9940,'5'4,"0"3,0 6,3 1,-1-1,0 3,-3 1,-1 3,-1-1,-1-1</inkml:trace>
  <inkml:trace contextRef="#ctx0" brushRef="#br0" timeOffset="131049.36">9526 10728,'-3'4,"0"1,0 0,0-1,1 2,0-1,0 0,0 1,0-1,0 6,-2 4,-2 8,1 1,2-1,-2 33,7 73,0-42,-2-64,-1 0,-1 0,-8 39,6-46,1-1</inkml:trace>
  <inkml:trace contextRef="#ctx0" brushRef="#br0" timeOffset="132708.31">7737 11616,'4'0,"5"0,4 0,4 0,4 0,0 0,2 0,1 0,-2 0,-3 0</inkml:trace>
  <inkml:trace contextRef="#ctx0" brushRef="#br0" timeOffset="134758.29">8143 11546,'0'-2,"0"1,0-1,0 0,0 1,0-1,0 0,0 0,1 1,-1-1,1 0,-1 0,2 0,-1 1,0-1,0 0,0 1,0-1,0 1,2-3,-1 4,-1-1,1 1,0-1,0 1,0 0,1 0,-1 0,-1 0,1 0,0 0,0 0,0 0,0 1,-1-1,1 1,0-1,0 1,-1 0,1 0,2 1,0 0,0 0,0 1,0-1,-1 0,1 1,0 0,-1 0,0 0,0-1,0 1,-1 1,1-1,-1 1,0-1,0 1,0 0,-1 0,1 0,-1-1,1 6,0 7,0-1,-2 1,1 1,-4 16,2-1,0-25,1 2,-1-1,-1 1,0-1,0-1,0 1,-1 0,-1 0,-7 13,9-17,-1-1,0 1,-1 0,1-1,0 1,-1-2,1 1,-1 0,0-1,0 1,0-1,0 0,0 0,-1 0,1 0,-2-1,2 1,-1-1,-8 1,-16-1,-42-2,114 12,30-2,-6 1,100 1,-149-11</inkml:trace>
  <inkml:trace contextRef="#ctx0" brushRef="#br0" timeOffset="138095.01">13959 10872,'0'-6,"-1"0,0 0,0 2,-1-2,0 1,-4-11,2 12,1 12,1 13,0 35,-9 130,6-141,0 45,5-73</inkml:trace>
  <inkml:trace contextRef="#ctx0" brushRef="#br0" timeOffset="139492.04">13933 11798,'2'-5,"-1"1,1-1,1 1,-1-1,1 0,-1 1,1 0,1-1,-1 2,7-7,-7 7,1 0,-1 1,0-1,1 1,-1 0,2 0,-1 0,0 0,0 1,0 0,0 0,0 0,0 0,1 1,-1-1,0 1,0 0,1 0,-1 0,0 0,0 1,1 0,0 0,-1 0,0-1,0 2,0-1,0 1,0 0,-1 0,1 0,-1 1,1-1,-1 1,0 0,0 0,0 0,-1 0,1 1,3 4,32 47,-31-47,-1 0,1 1,-2 0,1 0,-1 0,-1 0,0 1,1 0,-2-1,-1 2,3 13,-4-16,-1 1,0 0,0-1,-1 1,0-1,-1 1,1-2,-2 2,1-1,-2 1,0-1,0-1,0 0,0 1,-1 0,-6 5,-6 6,-13 13,29-30,-1 0,1 0,-1 0,1 0,0 0,0 0,0-1,1 2,-1-1,0 0,1 1,0-1,-1 3,1-3,1-1,-1 1,1-1,0 0,-1 1,1-1,0 0,0 1,0-1,-1 0,2 0,-1 1,0-1,0-1,0 1,0 0,1-1,-1 1,1 0,0 0,1 0,37 13,-28-11,1 2,1 1,-1-1,22 17,-20-14,-2-1,23 11,-18-12</inkml:trace>
  <inkml:trace contextRef="#ctx0" brushRef="#br0" timeOffset="141030.37">9453 10057,'0'27,"1"0,2 0,2 1,0-2,2 1,15 38,-11-35,-1 1,-2 0,-1-1,4 33,-1-1,-5-32,1 45,-6-35,0-22</inkml:trace>
  <inkml:trace contextRef="#ctx0" brushRef="#br0" timeOffset="142459.37">13970 9906,'0'579,"-2"-559,0 1,-6 22,4-20,-3 34,7-17,-3 0,-1 0,-18 68,9-48,11-42</inkml:trace>
  <inkml:trace contextRef="#ctx0" brushRef="#br0" timeOffset="159569.4">6761 10236,'0'0,"0"-1,0 1,0 0,0-1,0 1,0-1,0 1,1 0,-1-1,0 1,0 0,0-1,1 1,-1 0,0-1,0 1,1 0,-1-1,0 1,1 0,-1 0,0 0,1-1,0 1,-1 0,0 0,0 0,0 0,0 0,0 0,1 0,-1 0,0 0,0 0,0 0,0 0,0 0,1 0,-1 0,0 0,0 0,0 1,0-1,0 0,0 0,0 0,1 0,-1 0,0 0,0 0,0 1,0-1,0 0,0 0,0 0,0 0,0 0,0 0,0 1,0-1,0 0,0 0,0 0,0 0,0 0,0 1,0-1,0 0,0 0,0 0,0 0,0 0,0 1,0-1,0 0,0 0,0 0,0 0,0 0,0 0,0 0,-1 1,1-1,0 0,0 0,0 0,0 0,0 0,-1 0,-5 12,-2 0,1 0,-1-1,-1 0,0 0,-18 16,7-9,0-2,-42 25,56-37,-1-1,0-1,0 1,0-1,-1-1,1 0,-2 1,2-1,-1-1,-14 0,10 0,-1 1,-23 4,20-2,0 0,-2-1,2-1,-1 0,-30-3,38 1,0 0,1-1,-1 0,1 0,-1 0,0-1,1-1,0 1,1-1,-1 0,1 0,-11-10,14 10,0 0,1-1,0 1,-1-1,1 0,1-1,-1 1,1 0,1 0,-1 0,1-1,0 1,0-1,0 1,1 0,0-1,0 0,1 1,1-7,-1 4,1 0,-1 0,2 0,-1 0,1 1,0-1,2 1,-1-1,0 1,1 1,0-1,8-9,-5 10,0 2,0-2,0 2,2-1,-1 1,-1 0,2 1,-1 0,0 0,1 1,-1 0,2 2,-1-1,-1 0,1 1,0 0,10 2,-17-2,0 0,-1 1,2 0,-1-1,0 1,-1 1,1-1,0 0,-1 1,1-1,-1 1,0 0,4 3,23 30,-5-5,77 71,-58-64,-35-31,0 0,-1 1,0 0,0-1,0 1,-1 1,10 13,-12-11,1-1,0 0,0-1,1 0,14 16,-10-17</inkml:trace>
  <inkml:trace contextRef="#ctx0" brushRef="#br0" timeOffset="161293.37">7494 9803,'-2'15,"-2"0,1-1,-1 1,0-1,-1 0,-1 0,-1-1,-8 14,-8 21,-92 212,98-214,11-35</inkml:trace>
  <inkml:trace contextRef="#ctx0" brushRef="#br0" timeOffset="162170.54">7515 10157,'1'-2,"-1"0,1 0,0-1,0 1,0 0,0 0,0 0,1 0,-1 0,0 1,1-1,-1 0,1 2,2-4,0 0,1 1,-1-1,1 1,10-5,-10 6,1 0,-1 1,1 0,-1 0,1 0,0 0,0 1,-1 0,1 0,0 1,1-1,-2 1,1 0,-1 1,1-1,-1 1,1 0,-1 1,0-1,0 1,5 3,-1 0,2 0,-3 1,1 0,-1 1,0 0,0-1,-1 2,-1 0,12 17,-15-20,0 0,-1 1,0-1,0-1,0 2,-1 0,0-1,-1 1,1-1,-1 1,-1-1,1 1,-1 0,0 0,-1-2,0 2,0-1,0 1,-1-1,0 0,0-1,-6 7,7-9,1-1,-1 0,1 1,0 0,0-1,-1 1,2-1,-1 0,0 1,1 0,-1 0,1 0,0-1,0 1,0 4,1-4,0-1,0 0,0 0,1-1,-1 1,1 0,-1 0,1-1,-1 1,1 0,0-1,1 1,-1-1,0 0,0 1,0-1,1 0,-1 0,3 1,17 5,-1-1,2 0,-1-1,34 4,95 0,-120-8,105 2,-85-3</inkml:trace>
  <inkml:trace contextRef="#ctx0" brushRef="#br0" timeOffset="163224.4">6699 10273,'4'-7,"4"-3,9-6,5-4,4-1,-1-6,0-1,1 2,-6 0,-6 1,-5 3,1 0,-4 5</inkml:trace>
  <inkml:trace contextRef="#ctx0" brushRef="#br0" timeOffset="164757.2">16019 8993,'0'28,"-2"-1,0 2,-2-1,-2-1,-12 38,12-47,-1-2,-1 2,-2-3,1 2,-2-1,0-2,0 1,-2-1,-19 18,9-14,-1 0,-2-2,1 0,-1-3,-2 1,-1-1,1-3,-51 15,51-20,-2 1,1-2,-1-1,0-1,1-1,-2-2,2-1,0-1,-33-7,52 8,1 0,-2-1,2-1,-1 0,1 0,0-1,1 0,-14-8,19 10,0 1,1 0,-1-1,1 1,0-1,0 0,0 0,0 0,1 0,-1 0,1 0,-1 1,1-2,0 1,1 0,-1-1,0 1,1 0,0-1,0 1,0-1,0 1,1 1,-1-2,1 1,0 0,2-6,1 1,0 1,0-1,1 0,0 1,2 0,-2 1,2-1,-1 0,1 1,10-8,4 0,2 0,32-16,-47 27,0-1,-1 1,1 0,0 1,0 0,0 1,1 0,-1 0,1 0,0 1,-1 0,15 2,-7 0,1 2,-1 0,0 2,0-1,20 12,-17-8,0 2,-2 1,2-1,-3 2,0 1,0-1,0 3,-2-2,-1 3,1-2,-2 3,-1 0,0-1,14 37,-6-9,-10-28</inkml:trace>
  <inkml:trace contextRef="#ctx0" brushRef="#br0" timeOffset="165264.2">16769 8940,'0'4,"0"12,0 5,-4 15,-5 4,-8 10,-5 2,-14 11,-5 1,-6 0,0-3,6-5,4-9,10-9,6-11,6-10</inkml:trace>
  <inkml:trace contextRef="#ctx0" brushRef="#br0" timeOffset="166416.2">16760 9417,'1'-5,"-1"1,2-1,-1-1,0 1,2 0,-1 1,1-1,-1 0,1 1,-1 0,2 0,-1-1,0 1,1 0,7-6,-1 2,-1 0,2 1,0 0,0 0,18-7,-23 11,1 1,-1 0,2 0,-2 1,1 0,-1 0,1 0,0 1,0 0,-1 0,1 1,1-1,-2 2,2-1,-2 1,1 0,6 2,-8-1,0-1,0 1,0 0,0 0,-1-1,1 2,-1-1,0 1,1 0,-1 0,-1 1,1-1,-1 1,0-1,0 1,-1-1,0 2,0-1,0 0,1 7,1 5,-2 0,-1 1,0-1,-1 1,-1 0,0-2,-2 2,0-1,-1 0,-12 29,12-38,-1-1,-1 2,1-2,-1-1,1 0,-12 11,9-10,1-1,0 2,-11 14,18-22,0 0,0 0,0 1,0-1,0 0,0 1,0-1,0 0,-1 1,1-1,1 1,-1-1,0 0,0 1,0-1,0 0,0 1,0-1,0 1,0-1,2 0,-2 1,0-1,0 0,1 1,-1-1,0 0,0 0,1 1,-1-1,0 0,1 0,-1 1,0-1,1 0,-1 0,0 0,1 0,-1 0,1 1,-1-1,0 0,1 0,-1 0,1 0,-1 0,0 0,1 0,-1 0,1 0,26 1,-24-1,104-3,-50 0,1 2,58 8,-87-3</inkml:trace>
  <inkml:trace contextRef="#ctx0" brushRef="#br1" timeOffset="189477.45">11283 10712,'0'1195,"0"-1177</inkml:trace>
  <inkml:trace contextRef="#ctx0" brushRef="#br1" timeOffset="192631.6">10012 12132,'4'0,"4"0,5 0,5 0,2 0,2 0,1 0,0 0,0 0,-1 0,2 0,-6 0</inkml:trace>
  <inkml:trace contextRef="#ctx0" brushRef="#br1" timeOffset="193779.47">10506 12046,'-10'11,"1"2,0-1,1 2,0 0,2-1,0 1,-6 18,12-30,-6 17,0-2,2 2,-3 17,6-29,0 0,1 1,0-1,0 0,1 0,0 1,0-1,0 0,1 0,5 11,-4-14,-1 0,1 0,0-1,1 0,-1 0,1 0,-1 0,1 0,5 2,40 19,-42-21,1-1,-1 0,1 0,-1-1,2 0,-1 0,0-1,-1 0,1-1,0 1,-1-1,1-1,0 1,-1-1,1-1,0 1,-1-1,12-6,-13 6,0-1,0 0,0 0,-1-1,1 1,-1-1,0 1,-1-1,0-1,0 1,0-1,0 0,-1 1,0-1,-1-1,1 1,-1-1,0 1,-1 0,2-14,-3 12,0 1,0-1,-1 0,0 0,0 0,-1 1,0 0,0-1,-1 0,0 1,0 1,-1-1,0 0,0 0,-1 0,-8-8,4 7,1 1,-2 0,1 1,0-1,-1 1,0 1,0 0,-1 0,0 1,0 1,-13-4,3 2</inkml:trace>
  <inkml:trace contextRef="#ctx0" brushRef="#br1" timeOffset="194367.67">10806 12149,'0'4,"0"4,0 5,0 3,0 3,0 2,0 1,0-1,0 4,0 2,0-1,0-1,0-1,0-1,0-8,0-8</inkml:trace>
  <inkml:trace contextRef="#ctx0" brushRef="#br1" timeOffset="195483.34">10861 12034,'1'-2,"-1"1,1-1,-1 0,1 0,-1 1,1-1,0 0,0 1,0-1,0 1,0-1,0 1,0 0,1-1,-1 1,0 1,1-1,-1 0,1 0,-1 0,1 0,0 0,-1 0,1 1,0-1,2 0,2-1,1 0,-1 1,1 0,1 0,10 0,-16 0,0 1,0 1,-1-1,1 0,0 0,0 1,-1-1,1 1,0-1,-1 1,1 0,-1-1,1 1,-1 0,1 0,-1 0,1 0,-1 1,0-1,2 3,0-1,-1 1,0 0,0 0,-1 1,1-1,1 6,9 23,-11-31,0 0,1-1,-1 1,0-2,1 2,-1-1,1 0,-1 1,1-1,-1 0,1 0,0 0,0 0,0-1,-1 1,1 0,3 0,26 3,-24-3,0-1,0 1,0 1,11 3,-16-4,0 0,0 0,-1 0,1 0,0 0,0 0,-1 1,1-2,-1 2,1-1,-1 1,0 0,1-1,0 1,-1 0,0 0,0 0,0 0,0 3,1 2,0-1,-1 0,0 1,0 0,0-1,-1 1,0-1,-1 1,1 0,-2 0,1-1,0 0,-1 0,-1 1,1-1,-2 1,1-1,0-1,-1 1,0-1,0 1,0-1,-1 0,1 0,-1-1,-1 1,1-1,-9 6,-3-3</inkml:trace>
  <inkml:trace contextRef="#ctx0" brushRef="#br1" timeOffset="196845.33">11285 12034,'4'-3,"-2"0,1 1,0-1,0 1,0-1,0 1,1 0,-1 0,1 1,-1-1,1 1,0 0,6-2,-7 3,-1 0,1 1,0-1,-1 0,1 1,-1-1,1 1,0 0,0 0,-1-1,1 1,-1 0,0 0,0 1,1-1,-1 1,0 0,-1-1,1 1,3 4,0 1,0 0,-1-1,1 1,-2 1,1-1,-1 1,0-1,-1 1,3 10,0 3,-2 1,1 25,-4-31,0 44,0-55,-1 1,0-1,0 0,-1 0,1 0,-2 0,1 0,-1 0,-2 5,-3 9,8-19,0 1,0 0,0-1,0 1,0-1,0 1,0-1,0 1,0-1,1 1,-1-1,0 1,0-1,1 1,-1-1,0 1,1-1,-1 1,1-1,-1 1,1 0,2 0,0 0,0 0,0 0,1 0,0 0,-1-1,0 0,0 0,0 0,4 0,36 0,-22 0</inkml:trace>
  <inkml:trace contextRef="#ctx0" brushRef="#br1" timeOffset="201185.59">10736 8420,'1'74,"3"0,4 1,3-2,36 115,-40-158,-1 1,-1 0,0 43,0-5,3 45,10 69,-14-145,-2 64,0 9,1-100,0 0,1 1,0-1,0-1,1 1,1-1,0 0,9 11,13 25,-14-16,15 50,4 9,-23-65,11 50,-15-46,17 85,-19-94,5 27,-1 0,1 68,-9-96</inkml:trace>
  <inkml:trace contextRef="#ctx0" brushRef="#br1" timeOffset="202741.93">10946 10284,'-2'17,"-1"-1,0 1,-2-1,0 0,-14 28,15-34,-15 36,1 2,-16 72,32-114,0 1,0 0,-1 0,0 0,0-1,-6 9,1-2</inkml:trace>
  <inkml:trace contextRef="#ctx0" brushRef="#br1" timeOffset="203335.02">10616 9769,'-1'24,"-1"0,-1 0,-1 0,-12 36,-43 89,25-66,20-49,-142 416,148-418,-20 47,23-68,0 0,0-2,-1 2,-1-1,0-1,0 0,-18 17,11-16</inkml:trace>
  <inkml:trace contextRef="#ctx0" brushRef="#br1" timeOffset="203859.99">10135 9784,'-11'23,"-13"33,2 1,-23 46,-64 132,80-180,-2-1,-46 58,22-39,-39 48,78-103</inkml:trace>
  <inkml:trace contextRef="#ctx0" brushRef="#br1" timeOffset="204395.99">9529 10183,'-18'20,"2"-1,1 1,1 2,0-1,-20 44,13-22,-18 36,-34 58,71-133,0-1,-1 1,1-1,-1 0,0 1,0-1,0 0,0-1,-1 1,1-1,-1 1,1-1,-9 3,-3 0</inkml:trace>
  <inkml:trace contextRef="#ctx0" brushRef="#br1" timeOffset="204810.04">8898 10023,'-4'6,"-4"11,-10 7,-8 12,-4 2,-4 6,0-2,-3 0,3-2,6-4,4 0,3-2,1-6,0-6,0-3,-1-3,-1 2,5-5</inkml:trace>
  <inkml:trace contextRef="#ctx0" brushRef="#br1" timeOffset="205296.04">8118 10234,'-5'4,"-8"7,-20 24,-25 35,-29 35,82-98,0 0,-1-1,1 0,-1 0,-1-2,1 1,-1 0,0 0,-9 4,-2 0</inkml:trace>
  <inkml:trace contextRef="#ctx0" brushRef="#br1" timeOffset="205759.58">8030 10183,'-4'0,"-5"4,-4 4,-5 3,-2 6,-2-2,-1 0,-3 2,-6 0,-1-1,-2-1,1-3,2 1,-12 0,-5 3,4-3</inkml:trace>
  <inkml:trace contextRef="#ctx0" brushRef="#br1" timeOffset="213394.65">9143 7375,'-3'1,"0"0,1 0,-1 0,0 0,1 1,-1-1,1 1,-1-1,1 0,0 1,0 0,0 0,-2 3,-3 1,-35 32,2 2,-35 47,-61 97,3-4,123-168,2-7</inkml:trace>
  <inkml:trace contextRef="#ctx0" brushRef="#br1" timeOffset="214460.81">9114 7217,'35'0,"-10"-1,-1 1,43 6,-60-5,0 1,0 0,-1 0,1 0,-1 1,1-1,0 2,-1-2,0 2,-1 0,1 0,-1 0,0 1,6 6,-8-7,-1-1,1 1,-1 1,0-1,0 1,0 0,-1-1,0 1,0-1,0 1,0 0,-1 5,1 5,-2 2,-2 19,2-32,1-1,-1 1,0 0,-1-1,1 1,0-1,-1 1,0-1,0 1,0-1,0 1,-1-1,1 0,-1 0,-3 2,-2 1,-1 0,0-1,-1 1,-12 4,10-4,0 1,1 1,0 0,-20 18,18-15,0-1,-17 13,25-20,-1 0,0 0,0-1,0 0,0 1,0-2,0 1,-1-1,-9 2,-3-2,0-1</inkml:trace>
  <inkml:trace contextRef="#ctx0" brushRef="#br1" timeOffset="-214249.92">9503 7732,'-8'1,"1"-1,0 1,0 1,0-1,-1 1,1 1,1-1,-9 4,-54 32,53-27,-330 212,75-45,219-151,32-19</inkml:trace>
  <inkml:trace contextRef="#ctx0" brushRef="#br1" timeOffset="-212805.58">9084 8234,'32'-13,"-5"9,1 0,-1 2,0 0,46 4,-17-1,-25-1,-17-1,-2 1,2 0,-2 0,1 2,0-1,22 6,-32-5,-1-1,1 1,-1-1,0 1,0 0,0 0,0 0,0 0,0 0,0 0,-1 0,1 1,-1-1,0 0,1 1,-1-2,0 2,-1 0,1-1,0 1,-1 0,2 0,-2-1,0 1,0 0,-2 4,2 3,-1 1,-1-1,0 0,0 1,-6 14,-1-4,-1-1,-1 0,-1-1,-1 0,-1-1,-1 0,-1-1,0 0,-23 17,-28 29,67-63,-1 0,1 1,0-1,-1 0,1 1,0-1,-1 1,1-1,0 1,0-1,0 1,-1-1,1 1,0-1,0 1,0-1,0 1,0-1,0 1,0-1,0 1,0-1,0 1,0-1,0 1,0-1,1 1,-1-1,0 1,0-1,0 0,1 1,-1-1,0 1,1-1,-1 0,0 1,1-1,-1 1,1-1,-1 0,0 0,1 1,-1-1,1 0,-1 0,1 1,-1-1,1 0,-1 0,1 0,-1 0,1 0,-1 0,1 0,34 5,-34-5,226 1,-109-3,-100 2</inkml:trace>
  <inkml:trace contextRef="#ctx0" brushRef="#br1" timeOffset="-86135.51">14856 6801,'4'0,"9"0,9 0,5 0,6 0,0 0,-1 0,-3 0,-2 0,-1 0,-3 0,-1 0,-3 0</inkml:trace>
  <inkml:trace contextRef="#ctx0" brushRef="#br1" timeOffset="-85198">16518 6254,'-18'-7,"0"1,-1 0,0 2,-22-2,13 1,17 3,-1 0,0 0,-1 1,-23 1,30 1,1 0,0 0,-1 1,1-1,0 1,-1 1,1-1,0 0,0 1,1-1,-1 1,1 1,-5 4,-19 21,0 1,-39 56,21-23,31-46,2 0,2 2,0-1,-14 32,21-39,1-2,0 1,0 0,2 0,-1-1,2 1,-1 0,1-1,1 1,0 1,0-1,5 10,1 5,2 1,1-2,0-1,2 1,27 37,-34-55,0 0,0 0,1-2,0 1,0 0,1 0,-1 0,1-1,1 0,-1-1,0-1,1 1,-1 0,1-1,0 0,9 1,16 1,-2-1,56-2,-60-1,-13 0,1-1,-1 0,1-1,21-5,-28 5,-1-1,1-1,1 2,-2-2,0 0,1-1,-2 0,1 0,6-7,7-7,1-2,-3-1,-1 0,19-31,-8 5,26-59,-50 97,0 0,-1 0,0 0,-1-1,0 0,-1 2,0-2,0 1,-2-1,1 1,-3-13,0 8,-2-2,0 2,0-1,-2 0,0 2,-12-19,-135-183,125 181</inkml:trace>
  <inkml:trace contextRef="#ctx0" brushRef="#br1" timeOffset="-84755">16988 6837,'0'4,"0"7,0 15,0 8,0 3,0 2,-5 1,0-2,1-4,0-7</inkml:trace>
  <inkml:trace contextRef="#ctx0" brushRef="#br1" timeOffset="-83830.49">17452 6087,'1'0,"-1"-1,0 1,0 0,0-1,1 1,-1-1,0 0,0 1,1-1,-1 1,1-1,-1 1,0-1,1 1,-1-1,1 1,-1 0,1-1,0 1,-1 0,1-1,-1 1,1 0,0 0,-1-1,1 1,1 0,21-4,-19 4,39-5,0 3,-1 1,1 2,-1 2,70 13,-99-13,0 1,-1 0,2 2,-2-1,0 2,-1-1,1 1,-2 0,2 2,14 14,-19-16,0 0,-1 0,0 1,0-1,-1 1,0 1,1-1,-2 0,0 1,-1 0,0 1,0-2,-1 2,0-1,0 11,-2-16,0 1,-1-1,1 1,-1-1,0 0,0 0,-1 0,1 0,-1 0,0 0,0 0,0 0,-5 6,-3 0,0 0,0 0,-12 7,14-11,1 1,-1 0,0 0,2-1,-1 2,1 0,-6 9,11-15,0 0,1 0,-1 0,1-1,-1 1,1 0,0 0,0 0,0 0,0 0,0 0,1-1,-1 1,0 0,1 0,-1 0,1-1,0 0,0 1,-1-1,1 1,0 0,1-1,-1 1,1 1,5 4,0 0,1 0,13 8,-9-7,11 9,42 21,-3-2,-59-35,-1 0,0 1,1-1,-1 1,0 0,0 0,0-1,-1 1,1 1,0-1,-1 0,1 0,-1 1,0-1,0 0,0 1,0-2,0 2,0 0,-1-1,1 1,-1 0,0-1,0 1,0 0,0-1,0 1,-1 0,1-1,-1 1,0-2,1 2,-1 0,0-1,-1 0,1 1,0-1,-1 0,1 1,-3 1,-7 8,0 1,-1-1,0-1,-28 20,39-30,-16 10,0 1,-1-1,0-1,-1-1,-29 11,39-17,-1-1,0 1,0-1,-1 0,1-1,-1 0,1-1,0 0,0-1,0 0,-1 0,0-1,-8-3,-18-8</inkml:trace>
  <inkml:trace contextRef="#ctx0" brushRef="#br1" timeOffset="-82925.53">18573 6126,'0'0,"0"-1,0 0,0 1,1-1,-1 1,0-1,0 1,1 0,-1-1,0 1,1-1,-1 1,1-1,-1 1,1-1,-1 1,1 0,-1-1,1 1,-1-1,1 1,0 0,-1 0,1-1,-1 1,1 0,0 0,-1 0,1 0,0 0,-1 0,2 0,27 0,-28 0,113 14,168 43,-121-22,-136-30,273 59,-13 19,-270-78,0 1,-1 0,2 2,19 13,-31-18,0 0,0 0,-1 0,1 1,-1 0,0-1,1 1,-2-1,1 2,-1-1,0 0,0 1,0-1,-1 1,1 0,-1-2,0 2,0 8,-1 0,0-2,-1 1,0 1,-1-2,0 1,-1 1,-1-2,0 1,-11 19,6-14,-1-1,-1 0,-1-1,0 0,-24 21,-10 2,-2-2,-1-1,-55 27,94-55,-296 148,300-152,-54 28,56-28,0 0,0 0,1-1,-1 1,1 1,-1-1,1 1,0 0,0 0,-4 8,7-11,-1 0,1 1,0-1,-1 1,1-1,0 1,0-1,0 1,0 0,0-1,0 1,0-1,1 1,-1-1,0 1,1-1,0 1,-1-1,1 1,0-1,0 1,-1-1,1 0,0 0,0 1,1-2,-1 1,0 0,0 0,1 0,-1 0,0-1,1 1,-1 0,4 1,5 2,2 1,0-1,20 4,-22-6,47 9,-1-1,80 4,89 5,-46-3,-132-13</inkml:trace>
  <inkml:trace contextRef="#ctx0" brushRef="#br1" timeOffset="-81749.36">21231 6215,'-1'-1,"1"1,0-1,-1 1,1-1,0 1,-1-1,1 1,-1-1,1 1,-1-1,1 1,-1 0,1-1,-1 1,1 0,-1-1,1 1,-2 0,1 0,1-1,-1 1,1 0,-1 0,0 0,1 0,-1 0,0 0,1 0,-2 0,-21 0,23 0,-35 4,-1 1,2 2,-1 1,-48 17,-130 61,199-80,-52 20,-36 17,88-37,1 2,1-1,0 2,0-2,-14 15,16-12,1 2,0 0,1-1,0 1,1 1,-10 22,-22 83,32-90,1 1,2-1,-2 48,6-58,0-2,2 2,0-1,0 1,2-2,1 1,7 20,-6-26,0 1,1-1,1 0,-1-1,3 0,-2 0,20 16,-10-10,3-3,-2 1,33 15,-42-24,0-1,1 0,0 0,0-2,0 1,2-1,19 1,6-2,40-4,-22 0,-53 3,2 0,-2 0,1 0,-1 0,1-1,-1 1,1-1,-1 1,0-1,1 0,-1 0,0 0,0-1,6-3,0-4</inkml:trace>
  <inkml:trace contextRef="#ctx0" brushRef="#br1" timeOffset="-80521.11">20434 6667,'490'0,"-443"-3,-28-1</inkml:trace>
  <inkml:trace contextRef="#ctx0" brushRef="#br1" timeOffset="-78814.95">22407 6184,'0'16,"-1"0,0-1,-1 2,-1-1,-1-1,0 1,-2-2,1 2,-2-2,0 1,-12 18,-4 4,-4-2,1 0,-4-2,-39 39,23-31,-234 219,274-254,1-1,-1 1,1 0,1 0,-1 1,1 0,1 0,-2-1,2 1,-3 12,6-18,0 0,0 1,0-1,0 0,0 0,1 0,-1 0,0 0,1 0,-1 0,1 1,0-1,-1 0,1 0,0 0,-1 0,1 0,0 0,0 0,0-1,0 1,1 0,1 1,29 12,-30-14,26 7,1 0,-1-1,55 3,91-5,-140-4,12 0,-9 0</inkml:trace>
  <inkml:trace contextRef="#ctx0" brushRef="#br1" timeOffset="-77906.13">22629 6540,'0'3,"0"6,4 0,5-1,5-2,3-1,4-2,1-2,0 0,2-1,-1-1,-4 1</inkml:trace>
  <inkml:trace contextRef="#ctx0" brushRef="#br1" timeOffset="-77038.13">23117 6332,'0'-1,"0"0,1 1,-1-1,1 0,-1 0,1 0,-1 1,1-1,1 0,-2 0,1 1,0-1,0 1,-1-1,1 0,0 1,0 0,0-1,0 1,0-1,0 1,0 0,-1 0,1-1,0 1,2 0,32-4,-30 4,39-3,68 4,-108-1,0 0,0 1,-1 0,0-1,1 1,-1 1,0-1,1 0,-1 1,0 0,0-1,0 1,0 1,-1-1,4 4,-2-3,0 2,-1-1,0 1,0 0,0 0,-1 0,1 0,2 9,-1 4,-1-1,0 1,-2-1,0 35,-2-42,0 1,-1 0,0 0,0-1,-1 0,-1 2,-1-3,1 2,-12 17,7-14,-1-1,-1-1,0 1,-1-1,-26 19,-5-2,-1-3,-2 0,-60 22,105-47,-10 4,5-4,2 1,-1 0,0 1,0-1,1 1,-1 0,1 0,0-1,0 1,0 1,1 0,-7 7,10-10,0 0,0 0,0-1,0 1,0 0,0 0,0-1,0 1,0 0,0 0,1-1,-1 1,0 0,1-1,-1 1,0-1,1 0,-1 1,1 0,-1-1,1 1,-1-1,1 1,-1-1,1 1,0-1,-1 1,1-1,0 0,-1 1,1-1,0 0,-1 0,1 1,1-1,34 10,-33-9,86 13,0-4,152-1,-207-9</inkml:trace>
  <inkml:trace contextRef="#ctx0" brushRef="#br1" timeOffset="-72663.16">26408 6772,'0'3,"0"9,0 6,0 10,-4 8,0 4,-9 4,0-5,0-2,0-5,2-5,-2-4,2 0,4-3,1-4</inkml:trace>
  <inkml:trace contextRef="#ctx0" brushRef="#br1" timeOffset="-71141.61">26763 6293,'13'0,"-7"0,0-1,1 1,-1 0,0 1,0-1,0 1,0 0,0 1,0-1,0 1,1 0,-2 0,1 1,-1-1,9 7,1 3,-1-1,1 2,-3 1,20 23,-27-30,0 1,0 1,-1-1,0 1,0-1,-1 2,0-1,-1 1,0-2,0 17,-1-18,1 20,-1-1,-1 0,-1 1,-7 34,7-56,-1-1,0 0,0 1,-1-1,1 1,-1-1,0 0,0 0,0 0,0 0,-1-2,-4 6,-5 2,-1 0,-21 10,-11 9,45-29,1 0,-1 1,0-1,1 1,-1-1,1 1,-1-1,1 1,0-1,-1 1,1-1,-1 1,1 0,0-1,0 1,-2-1,2 1,0 0,0-1,0 1,0 0,0-1,-1 1,1 0,1 0,-1-1,0 1,0 0,0 0,2 0,-1 1,0-1,0 1,0-1,0 0,0 0,0 0,0 0,1 0,-1 0,3 1,6 4,0-1,21 7,-26-11,15 6,-1-1,1-1,1-1,0 0,-1-1,0-1,1-1,-1-1,23-2,-17-5,-3-3</inkml:trace>
  <inkml:trace contextRef="#ctx0" brushRef="#br1" timeOffset="-70137.14">27593 6084,'3'1,"0"0,-1 0,1 0,-1 0,1 1,-1 0,1 0,-1 0,0 0,4 4,2 2,140 98,-124-92,0 0,1-1,1-3,43 16,-21-15,1-1,0-2,65 2,152-8,-239-3,-21 1,-1 0,1 0,-1 0,2 1,-2 0,0 0,1-1,-1 2,0 0,7 3,-10-4,0 0,-1 1,1-1,0 1,-1-1,1 1,-1 0,0-1,1 1,-1 0,0 0,0 0,0 0,-1 0,1 0,0-1,-1 2,1-1,-1 0,0 0,0 0,0 0,0 1,0-1,0 0,0 0,-2 4,0 3,-1 0,-1 1,1-1,-1-1,-1 1,0 0,0 0,-1-2,0 1,-1 0,1-1,-2 1,-10 6,-7 7,-1-3,-55 30,-84 42,133-72,15-10,2 0,-17 14,-43 29,62-40</inkml:trace>
  <inkml:trace contextRef="#ctx0" brushRef="#br2" timeOffset="-42921.54">19052 9771,'1'-1,"0"-1,0 1,0 0,0 0,0 0,0 0,0 0,1 0,-1 0,0 0,0 0,1 1,-1-1,1 0,-1 1,1-1,-1 1,3-1,-3 1,54-16,1 3,95-13,117 11,-255 14,0 2,-1-1,0 1,1 1,-1 0,1 1,21 7,-28-7,0 0,0 0,0 1,1 0,-2 0,0 0,0 1,0-1,0 1,-1 0,0 0,0 1,0 0,-1 0,5 9,-4-4,0 0,-1-1,0 1,-1 0,-1 0,1 21,0-26,-2-1,0 0,-2 1,1-1,1 0,-2 0,1 0,-1 0,1 0,-2 0,1 0,0 0,-1-1,0 0,0 1,-7 7,-4-2,-1-1,-1 0,0-1,0 0,0-2,-21 7,15-6,2 1,-41 22,60-30,0 0,1 0,-1 1,1-1,-1 0,1 1,-1-1,1 1,-1-1,1 1,-1-1,1 1,-1-1,1 1,0-1,-1 1,1-1,0 1,0 0,-1-1,1 1,0-1,0 1,0 0,0-1,0 1,0 0,0-1,0 0,0 1,0-1,0 1,0 0,0-1,0 1,1-1,-1 1,0 0,1-1,-1 1,0-1,1 1,-1-1,1 1,-1-1,0 1,1-1,-1 1,1-1,0 1,34 18,-34-18,98 35,-71-26</inkml:trace>
  <inkml:trace contextRef="#ctx0" brushRef="#br2" timeOffset="-45362.44">19572 8184,'0'631,"0"-612</inkml:trace>
  <inkml:trace contextRef="#ctx0" brushRef="#br2" timeOffset="-44546.18">19609 8201,'37'-1,"-2"2,2 2,-1 1,62 14,-55-6,-6-3,68 27,-102-35,0 1,0-1,0 1,0-1,1 0,-2 1,1 0,-1 1,0-1,0 0,1 1,-2-1,1 1,0 0,0 0,-1-1,1 1,-1 0,1 3,-1-2,-1 1,1-1,-1 1,0-1,0 1,-1-1,0 0,1 0,-1 1,-1-1,1 1,-3 4,-1 0,0 1,-1 0,-1 0,0-2,0 1,0 0,-1-1,0 0,-1-1,-9 8,-2-5,1-2,0 1,-1-2,-1 0,0-1,0-2,-1 0,-22 2,26-4</inkml:trace>
  <inkml:trace contextRef="#ctx0" brushRef="#br2" timeOffset="-43857.5">18963 9106,'513'17,"-358"-1,379 33,-495-46</inkml:trace>
  <inkml:trace contextRef="#ctx0" brushRef="#br2" timeOffset="-41740.54">20824 8906,'0'0,"0"0,0 0,0 0,1-1,-1 1,0 0,0 0,0 0,0-1,0 1,1 0,-1 0,0 0,0 0,0 0,1 0,-1 0,0 0,0 0,0 0,1 0,-1 0,0 0,0 0,1 0,-1 0,0 0,0 0,1 0,-1 0,0 0,0 0,1 0,-1 0,0 0,0 0,0 0,1 0,-1 0,0 0,0 0,1 0,-1 0,0 0,0 0,1 1,16 7,-10-5,118 54,3-6,3-5,268 58,-357-96,-21-4,-1 0,2 0,-2 2,28 11,-47-16,0-1,0 0,-1 1,1-1,0 1,0-1,0 1,-1-1,1 1,0-1,-1 1,1 0,0-1,-1 1,1 0,-1 0,1-1,-1 1,0-1,1 2,-1-1,0-1,0 1,0 0,0-1,-1 1,1-1,0 1,0 0,-1-1,1 1,0-1,-1 1,1-1,-1 1,1-1,-1 0,1 1,-1-1,1 1,-1-1,0 1,-6 2,0 0,0 0,-13 3,19-6,-158 40,-1-7,-244 18,326-46,-36 4,81-4</inkml:trace>
  <inkml:trace contextRef="#ctx0" brushRef="#br2" timeOffset="-39001.29">26202 9861,'-1'0,"0"0,0-1,0 1,0-1,0 1,0-1,0 0,0 1,1-1,-1 0,0 1,-1-1,2 0,-1 0,0 0,1 1,-1-1,1 0,-1 0,1 0,0 0,-1 0,1 0,0 0,0 1,0-1,-1 0,1-2,0-1,-1 1,1 0,0 0,0-1,0 1,1 0,-1-1,2-2,0 3,0-1,1 1,-1 0,0 0,1 0,0 0,-1 1,1-1,0 1,0 0,0-1,1 2,-1 0,1-1,5-2,8-2,0 1,19-4,-33 9,61-11,0 2,75-1,135 9,-219 2,-42-1,-4 0,0 0,-1 0,0 1,0 0,9 2,-16-2,1-1,0 1,-1 0,1-1,0 1,-1 0,1 0,-1 0,2 0,-2 1,1-1,-1 0,0 1,0-1,0 0,0 0,0 0,0 1,0 0,0-1,-1 1,1 0,0-1,-1 1,0 0,1 0,-1 3,0 4,0 0,-1 1,0-1,-1 1,0-2,0 2,-1-1,0 0,-2-1,1 1,0-1,-1 1,0-2,-1 1,0 0,0-1,0 0,-12 9,-12 8,-1 0,-1-3,-43 24,74-45,-179 87,73-39,101-45,0 0,1 1,-1-1,1 1,0 0,0 0,-5 6,9-9,0 0,0 0,0 1,0-1,1 0,-1 0,0 1,1-1,-1 1,1-1,-1 0,1 1,0-1,0 1,0-1,0 1,0-1,0 0,0 1,0-1,0 0,1 0,-1 1,0-1,1 0,0 1,-1-1,1 0,0 0,-1 1,1-1,0 0,0 0,0 0,0 0,0 0,1 0,1 1,7 6,1-1,0-1,1 0,1 0,21 7,71 16,-93-26,302 57,-277-55</inkml:trace>
  <inkml:trace contextRef="#ctx0" brushRef="#br2" timeOffset="-40496.29">27126 8097,'-1'5,"0"0,0-2,-1 2,0 0,0 0,0-1,-3 5,-1 2,-22 39,-2-2,-3-2,-1 0,-2-1,-3-3,-1-1,-2-2,-1-2,-3-1,-84 51,95-65,-22 13,-2-1,-69 27,118-57,0-1,0 0,0 0,-1-2,0 0,0 0,-20 0,24-1,0-1,0 0,0 0,-1 0,2 0,-1-1,1-1,-1 1,1-1,0 0,0-1,0 0,-7-5,-11-10,1-3,2 0,0 0,1-3,2 1,1-1,-16-31,30 50,0 1,1-1,0 0,0-1,0 1,1 0,-1-9,2 13,0 0,1-1,-1 1,0 0,1 0,-1-1,1 1,0 0,0 0,-1 1,2-1,-1 0,0 0,0 0,1 0,-1 0,1 0,-1 1,1-1,0 1,0-1,-1 1,1 0,3-2,23-9,-1 0,1 1,48-11,94-11,-107 23,0 2,0 3,114 5,-170 0,-1 2,0-1,0 1,0-1,0 2,0-1,1 1,8 5,41 32,-41-29,27 19,-37-29,4 4,2 0,-3 0,1 1,-1 0,1 1,-2-2,1 3,-1-1,13 16,53 77,11 11,-66-70,-14-29,2 5</inkml:trace>
  <inkml:trace contextRef="#ctx0" brushRef="#br2" timeOffset="-39893.29">25724 9002,'10'0,"0"1,1 0,0 1,-1 0,0 1,13 4,58 29,-18-6,21 1,175 41,99-13,-199-41,0-8,164-7,-308-4,-13 0</inkml:trace>
  <inkml:trace contextRef="#ctx0" brushRef="#br2" timeOffset="-32785.53">19872 12607,'7'-1,"1"0,0 0,0-1,11-3,23-4,7 7,1 2,-2 1,2 1,-1 4,-1 1,0 2,0 3,-2 0,1 3,63 30,-74-31,-25-10,-1 0,0 0,0 1,0 0,0-1,-1 2,-1 0,12 11,-19-16,1 1,-1-1,1 1,-1 1,0-1,0 0,0 0,0 0,0 1,-1-1,1 0,-1 1,0-1,1 1,-1-1,0 1,-1 1,0 1,0-1,0 0,-1 1,0-1,0 0,0 0,0 0,-5 5,-2 3,-1-2,0 0,-1 0,-23 15,8-9,-2-1,1-3,-1 1,-1-2,-49 12,70-20,1-1,0 1,0 0,1 1,-1-2,0 2,-8 7,14-10,0 0,-1 0,1 0,0 0,0 0,1 0,-1 1,0-1,0 0,1 0,-1 1,0-1,1 0,-1 1,1-1,0 0,0 0,-1 0,1 1,0-1,0 1,0-1,0 0,1 1,-1-1,0 1,1-1,-1 0,1 1,-1-1,1 0,0 1,-1-1,1 0,0 0,0 0,0 0,0 0,0 0,0 0,0 0,1 0,-1 0,0 0,2 0,4 3,2 1,-1-1,0 0,0 0,1-1,-1 0,13 3,72 8,-38-6,43 10,-36-4,86 6,-120-18</inkml:trace>
  <inkml:trace contextRef="#ctx0" brushRef="#br2" timeOffset="-34669.07">21011 11081,'-1'20,"0"0,-1 0,-3-2,1 2,-1-1,-1-1,-9 22,-3-6,-1 0,-40 54,33-54,-80 99,93-120,0 0,-1-2,0 1,0-1,-1 0,0-1,-26 11,29-17,-1 0,1 0,-2-1,1 0,0-1,0-1,-27 0,6-2,-63-9,84 8,0-1,0 1,0-2,1 0,-1-1,0-1,-11-6,19 9,0 1,0-2,1 0,-1 0,1 0,-1 0,1 0,0-1,0 1,1 0,0-1,0 0,0 0,1-1,0 1,0 0,-2-9,2 2,1 0,0 2,1-2,1 0,0 2,0-2,1 1,7-22,-6 27,-1 0,1 0,0 0,0 1,0-1,1 0,0 1,1 1,0-1,0 0,0 0,0 0,0 1,1 0,-1 0,1 2,8-5,-1 3,1 1,-1 1,0 0,1 1,-1 0,1 1,-1 0,23 4,17-1,-46-3,-1 1,1 0,0 0,-1 1,2 0,-2 0,0 0,0 0,0 1,0 0,0 0,8 7,7 6,-2 0,17 19,1-1,84 65,14 15,-119-102,-2 0,1-2,1 0,0-1,1 0,0-1,19 6,-15-4,26 15,11 6,-38-22</inkml:trace>
  <inkml:trace contextRef="#ctx0" brushRef="#br2" timeOffset="-33864.86">19857 12080,'70'3,"127"22,-18-2,438-11,-385-14,-35 2,-178 0</inkml:trace>
  <inkml:trace contextRef="#ctx0" brushRef="#br2" timeOffset="-31340.21">22889 11621,'-5'1,"1"-1,0 1,-1 1,1-1,0 0,0 1,0 0,0 0,0 0,-4 3,-9 4,-680 320,662-313,-45 20,71-31,0 1,0-1,0 0,1 2,-14 12,21-17,0-1,0 0,0 0,0 0,0 1,0-1,0 1,0 0,1-1,-1 1,1 0,-1-1,1 1,0 0,-1 0,1-1,0 1,0 0,0 0,1 2,0-2,0 1,0-2,0 2,1-1,-1 0,1 0,-1 1,1-1,0 0,0 0,0-1,4 3,2 2,0-1,0-1,1 0,0 0,0 0,18 4,15 1,1-4,78 4,-68-6,542 8,-565-11</inkml:trace>
  <inkml:trace contextRef="#ctx0" brushRef="#br2" timeOffset="-27359.06">26933 12571,'0'-5,"-1"-8,1 1,1-1,0 0,5-19,-4 28,-1 1,1-2,0 1,0 0,1 0,-1 1,1-1,0 0,0 1,0 0,0 0,0 0,1 0,0 0,-1 1,1-1,6-1,13-7,1 3,1-1,-1 1,0 2,2 0,-1 3,0 0,1 0,49 3,-65 1,1 1,-1 1,1-2,-1 3,0-1,1 2,-2-1,1 1,15 10,14 7,-14-12,-22-9,0-1,0 1,-1 0,1-1,0 1,-1 0,1 1,-1-1,1 1,-1-1,1 1,-1 0,0 0,0 0,0 0,0 0,0 0,-1 0,1 1,-1-1,2 5,-1-2,-1 0,0 1,0-1,-1 1,1-1,-1 0,-1 1,1-1,-1 1,0-1,-2 8,-1-4,1 0,-1 1,-1-1,-1-1,-9 15,-6 1,0 0,-50 40,14-19,-96 59,151-103,-24 18,22-10,5-9,-1 0,1 1,-1-1,1 1,-1-1,1 0,0 1,-1-1,2 0,-1 1,-1-1,1 0,0 0,-1 0,1 0,0 0,-1 0,1 0,1 0,143 0,222 17,-341-17</inkml:trace>
  <inkml:trace contextRef="#ctx0" brushRef="#br2" timeOffset="-30556.21">26977 10938,'0'4,"-7"16,-14 14,-7 8,-4 13,-1 6,-6 1,3-3,2-6,4-6,6-6,4-5,6-6,5-10,3-11</inkml:trace>
  <inkml:trace contextRef="#ctx0" brushRef="#br2" timeOffset="-29870.22">26867 10755,'4'-1,"0"1,0-1,1 0,-1 0,0-1,6-1,13-4,41-5,3 3,-1 2,1 5,95 4,-149-1,-2 0,0 0,0 1,0 1,16 5,-23-7,-1 0,0 0,0 1,0 0,0 0,0 0,0 0,0 0,0 0,-1 0,1 0,-1 1,0-1,0 1,0 0,0 0,0 0,-1 0,0 0,1 1,0 3,0 5,0 0,-1 0,-1 0,0 0,-1 0,0 0,-1 0,0 0,-1 0,0 0,-1 0,-1-2,0 2,0-1,-9 13,8-15,0-2,-1 1,0 0,0 0,0-1,-1-1,0 1,0 0,0-1,-1-1,-1 0,1-1,-1 1,0-1,1-1,-1 1,0-2,-21 4,-24 2,-28 0,66-7</inkml:trace>
  <inkml:trace contextRef="#ctx0" brushRef="#br2" timeOffset="-28467.94">26199 11798,'1182'0,"-1160"-2,1 0,0-1,38-10,-36 6,0 2,36-4,79 8,-114 1</inkml:trace>
  <inkml:trace contextRef="#ctx0" brushRef="#br2" timeOffset="-22665.93">31958 9097,'-2'30,"-1"1,-12 48,-3 27,13 22,17 192,-4-204,-5 3,-3-97</inkml:trace>
  <inkml:trace contextRef="#ctx0" brushRef="#br2" timeOffset="-22133.93">32224 9249,'-5'93,"-30"159,23-185,12-62,-25 117,21-107,-1-1,0 1,-1-2,0 1,-1 0,-11 13,10-18</inkml:trace>
  <inkml:trace contextRef="#ctx0" brushRef="#br2" timeOffset="-21733.82">31951 9662,'7'0,"7"0,7 0,3 0,5 0,0 0,1 0,2 2,0 3,-6-1</inkml:trace>
  <inkml:trace contextRef="#ctx0" brushRef="#br2" timeOffset="-20797.81">33103 9771,'-64'-2,"34"1,-1 0,2 2,-1 2,-32 4,58-6,0-1,1 1,0 0,-1 0,0 0,0 1,1-1,0 1,0-1,0 1,0 0,0 0,0 1,1-1,-1 1,1-1,-1 0,1 1,0-1,0 1,0 0,1 1,-1-1,1 0,0 0,-1 1,2-1,-1 1,0-2,1 2,-1-1,1 1,0 4,0 4,-1 0,2 1,0-1,1 0,0 0,0 1,2-2,-1 1,2 0,0-1,0 1,1-1,0-1,1 1,0-1,2 0,-1-1,1 0,0 0,0 0,1-2,0 1,1-1,0 0,14 6,-8-5,0-1,1 0,0-2,0-1,-1 0,3-1,-2 0,0-1,1-1,0-1,-1-1,1-1,26-4,-42 5,0 1,1-1,-1 1,0-1,0 0,0 0,0 0,0 0,0-1,0 1,-1-1,1 0,-1 0,1 0,-1 0,2 0,-2-1,0 1,0-1,0 0,-1 1,1-1,-1 0,1 1,-1-1,0 0,0 0,0 0,0 0,-1-1,1 1,-1 0,0-6,2-5,-1-2,-1 2,-1-1,-1 0,-1 0,1 0,-2 1,0-1,0 2,-9-17,-4-2,11 19,-1-1,0 1,-1 1,0 0,-1 0,-12-10,12 13</inkml:trace>
  <inkml:trace contextRef="#ctx0" brushRef="#br2" timeOffset="-19606.43">34446 10153,'2'-1,"-1"1,0-1,0 0,0 0,0 0,0 0,0 0,0 0,0-1,0 1,-1 0,1 0,0-1,-1 1,1 0,-1-1,1 1,-1-1,2-1,16-50,21-93,1-5,61-127,-58 166,-43 111,0 0,0 0,1 0,-1 0,0 1,0-1,1 0,-1 0,1 0,-1 0,1 1,-1-1,1 0,-1 0,1 1,0-1,0 0,-1 1,1 0,0 0,0-1,-1 1,3-1,-2 1,-1 0,1 1,0-1,0 0,-1 1,1-1,0 0,0 0,-1 1,1-1,-1 1,1-1,0 1,-1 0,1-1,-1 1,0 0,1 0,-1-1,1 2,3 8,1-1,-1 0,1 11,31 184,-28-145,1-2,34 103,-42-157,0-1,0 1,0 0,1 0,-1 0,1 0,0-1,0 1,0 0,0-1,5 4,-7-5,1-1,0 0,-1 1,1-1,0 0,-1 1,1-1,0 0,-1 0,1 0,0 0,0 0,-1 0,1 0,0 0,0 0,-1 0,2 0,-1 0,1-1,-1 0,1 0,0 0,-1 0,1 0,-1-1,1 1,-1 0,0-1,1 1,-1-1,1-1,81-134,-21 32,47-55,-105 154,-1 0,0 1,0-1,4-10,-3 2</inkml:trace>
  <inkml:trace contextRef="#ctx0" brushRef="#br2" timeOffset="-18956.37">35515 9445,'-1'12,"0"2,-1-1,-1 0,-1 1,0-2,0 1,-1 0,-1-2,0 2,-1-1,-15 17,-8 11,-64 60,63-71,8-6,-28 31,49-52,1 0,-1 0,1 0,0 0,0 0,0 1,0-1,0 0,0-1,0 2,1-1,-1 1,1-1,0 0,0 1,0 4,0-5,1 0,0 0,0 0,0 0,0-1,0 1,0-1,1 1,-1-1,0 1,1-1,-1 1,1-1,0 0,0 1,-1-1,1 0,0 0,4 1,25 10,0-2,1-1,0-1,1-2,-1-1,36 0,-63-4,-1-1,0 1,0-1,0 0,0-1,0 1,1-1,-1 0,0 1,1-1,-1 0,6-3,8-10</inkml:trace>
  <inkml:trace contextRef="#ctx0" brushRef="#br2" timeOffset="-18528.84">35446 9671,'8'0,"5"0,6 0,6 0,2 0,2 0,-2 0,0 0,-7 0</inkml:trace>
  <inkml:trace contextRef="#ctx0" brushRef="#br2" timeOffset="-18068.64">35537 9373,'9'0,"4"4,5 1,3 3,3 0,-1 3,0-2,2 0,-6-4</inkml:trace>
  <inkml:trace contextRef="#ctx0" brushRef="#br2" timeOffset="-17197.5">35902 9445,'93'3,"173"31,-263-34,1 0,0 1,0 0,-1 0,0 0,1 0,-1 1,0-1,0 1,0 0,0 0,0 0,0 0,-1 0,1 1,-1-1,5 6,-6-6,1 2,-1-1,0 0,0 1,0 0,0-1,0 1,-1-1,0 1,0 0,0-2,0 2,-1 0,1-1,-1 1,0 0,-1 3,-2 3,0 1,-1-1,0 2,-1-3,0 1,-1 0,0-1,0-1,-2 1,1 0,-1-1,-16 11,-11 4,0 0,-46 20,49-27,-70 35,-74 37,173-86,-2 2,0 0,0 0,0 0,-9 8,14-12,1 1,-1 0,0 0,1-1,-1 1,0 0,1 0,-1 0,1 0,0 0,-1-1,1 1,-1 0,1 0,0 0,0 0,0 0,0 0,0 0,0 0,0 0,0 0,0 0,0 0,0 0,1 0,-1 0,0 0,1 0,-1 0,1 0,-1 0,1 0,-1 0,1-1,-1 1,1 0,0-1,0 0,-1 1,1 0,1 0,5 3,0 1,1-1,-1-1,1 1,1-2,-1 1,0-1,11 2,76 7,-83-10,55 1,0-2,0-3,0-4,124-25,-152 24</inkml:trace>
  <inkml:trace contextRef="#ctx0" brushRef="#br2" timeOffset="-16641.29">36445 10027,'1'-5,"0"0,0-1,1 1,-1-1,1 1,0 0,5-8,3-8,23-63,119-278,-120 294,5 1,2 3,56-70,-89 126,0-1,1 2,0 0,0-1,0 1,1 0,15-8,-21 15,-1-1,1 0,-1 1,1 0,-1-1,1 1,-1 0,1-1,0 1,-1 0,1 0,-1 0,1 0,-1 1,1-1,-1 0,1 1,-1-1,1 1,-1-1,1 1,-1 0,1 0,-1 0,0-1,0 1,1 0,-1 0,0 1,0-1,1 1,2 3,0 1,0 0,0 1,-1-1,5 9,10 36,-3 0,-2 2,8 65,-10-59,35 232,-44-272</inkml:trace>
  <inkml:trace contextRef="#ctx0" brushRef="#br2" timeOffset="-16205.91">36611 9549,'4'4,"4"0,6 0,7 0,7-1,12 6,4 1,8 2,6 1,-3-2,-5-5,-5-2,-7-2,-10-1</inkml:trace>
  <inkml:trace contextRef="#ctx0" brushRef="#br2" timeOffset="-15804.78">37685 9268,'0'4,"0"8,-4 9,-5 9,-9 12,-4 11,-6 6,-3 8,1 1,2-6,0-10,7-13</inkml:trace>
  <inkml:trace contextRef="#ctx0" brushRef="#br2" timeOffset="-15119.75">37615 9433,'17'0,"136"1,216-26,-362 24,4-1,-1 1,1 0,-1 0,17 2,-24-1,-1 1,1-1,-1 1,2 0,-2-1,0 1,1 0,-1-1,0 2,0-1,0 0,0 1,0-1,0 1,0 0,0-1,-1 1,1 0,-1 0,1 0,-1 0,0 1,0-1,1 3,0 1,0 0,-1 1,0-1,0 1,-1-1,0 0,0 1,-1 0,1-1,-1 1,-1-2,0 2,1-1,-4 7,-2 3,-1 1,-1-2,-21 31,-25 20,-2 0,-75 62,104-103</inkml:trace>
  <inkml:trace contextRef="#ctx0" brushRef="#br2" timeOffset="-13310.75">38707 9445,'1'0,"0"0,0 0,0 0,1 0,-1 0,0 0,0 1,0-1,0 1,0 0,0-1,0 1,0 0,0-1,0 1,0 0,0 0,0 0,-1 0,1 0,0 0,-1 0,1 0,-1 0,1 0,-1 0,1 1,-1-1,0 0,0 0,1 0,-1 1,0-1,0 2,0 5,0 1,0 0,-2 12,1-18,-6 35,-1 0,-2 1,-2-2,-3-1,0 0,-32 54,44-85,0 1,-1 0,1 0,1 0,0 1,-2 7,4-13,-1 0,1 1,0-1,0 1,0-1,0 0,1 1,-1-1,0 0,1 1,-1-1,0 0,1 1,0-1,-1 0,1 0,0 0,-1 1,1-1,0 0,0-1,0 1,0 0,0 0,0-1,2 1,-2 0,0 0,0-1,0 1,1-1,-1 1,0-1,1 1,-1-1,0 0,3 0,32 5,1-2,0-2,49-4,-23 0,-40 3</inkml:trace>
  <inkml:trace contextRef="#ctx0" brushRef="#br2" timeOffset="-12887.31">38744 9623,'0'-4,"3"-2,7 2,3 0,4 1,3 1,-3 1</inkml:trace>
  <inkml:trace contextRef="#ctx0" brushRef="#br2" timeOffset="-12516.31">38779 9445,'4'0,"5"0,4 0,4 0,4 0,1 0,0 0,-2 0</inkml:trace>
  <inkml:trace contextRef="#ctx0" brushRef="#br2" timeOffset="-12118.31">39057 9445,'3'0,"6"0,4 0,4 0,3 0,3 0,-1 0,1 0,0 0,0 0,-4 0</inkml:trace>
  <inkml:trace contextRef="#ctx0" brushRef="#br2" timeOffset="-11731.31">39265 9426,'0'4,"-3"8,-3 9,2 4,0 6,1 4,1 0,1 9,1 0,0-4,0-6,0-4,0-7</inkml:trace>
  <inkml:trace contextRef="#ctx0" brushRef="#br2" timeOffset="-10038.06">40022 9805,'1'-12,"1"1,0 0,0 1,1-1,1 0,0 1,0-1,8-12,15-34,96-420,-122 477,1-12,0 0,2-1,0 2,10-22,-14 32,1 0,-1 1,0-1,0 0,1 0,-1 1,0-1,1 1,-1-1,1 0,-1 1,1-1,-1 1,1-1,-1 1,1-1,0 1,-1 0,1-1,0 1,-1 0,1-1,0 1,0 0,-1 0,1 0,0-1,0 1,-1 0,1 0,0 0,0 0,-1 0,1 1,0-1,-1 0,1 0,0 0,0 1,-1-1,1 0,0 1,-1-1,1 0,0 1,-1-1,1 1,-1-1,1 1,-1-1,1 2,3 2,-1 1,1-1,-1 1,0 0,3 8,16 45,-3 1,22 115,-19-68,43 108,-21-74,-41-121,-16-32,-1-10</inkml:trace>
  <inkml:trace contextRef="#ctx0" brushRef="#br2" timeOffset="-9694.06">40244 9607,'7'0,"7"0,7 0,10 0,1 0,1 0,-4 0,0 0,-4-3,-1-6,0 1,-6-1</inkml:trace>
  <inkml:trace contextRef="#ctx0" brushRef="#br2" timeOffset="-9210.05">41045 9192,'0'3,"0"5,0 9,0 8,0 17,-11 27,-9 17,-6 10,0 0,0-8,6-21</inkml:trace>
  <inkml:trace contextRef="#ctx0" brushRef="#br2" timeOffset="-8267.91">41041 9310,'3'0,"0"0,-1 0,1 0,0 0,0 0,0-1,0 0,0 1,-1-1,1 0,0-1,-1 1,4-2,-3 1,0-1,0-1,1 1,-1 0,-1-1,0 0,1 1,1-7,6-7,1 0,0 0,2 1,25-25,-11 15,52-38,-70 58,1 0,-1 0,0 1,1 0,-1 0,1 1,18-5,-25 8,1 1,-1-1,1 1,-1 0,0 0,1 0,-1 0,1 0,-1 1,0-1,1 1,-1 0,0 0,1 1,-1-1,0 0,0 1,0 0,1 0,-2 0,1 0,0 0,-1 0,1 1,-1-1,0 1,3 3,1 5,0-1,-1 0,0 2,-1-1,0 0,-1 0,0 1,2 20,0 96,-5-122,-5 72,-14 80,-2 13,15-128,1-30</inkml:trace>
  <inkml:trace contextRef="#ctx0" brushRef="#br2" timeOffset="657.03">38485 9398,'-4'0,"-1"3,0 5,1 5,2 7,-1 7,2 3,1 0,0 1,0 3,0 4,0-2,0-4,0-2,0-8</inkml:trace>
  <inkml:trace contextRef="#ctx0" brushRef="#br0" timeOffset="208313.08">29828 4881,'10'110,"0"-2,-8-75,7 35,-2-16,-5-35,0 1,2-1,9 29,-8-34</inkml:trace>
  <inkml:trace contextRef="#ctx0" brushRef="#br0" timeOffset="209323.07">29107 6108,'0'3,"3"1,5 0,3-1,4-2,1 0,6 0,2-1,-1 0,0 0,-1 0,-1 0,-2 0,-3 0</inkml:trace>
  <inkml:trace contextRef="#ctx0" brushRef="#br0" timeOffset="210063.08">29702 5943,'0'0,"0"-1,0 1,0 0,1-1,-1 1,0-1,0 1,1-1,-1 1,0-1,1 1,-1-1,1 1,-1-1,1 1,-1 0,1-1,-1 1,1 0,-1-1,1 1,-1 0,1 0,0-1,0 1,22-6,-8 2,-9 0,-1 0,1 0,0 0,-2 0,1-1,0 0,-1 0,0-1,-1 1,5-8,12-17,79-70,-53 55,-28 32,-18 13,0 0,1 0,-1 0,1 0,-1 0,0 0,1 0,-1-1,0 1,1 0,-1 0,0 1,1-1,-1 0,1 0,-1 0,0 0,1 0,-1 0,0 0,1 0,-1 1,0-1,1 0,-1 0,0 0,0 1,1-1,0 3,0-1,0 1,0-1,0 0,-1 0,1 1,-1-1,1 1,-1-1,0 1,-1 4,-1 25,-3 0,-1 0,-2 0,-17 47,-5 20,24-74,-1-5</inkml:trace>
  <inkml:trace contextRef="#ctx0" brushRef="#br0" timeOffset="210563.08">30141 6045,'0'5,"0"6,0 7,0 2,0 2,-3 0,-2-2,1 0,1-1,1-4</inkml:trace>
  <inkml:trace contextRef="#ctx0" brushRef="#br0" timeOffset="211563.07">30509 5683,'-5'1,"-1"0,0 0,1 0,0 0,0 1,0-1,1 1,-1 0,0 0,-7 6,-2 1,0 1,-12 12,14-10,1-1,1 2,-1 0,1-1,2 2,-14 28,13-20,0 0,2 2,-9 45,15-65,0 1,1-1,0-1,0 2,0-1,0 1,1-1,0 0,0 1,0-1,0-1,1 1,0 1,3 5,0-5,-1 0,0 0,1-2,0 2,-1-1,1-1,1 1,-1 0,0-1,8 3,0-1,2-1,0 0,-1-1,1 0,-1-1,2 0,-1-2,0 1,0-1,24-4,-36 4,0-1,0 1,0-1,0 0,-1 1,1-1,0-1,-1 1,1 0,0 0,-1-1,0 0,1 1,-1 0,0-1,0 0,0 0,1 0,-1 0,-1-1,3-3,-3 4,0 0,0 0,-1-1,1 1,-1 0,0-1,1 2,-1-1,0-1,-1 1,1 0,0 0,-1-1,1 1,-1 0,1-1,-1 1,0 0,0 0,0 0,-1 0,1 0,0 0,-1 1,0-1,-3-2,-5-5,0 0,-1 1,0 1,-1 0,0 0,-1 1,1 0,-1 0,0 3,-24-7,13 5</inkml:trace>
  <inkml:trace contextRef="#ctx0" brushRef="#br0" timeOffset="212823.08">30986 5670,'1'5,"0"1,1 0,0-1,-1 0,2 1,-1-1,1 0,4 7,6 10,61 109,-55-101,-1 1,-2-1,0 2,10 34,-23-56,-1-1,0 2,0-1,-2 0,1 15,-1-22,0-1,0 0,-1 0,1 0,0 1,-1-1,0-1,1 1,-1 0,0 0,0 0,0 0,0 0,0 0,-1-1,1 1,-1 0,1-1,-1 1,1 0,-1-1,0 0,0 0,0 1,0-1,0 0,0 0,0-1,0 1,0 0,-5 0,-6-1,0 0,0 0,0-2,0 1,-1-2,1 1,1-2,-1 0,1 0,0-1,-1-1,1 1,1-1,-14-11,20 13,1 0,0-1,-1 2,2-2,-1 0,1 0,0 0,1 0,-1-1,1 2,0-2,0 0,1 1,0-1,-1-8,1 4,0 0,1 0,1 1,0-1,0 0,1 0,0 1,5-14,-6 20,1 1,-1-1,1 0,0 0,0 0,0 0,1 1,-1-1,2 1,-1 0,-1-1,1 1,4-2,47-20,-44 21,-1-1,1 0,-1 1,0-2,8-7,-5 4,-1 0,18-8,-2 0,-24 14,0-1,0 1,-1 0,0-1,0 0,0 0,0 0,0 0,-1 0,1-1,-1 1,0-1,0 1,-1 1,1-2,-1 0,1 1,-1-1,-1-3,1 3,1 1,-2-1,1 1,0 0,-1-1,0 0,1 1,-2-1,1 1,0 0,-1-1,1 1,-1 0,0 1,0-2,-1 2,1-1,-4-3,-6-1</inkml:trace>
  <inkml:trace contextRef="#ctx0" brushRef="#br0" timeOffset="-214263.66">29713 3870,'0'699,"1"-686,0 0,6 23,-4-22,0 0,1 17,-5 48,2 34,1-100,2-1</inkml:trace>
  <inkml:trace contextRef="#ctx0" brushRef="#br0" timeOffset="96883.08">32411 527,'0'23,"2"-2,1 1,9 33,26 63,-17-60,45 116,-32-90,30 120,1 85,-54-215,1 82,-8-85,-2 483,-25-283,10-139,1-5,-14 232,17-89,0 23,10 846,-10-946,-1 3,9-22,3 331,7-357,1 33,-1-53,0-5,-9 387,0-241,1-247,7 38,0-10,-7-31</inkml:trace>
  <inkml:trace contextRef="#ctx0" brushRef="#br0" timeOffset="99253.08">27675 5155,'393'-21,"-266"11,867-11,-836 21,148 8,-20 1,28-8,473 9,-349 6,699 11,1221-29,-2263-2,0-5,99-19,99-11,244 9,399 15,-165 7,-587 5,206-14,-133 12,-152 6,45 6,175 28,-223-22,-28-5,81 1,-137-9</inkml:trace>
  <inkml:trace contextRef="#ctx0" brushRef="#br0" timeOffset="185943.07">32238 5592,'-23'0,"5"-1,-2 2,-29 3,43-2,-1-1,0 1,0 1,1-1,-1 1,1 0,0 0,1-1,-1 2,-9 8,2 0,1 0,1 2,1-1,1 1,0 0,-8 19,4-11,7-11,0 0,1 0,0 1,1 0,1-1,0 2,0-1,2 0,-1 0,2 1,0 13,0-24,1 1,-1-1,1 0,-1 1,1-1,0 0,0 0,0-1,0 2,0-1,0 0,1-1,-1 1,1 0,0 0,-1 0,1-1,0 1,0-1,0 0,0 1,0-1,0 0,0 0,5 1,4 1,0-1,-1 0,1-1,18 0,18 4,-30 0,1 0,-1 2,29 14,-34-15,-1 0,1-1,0 0,0 0,0-2,1 0,-1 0,1-1,18 2,-30-4,1 0,0-1,0 1,0 0,-1-1,2 0,-1 1,-1-1,1 0,-1 1,1-1,0 0,-1 0,0 0,1-1,-1 1,0 0,0 0,1 0,-1 0,0-1,0 1,-1-1,1 1,0-1,0 1,-1-1,1 0,-1 1,0-1,1 0,-1 0,0-1,1-9,0-1,-1 0,-3-19,2 12,1-86,-2-45,1 148,0-1,1 1,-1 0,0 0,-1 0,1 0,0 0,-1 1,0 0,0-1,0 0,0 1,-3-4,-3-1,0 1,0 1,-9-7,5 5</inkml:trace>
  <inkml:trace contextRef="#ctx0" brushRef="#br0" timeOffset="187293.07">32336 1,'1'78,"16"101,-10-137,2 1,2-2,34 80,-39-107,-1-3,4 20,-6-16</inkml:trace>
  <inkml:trace contextRef="#ctx0" brushRef="#br0" timeOffset="-206443.66">31208 3232,'41'-35,"86"-54,56-14,-139 74,-34 22,1 0,-1 0,17-7,-26 14,-1 0,0 0,1-1,-1 1,1 0,-1 0,0 0,1 0,-1 0,1 0,-1 0,0 0,1 0,-1 0,1 0,-1 0,0 0,2 1,-2-1,0 0,1 0,-1 0,1 0,-1 1,0-1,1 0,-1 0,0 1,0-1,1 1,5 12,-3 24,-3-32,1 53,-4 1,-2-1,-23 93,6-64,-59 140,63-183</inkml:trace>
  <inkml:trace contextRef="#ctx0" brushRef="#br0" timeOffset="-205863.66">31851 3312,'3'0,"5"0,6 0,6 0,1 0,0 0,1 0,2 0,1 0,2 0,4 0,1 0,4 3,0 1,-1-1,-8 1</inkml:trace>
  <inkml:trace contextRef="#ctx0" brushRef="#br0" timeOffset="-204423.66">33956 2905,'-1'9,"-1"1,-1 1,1-2,-2 1,1-1,-1 1,-2-2,-6 13,10-16,-24 38,-1-2,-3 1,-2-3,-36 37,17-27,-2-3,-83 58,109-87,-2-1,0-3,-1 1,-1-2,0-2,-35 10,41-14,-2-1,1-1,0-1,-1-1,1 0,-30-4,54 2,0 0,-1-1,1 1,0-1,0 0,0 1,0-1,0 0,0 0,0 0,0 0,1-1,-1 2,0-1,1-1,-1 1,1-1,-1 1,1-1,0 0,0 0,0-1,0 2,0-1,0 0,0 0,1 0,-1 0,1-1,-1-2,-1-6,1-2,1 0,0 1,2-13,0 4,-2 6,2 1,0 0,1 0,0-1,1 1,1 0,10-20,-12 27,1 0,0 1,1 0,0 0,0 0,1 0,0 0,-1 1,1 0,1 1,-1-1,1 1,0 0,0 0,0 1,12-4,2 1,0 2,0 0,1 0,0 2,-1 1,34 1,-48 1,1 0,0 1,1 0,-2 0,1 0,-1 1,1-1,-1 2,0 0,12 8,3 3,-3 2,18 19,11 7,-48-43,58 48,76 82,-124-118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6:25.2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1480 0,'-3'2,"0"-1,0 1,0 0,1 0,-1 0,0 0,1 1,0-1,-1 0,1 0,-3 6,1-3,-6 7,-18 19,1-2,-34 27,-27 22,63-53,-1-2,-1-1,-2 0,-45 25,49-34,0-1,-44 12,55-20,-1 0,1-1,0-1,0 0,-1-1,-26-1,39 0,-1-1,1 1,-1 0,1-1,-1 0,1 0,-1 0,1 0,0 0,0 0,-1 0,1-1,0 1,-1-1,1 0,1 1,-1-1,0 0,1 0,-1 0,1 0,0 0,-1 0,1 0,0 0,0-1,1 1,-1 0,0-4,-1-8,0 2,1-1,1 0,2-20,0 9,-3-5,1 18,-1 1,2 1,-1-1,5-18,-5 26,1-1,0 0,0 1,1-1,-1 1,0-1,1 1,-1 0,1 0,0-1,0 1,1 1,-1 0,0-1,0 0,1 1,-1-1,0 1,1-1,0 1,-1 0,4-1,66-16,96-12,-148 27,-8 1,-1 0,0 1,0 1,20 0,-26 1,-1 0,0 0,0 0,0 0,0 1,-1-1,1 1,0 0,-1 0,1 0,-1 1,0-1,0 1,0 0,0 0,3 3,43 44,-37-39,0 0,-1 0,0 1,-2 1,0-1,9 15,4 13,-15-31,-2 1,0-1,0 0,-1 1,6 19,23 99,-29-114</inkml:trace>
  <inkml:trace contextRef="#ctx0" brushRef="#br0" timeOffset="992.21">100 1107,'0'4,"0"3,0 4,-3 12,-4 8,-7 5,-5-1,-3 0,3-3,9-6,4-10</inkml:trace>
  <inkml:trace contextRef="#ctx0" brushRef="#br0" timeOffset="1497.73">587 1159,'0'3,"0"7,0 8,0 3,-7 9,-4 4,-5 2,-3-1,0-2,-1-2,4-4,5-6,8-8</inkml:trace>
  <inkml:trace contextRef="#ctx0" brushRef="#br0" timeOffset="1867.74">1048 1201,'0'3,"0"3,-4 6,0 2,-3 2,-4 1,-3-2,2 0,-3 0,4-3</inkml:trace>
  <inkml:trace contextRef="#ctx0" brushRef="#br0" timeOffset="2239.73">1428 1159,'0'3,"0"4,0 3,-4 8,-3 5,-8 5,-4 10,-5 2,1-4,1-7,6-9</inkml:trace>
  <inkml:trace contextRef="#ctx0" brushRef="#br0" timeOffset="2651.75">1941 1030,'0'3,"0"8,0 4,0 5,-3 3,-5 1,-7 11,-3 5,-1 0,1-8,3-9</inkml:trace>
  <inkml:trace contextRef="#ctx0" brushRef="#br0" timeOffset="3062.72">2295 953,'0'8,"0"8,-4 5,-3 10,-5 4,-2 0,-3 0,1-3,4-5,1-6,2-6</inkml:trace>
  <inkml:trace contextRef="#ctx0" brushRef="#br0" timeOffset="3414.71">2494 966,'0'3,"0"4,0 4,-3 3,-2 2,1 1,-2-1,0-4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6:55.24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4508 3767,'0'26,"-2"0,-7 43,3-39,3 0,2 50,2-62,-1-2</inkml:trace>
  <inkml:trace contextRef="#ctx0" brushRef="#br0" timeOffset="1307.97">3568 3451,'3'0,"4"0,5 0,2 0,1 0</inkml:trace>
  <inkml:trace contextRef="#ctx0" brushRef="#br0" timeOffset="2601.05">3986 3325,'-10'0,"2"0,0 0,-1 1,1 0,0 0,0 1,-1 0,1 0,0 1,-9 3,-7 4,18-8,0 1,-1 0,1 0,0 1,-11 6,15-8,0 0,0 0,1 1,-1-1,1 0,0 0,-1 1,1-1,0 1,0-1,1 1,-1-1,0 1,1-1,0 0,0 1,0 0,0-1,0 4,1-3,0 0,0-1,0 1,0 0,1-1,-1 1,1-1,0 0,0 0,0 1,0-1,0 0,0 0,0 0,1 0,-1-1,1 1,0 0,-1-1,6 2,0 1,1-1,0 0,-1 0,1-1,18 3,-18-4,0-1,0 0,1-1,-1 0,0 0,0-1,1 0,14-5,4-5,35-18,-57 27,-4 2,0 0,0 0,0 0,-1-1,1 1,0 0,0-1,-1 0,1 1,-1-1,1 0,0 0,-1 0,0 0,0 1,0-1,0 0,0 0,-1 0,1 0,-1 0,1 0,-1-1,0 1,0 0,0 0,0-1,0 1,-1 0,1 0,-1-3,0 3,-1-1,1 0,0 0,-2 0,1 0,0 0,0 0,0 1,0-1,-1 1,1-1,-1 1,0 0,1 1,-1-1,0 0,0 1,0-1,-7-1,-5-1</inkml:trace>
  <inkml:trace contextRef="#ctx0" brushRef="#br0" timeOffset="3148.16">4184 3419,'0'3,"0"4,0 4,0 2,0 4,0-1,0 3,0-4</inkml:trace>
  <inkml:trace contextRef="#ctx0" brushRef="#br0" timeOffset="4269.14">4326 3225,'10'-1,"0"0,1 0,10-4,-14 3,-1 0,1 1,0 0,-1 0,0 0,2 1,-2 0,1 0,9 2,-14-1,0 0,0 0,0 0,0 0,0 1,0-1,0 1,-1-1,1 1,-1-1,1 1,-1 0,2 1,-1-1,-1 1,1-1,0 0,0 0,0 0,1-1,-1 1,0 0,4 2,25 7,-27-11,0 1,-1 0,1 0,-1-1,1 2,-1-1,0 1,1 0,0-1,-1 2,0-1,-1 0,1 0,0 1,-1-1,1 1,-1 0,0 0,0 0,0-1,0 1,2 7,-3-7,0 0,0 0,-1 0,1 0,-1 1,1-1,-1-1,0 1,-1 0,1 1,0-1,-1 0,0 0,0 0,0 0,0 0,0 0,-1 0,1-1,-1 1,0-1,0 1,0-1,0 1,-4 3,0-2,0 1,-1-1,1-1,0 0,0 0,-1 0,0 0,0-1,0 0,-12 3,1-3</inkml:trace>
  <inkml:trace contextRef="#ctx0" brushRef="#br0" timeOffset="5248.7">4695 3214,'1'-4,"0"0,1 0,0 0,-1 2,1-2,1 1,-1-1,0 1,2 0,-1-1,0 1,0 1,0-1,7-4,-7 5,1 0,0 0,0 1,0-1,1 1,-1 0,0-1,0 2,1-1,-1 0,2 1,-2 0,1 0,-1 0,0 1,1-1,-1 1,7 2,-3 0,0 0,-1 0,1 0,0 1,-1 0,0 1,-1 0,1 0,6 6,-11-8,0-1,0 1,0 0,0 0,-1 1,1-1,-1 0,0 0,0 1,0-1,0 0,-1 0,1 1,-1-1,0 1,0-1,0 1,-1-1,1 0,-1 1,0-1,0 0,0 0,0 0,-1 0,1 1,-1-1,0 0,0 0,0-1,-4 5,-20 13,19-15,1 1,-2-1,2 0,0 1,0 0,0 1,-7 11,10-8,4-1</inkml:trace>
  <inkml:trace contextRef="#ctx0" brushRef="#br0" timeOffset="7794.12">4173 560,'-10'114,"0"-8,11 296,1-377,1-1,1 0,2 1,0-2,14 31,14 55,-12 8,-5 0,1 214,-19 523,2-435,0-399,8 39,-5-37,1 35,-4-18,-2 5,2 0,2-1,12 55,-5-64,-5-21,-1 2,4 21,-8-26</inkml:trace>
  <inkml:trace contextRef="#ctx0" brushRef="#br0" timeOffset="9470.84">4181 3477,'-7'6,"-5"4,-6 7,-8 4,-5 5,-4-1,2-1,2 2,3-3,7-4,7-1,6-8,4-4</inkml:trace>
  <inkml:trace contextRef="#ctx0" brushRef="#br0" timeOffset="9985.84">4060 3134,'-3'3,"-9"7,-6 10,-11 9,-8 7,-5 7,-1 2,-1 3,-3 0,0 0,8-12,10-20,11-14</inkml:trace>
  <inkml:trace contextRef="#ctx0" brushRef="#br0" timeOffset="10367.34">3815 2331,'-1'0,"0"0,0 1,-1-1,1 1,0-1,0 1,0-1,0 1,0 0,0-1,0 1,0 0,1 0,-1 0,0 0,0 0,0 1,-14 21,12-17,-70 134,13-20,-7 2,7-10,-137 189,170-268</inkml:trace>
  <inkml:trace contextRef="#ctx0" brushRef="#br0" timeOffset="10850.61">3339 2635,'-137'212,"27"-40,-130 169,178-269,51-58</inkml:trace>
  <inkml:trace contextRef="#ctx0" brushRef="#br0" timeOffset="11275.72">2436 3224,'-20'21,"1"1,-20 28,-4 7,7-16,-1-1,-54 44,73-68,-1-3,0 0,-2 0,1-2,-1 0,0-1,-2-2,-22 8,6-6,-57 5,62-11</inkml:trace>
  <inkml:trace contextRef="#ctx0" brushRef="#br0" timeOffset="11661.42">1177 3484,'-3'2,"-4"2,-5 3,-2 3,-4 3,3 1,0 4,0-4,-6 1,-3-2,-5 3,-1 0,2-3,2-3,2-3,3-3,4-3</inkml:trace>
  <inkml:trace contextRef="#ctx0" brushRef="#br0" timeOffset="12008.26">515 3647,'-13'3,"-13"4,-13 7,-12 4,-7 7,-2 3,-6 0,4-2,5-3,9-2,13-5</inkml:trace>
  <inkml:trace contextRef="#ctx0" brushRef="#br0" timeOffset="14344.08">2867 156,'0'6,"-1"1,0 0,0 0,0 1,-1-1,-1-2,-4 13,-29 43,25-45,2-1,-14 31,13-14,-12 64,19-81</inkml:trace>
  <inkml:trace contextRef="#ctx0" brushRef="#br0" timeOffset="15934.08">2766 91,'53'-38,"-29"20,-17 13,0 1,0 0,0 0,1 2,0-1,0 0,0 1,0 0,-1 0,2 1,-1 0,0 0,0 0,1 1,-1 1,16 2,-19-2,0 1,-1-1,0 1,1 0,-1 1,0-1,0 0,0 0,1 1,-2 0,1 1,-1-1,0 1,0-1,5 8,-4-6,-1 1,1 1,-1-1,0 1,-1-1,1 0,-2 1,1 0,1 11,-3-9,1-1,-1 1,-1 0,0-2,0 2,-3 9,3-16,1-1,-1 1,0 1,-1-1,1 0,0 0,-1 0,1 0,-1-1,1 1,-1 0,0 0,0-1,0 0,0 1,0-1,0 0,0 0,-1 0,1 0,0 0,-1 0,1-1,0 1,-1-1,-4 1,-67-1,57-1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7:14.55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321 0,'-1'1,"-1"0,0 1,1-1,-1 0,1 0,-1 0,1 1,0-1,-1 1,1-1,0 1,0 0,0-2,0 2,0 0,1 0,-2 3,0-2,-35 83,-15 26,-101 201,136-278,11-24,0 0,1 1,1 0,0-1,0 1,-3 24,7-35,0 0,0 0,0 0,0 0,0 0,0 0,0-1,1 1,-1 0,0 0,0 0,1 0,-1 0,1 0,-1 0,1 0,-1-1,1 1,-1 0,1 0,0-1,0 1,-1 0,1-1,0 1,1-1,0 1,0-1,0 1,0-1,0 0,0 0,0 1,0-1,0-1,0 1,0 0,0 0,3-1,7-2,-1 0,0-2,15-7,-22 10,104-54,-61 29,-36 21,1-2,18-17,-21 17,1 0,-1 1,0 0,19-9,20-6,-36 17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7:25.98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0,'230'0,"-214"0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7:29.78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0 324,'0'3,"3"1,5-1,3 1,5-2,1-1,1 0,1-1,1 0,0 0,-1 0,3 0,2 0,-1-1,-4 1</inkml:trace>
  <inkml:trace contextRef="#ctx0" brushRef="#br0" timeOffset="999.76">928 89,'0'0,"0"-1,0 1,0-1,0 1,0-1,0 1,-1-1,1 1,0-1,0 1,-1 0,1-1,0 1,0-1,-1 1,1 0,-1-1,1 1,0 0,-1-1,1 1,-1 0,1-1,-1 1,1 0,-1 0,1 0,-1 0,1-1,-1 1,1 0,-1 0,1 0,-1 0,1 0,-1 0,1 0,-1 0,-1 1,-20 4,9 4,0 1,0 1,0 0,2 0,0 1,-11 14,9-10,-18 19,7-9,2 0,-22 35,42-57,-1-2,1 2,0 0,1 0,-1 1,1-1,0 0,0 0,0 0,1 0,-1 0,1 1,0-1,1 0,-1 1,1-1,-1 0,2 0,-1 0,0 0,1 0,-1 0,1 0,1 0,-1-1,4 6,-1-5,0 1,0 0,1 0,0 0,1-1,-1 0,0 0,1-1,0 0,0 0,0 0,0-1,0 0,0 0,11 2,25 0,1-3,69-4,-101 2,-1 0,-1-2,1 1,-1-1,0 0,0 0,1-1,-1 1,0-2,-1 0,0-1,16-12,-18 14,-1-2,0 0,0 0,-1 0,0 0,-1 0,0-1,0 0,0-1,-1 1,0 1,0-2,-1 0,0 0,0 0,-1 1,1-9,6-68,-8 81,0 1,0-1,-1 0,1-1,-1 1,0 0,0 0,0 0,-1 0,1 1,-1-1,1 0,-1 0,0 2,0-2,0 1,-1 0,-3-4,-5-3,-1 0,-23-12,25 16,-30-20,-3 2,-1 3,0 1,-92-27,105 39</inkml:trace>
  <inkml:trace contextRef="#ctx0" brushRef="#br0" timeOffset="1489.65">1150 246,'0'3,"0"7,0 5,0 9,0 3,0-1,0 9,0 3,0-1,0 1,0-1,-3-5,-2-3,-2 5,-1-2,2-7</inkml:trace>
  <inkml:trace contextRef="#ctx0" brushRef="#br0" timeOffset="2526.81">1778 286,'-1'-14,"1"8,0 0,0 0,0 0,1 0,2-10,-2 14,0 0,0 1,-1-1,1 0,0 1,0-1,1 1,0 0,-1-1,0 1,1 0,-1 0,1-1,-1 1,1 0,-1 1,1-1,0 0,-1 0,1 1,0-1,0 1,0 0,2 0,8-2,0 0,0 1,1 1,0 0,-1 1,0 0,0 0,0 1,1 0,19 8,-30-9,-1 0,1 0,0 0,0 0,0 0,-1 0,1 0,0 1,-1-1,0 1,1-1,-1 1,0 0,0 0,1-1,-2 1,1-1,0 1,0 0,0 3,0-1,-1-1,0 1,0-1,0 1,-1 0,1-1,-1 0,0 0,0 1,-2 5,-4 5,0-2,-1 1,-1 0,-13 15,15-20,-1-1,2 2,0 0,0 0,-4 11,8-16,1 0,0 1,0-1,0 0,1 0,0 0,0 1,0-1,0 1,1-1,-1 0,1 1,0-2,4 9,11 26,-11-28,-1 1,1-2,-1 2,0-1,-1 0,-1 1,0 0,-1 0,0 12,-1-21,-1 0,1 0,-1 0,0 1,0-1,0-1,0 1,0 0,0 0,-1 0,1-1,-1 1,0 0,0-1,0 1,1-1,-1 1,0-1,0 0,0 0,0 0,-1 0,1 0,0 0,0 0,-5 0,-6 2,-2-1,1 0,-19-1,20-1,-19 3,16-1,0-1,0 0,-1-1,0-1,1 0,-23-5,38 6,-2 0,2-1,0 1,-1-1,1 0,0 0,0 1,0-1,-1 0,1 0,0 0,0 0,0 0,1-1,-1 1,0 0,-1-3,-2-7</inkml:trace>
  <inkml:trace contextRef="#ctx0" brushRef="#br0" timeOffset="3311.8">2375 351,'40'-1,"-15"0,0 1,45 5,-64-5,-1 1,0 0,0 1,1-1,-1 1,0 0,-1 0,1 0,0 1,-1 0,2 0,-2 0,0-1,0 1,0 1,0 0,-1 0,5 6,-5-5,-1 0,1 0,-1 0,0 1,-1 0,0-1,0 1,0-1,0 0,-1 1,0 0,0 0,-1 0,1-1,-1 0,-1 1,1-1,-1 2,-4 7,-5 7,0-1,-2 0,-24 27,14-15,16-24,3-3,0 0,0 0,0 1,1 0,-4 7,7-12,0-1,0 1,-1 0,1 0,0-1,0 1,0 0,0 0,0-1,0 1,0 0,1 0,-1-1,0 1,0 0,0-1,1 1,-1 0,0-1,1 1,0 1,0-2,0 1,0 0,0 0,1-1,-1 1,0 0,0-1,1 0,-1 1,0-1,2 0,-2 1,1-1,-1 0,0 0,2 0,55-4,-30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7:27.77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372 1,'-1'3,"0"0,-1 0,1 0,-1 0,1 0,-1-2,0 2,0 0,0-1,-3 4,0-1,-54 55,-10 14,24-19,17-22,2 0,-41 67,64-93,-1 0,1 1,1-2,-2 2,3-1,-1 1,1-1,0 1,0-1,1 15,1-18,-1 0,1 0,0 0,0 0,0 0,1 0,0-1,0 1,0-2,0 2,0-1,0 0,1 0,-1 0,1 0,0-1,0 1,0-1,0 1,0-1,1 0,-1 0,6 1,8 3,1 0,0-1,0-1,-1-1,28 2,93-3,-97-3,-35 1,-1 0,0 0,0 0,0-1,-1 0,1 0,7-3,-11 4,0-1,0 0,1 0,-1 0,0 0,0 0,0 0,0 0,0 0,0 0,0 0,0 0,-1-1,1 1,0 0,-1-1,1 1,-1 0,1-1,-1 1,0-1,0 1,1 0,-1 0,0-1,0 1,0-1,-1-1,-1-15</inkml:trace>
  <inkml:trace contextRef="#ctx0" brushRef="#br0" timeOffset="631.99">1 166,'18'0,"95"3,-97-1,0 1,-1 0,2 1,-2 0,15 8,76 29,-89-34</inkml:trace>
  <inkml:trace contextRef="#ctx0" brushRef="#br0" timeOffset="1022.63">811 388,'3'0,"5"0,3 0,5 0,1 0,1 0,1 0,1 0,-1 0,4 0,1 0,-1 0,-5 0</inkml:trace>
  <inkml:trace contextRef="#ctx0" brushRef="#br0" timeOffset="1503.5">826 589,'3'0,"8"0,5 0,2 0,6 0,1 0,0 0,1 0,-2 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7:35.45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0,'3'0,"4"0,4 0,4 0,3 0,6 0,4 0,0 0,1 0,0 0,-3 0,-2 0,-2 0,-2 0,-1 4,-3 6,-4-1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7:36.27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307 111,'-46'-2,"28"1,0 1,1 0,-1 1,-29 5,40-4,1 1,0 0,0 0,0-1,0 2,0-1,1 2,0-1,-8 9,4-5,0 2,1 0,1 1,-9 11,11-9,0 0,0 1,2 0,0-1,0 1,1-1,1 2,0-1,1 0,1 0,5 27,-5-36,0-1,0 1,1 0,0-1,0 1,0 0,0-1,1 0,0 0,0 0,0 0,0 0,2-1,-1 1,-1-1,1 0,1 0,-1 0,0-1,1 0,-1 1,1-1,0 0,0-1,-1 1,1-1,0 0,11 1,0-1,0 0,1-1,0-1,-1-1,0 0,-1-1,1 0,17-6,-11 2,-10 4,-1 0,2-2,-2 1,19-11,-27 13,1-1,-1 1,0-1,0 0,-1 0,1 0,1 0,-2-1,0 1,0-1,0 1,0 0,-1-1,1 0,-1 0,0 0,0 0,0-5,1-4,-1-1,0 1,-1-1,-2-18,1 27,0-1,0 0,-1 1,0 0,0 0,0-1,0 1,-1 0,0 0,-1 0,1 2,-1-2,-5-5,-5-2</inkml:trace>
  <inkml:trace contextRef="#ctx0" brushRef="#br0" timeOffset="399.45">651 360,'0'7,"3"1,1 2,0 3,-1 5,0 3,-2 4,0 3,-1 2,-3-1,-1 2,-4-1,1-3,0-5</inkml:trace>
  <inkml:trace contextRef="#ctx0" brushRef="#br0" timeOffset="1426.15">910 136,'2'-1,"2"0,-1 0,0 0,0-1,-1 1,1 0,0 0,-1-1,4-3,6-3,11-4,2 3,-1 0,0 0,2 2,-1 1,0 1,1 1,37-1,-60 5,0 0,0 0,-1 0,1 0,0 0,0 1,-1 0,1-1,0 1,-1 0,5 2,-6-2,0-1,-1 1,1-1,0 1,0 0,-1 0,1 0,0 0,-1 0,1 0,-1 0,1 0,-1 0,0 0,0 0,1 0,-1 0,0 0,0 0,0 0,0 0,0 1,0-1,0 0,-1 0,1 0,0 0,0 0,-1 0,0 2,-11 22,8-19,1 0,1-1,-1 1,1 0,-2 8,4-12,0 0,0 0,0 0,0-1,0 0,0 1,0 0,1 0,-1-1,1 1,-1 0,1 0,0-1,-1 1,1-1,0 1,0-1,0 1,1-1,-1 1,0-1,0 0,1 0,1 2,9 4,1 1,1-1,22 9,-23-12,-1 2,2 0,-2 1,16 10,-24-14,-1 0,1 1,-1-1,0 0,-1 1,1 0,-1 0,2-1,-2 1,0 0,-1 0,1 0,-1 0,0 1,0-1,0 1,0 6,-1-8,1 9,0-1,-1 0,-1 0,-2 11,2-19,1 1,-2-1,1 1,0-1,-1 0,1 0,-1 0,0 0,-1 0,1-1,0 1,-1 0,1-1,-1 1,0-1,1 0,-6 3,-12 7,-1-2,-2 0,1 0,0-2,-2-2,1 0,-41 6,37-9</inkml:trace>
  <inkml:trace contextRef="#ctx0" brushRef="#br0" timeOffset="2416.67">1553 90,'2'-3,"-1"1,1 0,-1 0,1 0,0 0,0 0,0 0,0 1,1-1,0 1,-1-1,4-1,4-3,-4 2,0-1,1 1,-1 0,1 0,0 1,0 0,1 0,12-3,-16 5,0 1,-1-1,1 1,0 0,0 0,-1 0,1 1,0-1,-1 1,1 0,0 0,-1 0,2 1,-2-1,0 1,1 0,-1 0,0 0,0 0,3 3,6 7,-1 0,-1 1,0 0,1 1,-2 0,-1 0,-1 1,0 0,-1 0,-1 1,0 0,-1 0,-1-1,2 30,-5-37,0 0,0-2,-1 2,-1 0,1-1,-1 1,-1-2,1 2,-1-1,-1 0,1 0,-1-1,0 0,-9 11,-3 1,-3 0,0-2,-22 17,13-10,28-23,-1 0,0 1,0-1,1 1,-1-1,0 1,1 0,-1-1,1 1,-1 0,1-1,-1 1,1 0,-1 0,1-1,0 1,-1 0,1 0,0-1,0 0,-1 1,1 0,0 1,1-1,-1 0,1-1,-1 1,1-1,0 1,-1-1,1 1,-1-1,1 1,0-1,0 0,-1 1,1-1,0 0,0 1,-1-1,1 0,0 0,0 0,1 0,9 1,2 0,18-3,-22 2,69-2,-54 2</inkml:trace>
  <inkml:trace contextRef="#ctx0" brushRef="#br0" timeOffset="3350.13">2938 76,'0'-3,"0"0,-1 0,1 0,0 1,-1-1,0 0,0 2,1-2,-1 0,-1 1,1-1,0 1,-1 0,1-1,-1 1,0 0,-2-2,1 1,-1 0,0 0,0 2,1-1,-1 0,0 0,-1 0,0 1,-8-3,2 2,0 0,0 1,0 1,0 0,-2 0,2 1,-22 4,-1 5,1 1,-47 22,30-11,11-6,0-1,1 1,2 2,-50 32,82-48,0 1,0 0,0 1,1-1,-1 1,1-1,0 1,0 0,0 0,1 0,0 0,0 0,0 1,0-1,1 1,0 0,-2 6,3-4,0 0,1 0,-1 0,1-1,1 1,-1-1,1 1,0 0,1-1,-1 0,6 9,4 3,-1 0,1 0,1-1,0-1,2 0,27 23,-32-30,0-1,1-1,1-1,-1 1,0-1,1-1,0 0,0-1,1 0,0-1,-1 0,21 2,-22-4,9 1,-1-1,1 0,0-2,-1 0,28-6,-45 7,0-1,0 1,-1-1,1 0,0 0,0 0,-1 0,1 0,-1 0,1 0,-1 0,1 0,-1 0,0-1,0 1,1-1,-1 1,0-1,-1 0,1 0,0 1,0-1,0-3,1-9</inkml:trace>
  <inkml:trace contextRef="#ctx0" brushRef="#br0" timeOffset="4043.13">2311 189,'0'-3,"0"-4,3-1,4 1,4 2,4 2,5 0,3 2,0 1,0 0,-1 1,-1-1,-1 0,-1 0,1 1,-2-1,1 0,-4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7:41.67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634 1,'-11'9,"0"1,0 0,-1 0,-24 16,-29 7,-2-2,-72 23,-59 27,191-78,1 1,-1-1,1 1,0 1,0 0,1 0,-2 0,2 0,0 0,-5 10,8-12,0-1,1 1,-1 0,1 0,0 0,0 0,0-1,0 1,0 0,1 0,0 1,-1-1,1 0,0 0,1 0,-1 1,1-1,-1-1,1 1,0 0,0 0,0 0,1 0,-1 0,1 0,2 3,10 8,1 1,0-1,0-2,1 1,26 14,-16-9,224 141,-47-30,-166-104,-29-16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8:04.51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377 475,'0'-4,"0"1,0-1,0 0,0 0,0 0,-1 1,0-1,0 0,0 0,-1 0,1 1,-1-1,0 1,0-1,0 1,0 1,0-2,-1 1,0 0,1 1,-1-1,0 0,-1 1,1 0,0-1,-2 1,-2-1,1-1,-7-2,1-1,-1 1,-1 0,0 1,0 0,0 2,0-1,-18-1,15 3,-44-1,55 3,0 0,1 0,-1 1,0 0,0 0,1 0,-9 3,11-2,-1 0,1 1,0-2,1 1,-1 1,1 0,-1-1,1 1,0 0,0 0,0 0,1 1,-1-1,1 0,-1 0,1 0,0 1,1-1,-1 1,0 4,0 3,0-1,1 2,0-1,0-1,4 16,-3-20,1 0,0 0,0 0,1 2,0-2,0-1,0 1,1-1,0 1,0-1,7 7,-3-5,1 0,0 1,0-1,1-1,-1-1,15 7,-4-3,0-1,2-2,-1 0,0-1,1 0,34 1,-15-4,-2-1,48-6,-80 4,-1-1,1 0,-1 0,0-1,0 1,-1-1,10-5,36-28,-43 28,0 0,0 0,-1-1,9-9,-12 11,1 0,0 2,0-2,0 1,1-1,0 2,0 0,1 0,10-5,16-8,-21 11,0 1,0 1,24-9,-30 12,-1 1,0 1,0-1,1 1,-1-1,0 1,1 1,0-1,-1 1,0 0,0 0,0 1,8 2,-4-1,-1 1,1 0,0 1,-1-2,0 3,13 10,-17-12,0 0,-1 0,1 0,-1 1,0 0,0-1,-1 2,0 0,1-1,-1-1,0 1,2 11,-2-6,-1-2,0 2,0 0,0 0,-2-2,1 2,-1 0,-4 17,4-25,-1 0,1 0,0 0,-2-1,2 1,-1-1,1 1,-1-1,0 1,0-1,1-1,-1 1,0 0,0 0,0 0,0 0,-1-1,1 1,0-1,0 1,0-1,-4 0,-7 1,-1-1,-22-2,17 1,10 0,-1 1,0-1,1-1,0 1,0-1,1 0,-1-1,0-1,1 1,-1-2,-14-8,-68-46,47 29,0 2,-92-44,121 66</inkml:trace>
  <inkml:trace contextRef="#ctx0" brushRef="#br0" timeOffset="910.03">1149 0,'3'0,"-1"1,1-1,-1 1,1-1,-1 1,1 0,-1 0,0 0,1 0,-1 0,0 0,0 1,0-1,0 1,0-1,0 1,0-1,0 1,-1 0,1 0,-1 0,2 3,3 5,0 1,-1-1,5 18,-4-11,15 52,-2 1,-3 0,10 136,-22-12,-5-125,0-66,1 1,0 0,-1 0,0-1,0 1,0 0,0-2,-1 2,0-1,1 0,-1 1,0-1,0 0,-5 4,-3 3,-1-1,-19 15,-11 9,9-5,22-19,0-2,1 3,-14 13,13-8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7:58.80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0 294,'4'0,"3"0,4 0,5 0,1 0,1 0,1 0,1 0,-1 0,0 0,3 0,2 0,-1 0,-1 0,-1 0,-4 0</inkml:trace>
  <inkml:trace contextRef="#ctx0" brushRef="#br0" timeOffset="877.03">656 269,'9'0,"0"0,0-1,0 0,1-1,-1 0,-1 0,1-1,11-5,-6 1,1-1,-1 0,22-20,38-26,98-57,-162 106,1-1,-1 1,1 1,0 0,22-5,-33 9,1 0,0 0,0 0,-1-1,1 1,0 0,0 1,-1-1,1 0,0 0,0 0,-1 0,1 1,0-1,-1 0,1 0,0 1,-1-1,1 1,-1-1,1 0,0 1,-1-1,1 1,-1 0,1-1,-1 1,0-1,1 1,-1 0,0-1,1 1,-1 0,0-1,0 1,1 0,-1-1,0 1,0 0,0 0,0-1,0 1,0-1,0 1,0-1,0 1,-1 1,-7 36,7-36,-27 71,-4-1,-65 109,34-69,29-47,22-42</inkml:trace>
  <inkml:trace contextRef="#ctx0" brushRef="#br0" timeOffset="1314.03">1225 428,'0'3,"0"4,0 4,0 2,0 4,0 3,0 4,0 4,-3 1,-4-4,-1-3,0-4,2 1,2-3,2 1,1-3</inkml:trace>
  <inkml:trace contextRef="#ctx0" brushRef="#br0" timeOffset="2312.55">1820 83,'-6'0,"-1"1,1 0,0 1,-1-1,1 1,0-1,0 2,0-1,0 1,1 0,-1 1,1-1,0 1,0 0,0 0,1 1,0-2,-1 2,1 0,0 0,-3 6,0-1,1 2,0-1,0 0,2 2,-1-1,2-1,-1 2,2 0,-2 16,4-25,-3 14,2 2,1-2,0 1,2 0,0 0,10 35,-11-51,0 0,1-1,-1 1,1-1,-1 0,1 1,0-1,0 0,0 0,0 0,1-1,-1 0,0 1,1 0,-1-1,1 0,4 2,4 1,1-1,-1 1,13 0,-12-2,-11-2,0 0,0 1,-1-1,1 0,0 0,0 0,0 0,0-1,0 1,0 0,-1 0,1 0,0-1,0 1,0 0,0-1,-1 1,2-1,-1 1,-1-1,1 1,0-1,-1 1,1-1,0 0,0-1,0 0,0-1,0 1,0 0,0 0,0-1,-1 1,1-1,-1 2,1-5,-1-2,0-1,0 1,-1 0,-3-15,3 18,-1 1,1 0,-1 0,0 0,-2 0,2 0,-4-4,-5-5</inkml:trace>
  <inkml:trace contextRef="#ctx0" brushRef="#br0" timeOffset="3432.1">2383 87,'-18'-4,"18"4,-1-1,1 1,-1 0,1-1,-1 1,0 0,1 0,-1-1,0 1,1 0,-1 0,0 0,1 0,-1 0,0 0,1 0,-1 0,0 0,1 0,-1 0,0 0,1 0,-1 1,0-1,1 0,-1 1,1-1,-1 0,1 1,-1-1,1 0,-1 1,1-1,-1 1,1-1,-1 1,1-1,-1 1,1 0,0-1,0 1,-1-1,1 1,0-1,0 0,-1 1,1 1,-2 6,1 0,-1 0,1 0,1-1,0 1,0 0,0 1,1-2,0 1,3 9,2 3,0 1,17 30,-4-10,42 97,-55-121,-1 0,-1 1,-1-1,-1 1,0-1,-1 28,-1-42,0 0,-1-1,1 1,0 0,-1-1,0 1,1 0,-1-2,0 2,-1-1,1 1,0-1,-1 0,1 1,-1-1,0 0,1 0,-1 0,0 0,0-1,-1 1,1 0,0-1,-2 1,2-1,-1 0,-2 1,-2-1,0 0,0 0,0 0,0 0,0-1,0 0,0-1,-1 1,-13-4,5 0,0-1,1 0,-2-2,2 0,1 0,0-1,-1-1,1 0,1-1,0 0,1-1,1-1,-15-16,23 25,0-1,1 0,0 2,0-2,0 0,0 0,0-2,1 2,0 0,0 0,0-1,1 2,-1-9,1 9,1 0,0 0,-1 1,1-1,0 0,0 1,1-1,-1 1,0 0,1 0,0-1,-1 1,1 0,0 0,0 0,0 0,1 0,-1 0,0 1,1-1,4-2,13-3,-1-1,0 1,2 1,-1 1,0 1,24-2,-12 2,37-11,-59 11,-1 0,0 0,0-1,0 1,-1-1,0-1,0 0,-1 0,0-1,0 1,0-1,0-1,8-13,-11 14,0 1,-1-1,0 1,0 0,0-1,-1 0,0 0,-1-1,1 1,-1 1,-1-1,0-1,0 1,0-1,-1 2,0-1,0 0,-1-1,0 1,-5-11,5 15,1-1,-1 1,-1 0,1-1,0 1,-1 1,1-1,-1 1,-5-5,-3 1</inkml:trace>
  <inkml:trace contextRef="#ctx0" brushRef="#br0" timeOffset="3867.08">2857 557,'0'3,"0"3,3 11,2 5,-1 5,2 0,1 6,-1-1,-2-3,-1-3,-2-2,3-7,3-4,7-12,1-6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8:07.61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0,'3'0,"4"0,7 0,6 0,3 0,2 0,1 0,-3 0,-1 0,0 0,-3 0,0 0,-1 0,1 0,-2 0,-2 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8:21.206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78 169,'0'3,"0"11,-3 11,-1 11,-3 12,-4 9,1 6,-3-1,2-6,3-10,3-16,2-19,1-18,1-8</inkml:trace>
  <inkml:trace contextRef="#ctx0" brushRef="#br0" timeOffset="1023.24">3 111,'0'-3,"0"0,0 0,1 0,0 0,-1 0,1 1,0-1,0 1,1-1,-1 0,1 0,-1 1,1-1,0 1,0 0,0-1,0 1,0 0,1 0,-1 0,0 1,5-2,5-3,0-1,1 2,23-8,-15 8,-11 1,-1 1,1 0,0 1,1 0,-1 1,1 0,-1 1,0 0,0 0,0 1,2 0,-2 1,0 0,-1 1,1 0,0 1,-1-1,1 1,0 1,-2 0,1 0,-1 1,15 12,130 117,-150-133,-1 0,1 1,-1-1,1 1,0 0,-1 0,0 0,-1 1,1-1,-1 0,1 1,-1-1,0 0,0 0,-1 1,1-1,-1 1,1 0,-1 3,-1-4,1-1,-1 0,0 0,1 0,-1 0,0 0,0 1,0-1,-1 0,1 0,0 0,-1-1,1 1,-1 0,0 0,-1-1,1 1,1-1,-1 0,-1 1,1-1,0 0,0 0,0-1,0 1,-1-1,1 0,0 1,-5 0,-8 0,-1 0,0-1,-24-3,27 2,-1 1,1-1,0 1,1 1,-25 3,25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8:18.925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947 0,'-4'1,"1"1,0-1,0 1,0-1,0 1,0 0,0 0,0 1,0-1,1-1,-2 2,2-1,-3 5,-10 9,-102 83,-328 253,412-327,-23 14,-77 42,131-79,-1-1,0 0,1 1,-1-1,0 0,1 0,-1-1,0 1,0 0,0-1,0 0,0 0,0 1,1-2,-1 1,0 0,0-1,-4 0,5-1,-1 1,1-1,0 1,-1-1,1 0,0 0,0 0,0 0,0 0,1 0,-1 1,1-2,-1 1,1-1,0 1,0-1,0 1,0-1,0-2,-3-14,0-2,2 2,0-2,1 2,1-3,1 3,1-1,5-20,-4 27,1 1,1 0,1 0,-1 0,3 2,-1-2,0 1,15-16,-18 24,0 0,0 0,0 0,0 1,0 0,1 1,0-1,0 0,-1 0,1 1,-1 0,1 0,0 1,0-1,0 1,-1 0,1 0,0 0,6 2,12 1,-1 1,37 11,-27-4,-1 1,0 1,0 2,-2 0,-1 2,0 0,-1 3,41 36,-46-35,1-1,-3 3,-2-1,0 0,20 34,-29-41,61 118,-63-118,-1 2,0-1,-1 2,-1-2,-1 2,2 22,-5-25</inkml:trace>
  <inkml:trace contextRef="#ctx0" brushRef="#br0" timeOffset="1583.37">1886 228,'-5'0,"1"1,-2 1,2-1,-2 0,2 1,0-1,0 1,-8 5,-7 4,-112 38,-257 61,382-109,0 0,0 1,-1-1,1 1,0 0,0 1,1-1,-7 5,12-7,-1 0,1 1,0-1,-1 0,1 0,0 1,-1-1,1 0,0 1,0-1,-1 0,1 1,0-1,0 0,0 1,0-1,-1 0,1 1,0-1,0 1,0-1,0 0,0 1,0-1,0 1,0-1,0 0,0 1,0-1,0 1,1-1,-1 0,0 1,0-1,14 11,25 6,-37-16,95 37,-50-18,0-2,2-3,61 13,-81-25,40 2,-50-5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8:23.827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40 142,'-4'0,"0"3,0 6,0 5,-1 9,-1 3,2 8,0 5,2 1,0-1,2-3,0-6,0-5,0-3,0-10,4-8,0-6</inkml:trace>
  <inkml:trace contextRef="#ctx0" brushRef="#br0" timeOffset="711.12">145 64,'3'-1,"1"1,-1-1,0 0,0-1,0 1,0 0,4-3,12-4,1 1,1 1,0 0,1 2,-1 0,0 2,2 0,-2 1,28 2,-44 0,0 0,0 0,0 0,0 0,-1 1,1 0,-1 0,1 0,-1 1,0-1,0 1,0 0,0 0,1 1,-2-1,7 7,-6-4,0 0,0 0,-1 0,0 0,0-1,0 2,-1 0,0-1,0 1,1 11,-3-13,0 0,-1 1,0-1,0-1,0 2,0-1,-1 0,0 0,0 0,0 0,-1-1,0 0,0 1,0-1,-1 1,1-1,-1 0,0 0,0-1,-1 0,0 0,-9 6,-1-1,-1 0,1-1,-2-2,1 1,-1-1,-27 5,34-8,-1 0,1-1,0 0,-1-1,0 0,-17-3,9-1</inkml:trace>
  <inkml:trace contextRef="#ctx0" brushRef="#br0" timeOffset="1453.74">1073 205,'30'0,"82"0,117 14,71 17,-299-31,5 1,1 0,-1 0,1 1,11 4,-17-6,1 1,-1-1,-1 0,1 1,0-1,-1 1,1-1,0 1,-1 0,1-1,-1 1,1-1,-1 1,1 0,-1-1,1 1,-1 0,0-1,1 1,-1 0,0 0,0 0,0 1,0-1,-1 0,1 0,0 0,-1 0,1 0,-1-1,1 1,-1 0,1 0,-1 0,0 0,0 0,1-1,-1 1,-1 1,-21 14,0 0,-1 0,-1-3,-50 22,46-21,-41 18,-1-3,-125 37,159-58</inkml:trace>
  <inkml:trace contextRef="#ctx0" brushRef="#br0" timeOffset="2629.82">2623 0,'7'27,"-1"0,-2 1,-1-1,-2 0,-3 37,2-42,0 1,-2 1,0-1,-2 0,-1 1,-10 25,12-39,-1-1,0-1,-1 1,-1 0,0 0,0-1,0-1,-1 1,0-1,0 1,-1-2,0 0,0 0,-2 0,-12 8,15-10,0-2,-1 1,0 0,0 0,0-1,-1 0,1-1,0 0,-1 0,1 0,0-1,-1 0,1-1,0 0,-1 0,0 0,1-1,0 0,0-1,1 1,-1-1,0 0,1-1,-1 0,1 0,0-1,1 0,-10-8,10 8,1 0,0 0,1-1,-1 1,1-1,-1 1,2-1,-1 0,1-1,1 1,-1-1,1 1,-1-8,1-2,1 0,0 0,1 1,4-24,-3 35,-1 0,1 0,0 1,0-1,0 0,0 2,1-2,-1 1,1-1,0 1,0 0,1 0,-1 0,2 0,-2 0,1 0,0 1,0-1,1 2,-1-1,0 0,7-3,-5 3,0 0,0 1,1 0,-1 0,0 0,0 1,1 0,0 0,-1 0,0 0,0 1,1 0,-1 0,0 0,0 0,0 1,8 3,34 18,0 2,76 55,-32-20,-5-4,153 93,-217-137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8:27.837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287 1,'0'0,"-1"1,0-1,0 1,0-1,1 0,-1 1,0 0,0-1,1 1,-1-1,1 1,-1 0,0-1,1 1,-1 0,1 0,0-1,-1 1,1 0,0 0,-1 1,-8 23,6-15,-81 154,39-79,18-35,-1 4,-22 58,44-96,0 2,2-2,0 2,1-1,0 1,2 0,1 34,5-39,3-12,12-18,-20 17,219-214,-157 157</inkml:trace>
  <inkml:trace contextRef="#ctx0" brushRef="#br0" timeOffset="526.97">758 32,'1'29,"-4"74,1-87,-1-1,0-1,0 1,-12 28,-126 241,139-280,-11 19,13-22,-1 0,1 0,-1-1,1 1,-1 0,1 0,-1-1,1 1,-1 0,0-1,1 1,-1-1,0 1,0-1,0 1,1-1,-1 1,0-1,0 0,0 0,0 1,-1-1,1 0,1-1,-1 0,1 1,-1-1,1 1,-1-1,1 0,-1 1,1-1,0 0,-1 0,1 1,0-1,-1 0,1 0,0 0,0 1,0-1,0 0,0-1,0 1,-2-12</inkml:trace>
  <inkml:trace contextRef="#ctx0" brushRef="#br0" timeOffset="1045.93">299 393,'3'0,"5"0,6 0,6 0,7 0,7 0,6 0,4 0,-4 0,2 0,0 0,0-4,-5 0,1 0,-6 2</inkml:trace>
  <inkml:trace contextRef="#ctx0" brushRef="#br0" timeOffset="1863.66">1289 495,'0'-2,"-1"1,1-1,-1 1,1 0,-1 0,1-1,-1 1,0 0,0-1,0 1,0 0,0 0,-1 0,1 0,0 0,0 0,0 0,-1 0,1 0,0 0,-4-1,-30-12,23 12,1-1,-2 0,1 1,0 1,1 0,-1 0,0 1,-23 3,31-2,0-1,1 1,-1 1,0-1,0 0,1 1,-1-1,1 1,0 0,-2 0,2 1,0-1,0 1,0 0,1 0,-1 0,1 0,0 0,-1 0,2 0,-1 0,0 1,1-1,-1 1,1 0,0 0,0 0,0 0,1 5,-1-3,0 0,1 0,0 0,0 0,0-1,1 1,0 0,0 0,1 0,0 0,0-1,0 0,5 8,-5-9,1-1,0 1,0-1,0 0,0-1,2 0,-2 1,1-1,-1 1,1-1,0 0,0 0,0-1,0 1,0-1,0 0,1 0,-1 0,8 0,8-1,0-1,-1-1,0 0,1-1,-1-1,33-11,-33 9,-16 5,-1 0,1 0,-1 0,1-1,-1 1,0-1,1 1,-1-1,0 0,0 0,-1 0,1 0,0 0,-1-1,1 1,-1 1,0-2,1 1,-1-1,0 1,-1-1,1 0,0 1,-1-1,1-5,0-6,-1 0,0-1,-4-22,2 22,2 13,0 0,0-1,-1 1,1 0,-1-1,1 1,-1 0,0 0,0 0,0 0,0 0,0 0,-1 0,1 0,0 0,-1 1,0-1,1 0,-1 1,0-1,0 1,0 0,0-1,0 1,0 0,0 0,-1 0,1 0,0 1,0-1,-1 1,1-1,0 1,-3 0,-12-1</inkml:trace>
  <inkml:trace contextRef="#ctx0" brushRef="#br0" timeOffset="2730.98">1698 629,'1'0,"1"0,-1-1,1 1,-1-1,1 1,-1-1,1 0,-1 0,0 1,1-1,-1 0,0 0,0 0,1 0,-1 0,0-1,2-1,16-26,-14 21,167-293,-167 293,-4 5,0-1,1 1,0 0,0 0,0-1,1 1,-1 0,1 1,3-4,-6 6,0 0,0 0,1 0,-1 0,0 0,0 0,0 0,1 0,-1-1,0 1,0 0,1 0,-1 0,0 0,0 0,0 0,1 0,-1 0,0 0,0 0,1 0,-1 0,0 1,0-1,0 0,1 0,-1 0,0 0,0 0,0 0,1 0,-1 1,0-1,0 0,0 0,0 0,0 0,1 1,-1-1,0 0,5 13,-2 16,-3-28,-2 70,1 20,2-82,0-1,0 0,1 1,0 0,0-2,1 2,8 16,-10-24,0 1,1 0,-1 0,1 0,0 0,0 0,0 0,0 0,0-1,0 1,0-1,0 0,1 1,0-1,-1 0,1 0,-1-1,1 1,-1 0,1-1,-1 1,1-1,-1 0,1 0,0 0,-1 0,1-1,-1 1,1 0,0-1,-1 0,1 0,-1 0,3-1,10-5,1 0,-2-1,1 1,16-16,-18 15,131-81,27-20,-147 92</inkml:trace>
  <inkml:trace contextRef="#ctx0" brushRef="#br0" timeOffset="3371.22">2823 281,'-1'18,"0"-1,-2 0,0 0,-2 0,0-1,0 1,-1-1,-1 0,-1 0,0-1,-1 0,-1-1,0 0,-2 1,-21 20,23-27,7-6,0 1,1-1,-1 0,1 1,0-1,0 1,0 0,-1-1,1 1,1 0,-1 0,1-1,-2 7,3-8,0 0,0-1,0 1,0 0,0-1,1 1,-1 0,0-1,0 1,1 0,-1-1,0 1,1-1,-1 1,1-1,-1 1,1-1,-1 1,1-1,-1 1,1-1,-1 0,1 1,0-1,-1 0,1 0,2 1,19 5,-17-5,47 5,-1-2,99-2,-116-3,-19 1</inkml:trace>
  <inkml:trace contextRef="#ctx0" brushRef="#br0" timeOffset="3880.2">2827 375,'3'0,"4"0,4 0,4 0,2 0,2 0,0 0,-3 0</inkml:trace>
  <inkml:trace contextRef="#ctx0" brushRef="#br0" timeOffset="4313.99">2827 222,'3'-3,"4"-1,8 0,4 0,2 2,1 1,-1 0,0 1,0 0,-5 3,-4 4,-1 2,-3-2</inkml:trace>
  <inkml:trace contextRef="#ctx0" brushRef="#br0" timeOffset="5201.03">3283 281,'65'-1,"-29"0,1 1,-2 1,49 8,-79-8,0 1,0-1,0 1,-1 0,1 0,-1 0,1 1,4 2,-8-5,0 1,0 0,1 0,-1 0,0 1,0-1,0 0,-1 0,1 0,0 1,0-1,-1 0,1 1,0-1,-1 1,0-1,1 1,-1-1,0 1,0-1,0 1,0-1,0 1,0-1,0 1,0-1,-1 0,1 0,0 1,-2 2,-1 2,-1 0,0 0,0 0,0-1,0 0,-1 1,-11 8,-46 29,46-34,-1 2,-20 19,36-29,1-1,-1 1,0 0,0 0,0-1,1 1,-1 0,0 0,1 1,-1-1,0 0,1 0,0 0,-1 0,1 0,-1 0,1 0,0 0,0 0,0 0,0 0,0 0,0 1,0-1,0 0,0-1,1 2,0 0,0-1,0 0,0 0,0 1,1-1,-1 0,0 0,1 0,-1 0,1-1,-1 1,1 0,0 0,-1-1,3 1,9 2,-1-1,1 0,21 0,138-4,-147 2</inkml:trace>
  <inkml:trace contextRef="#ctx0" brushRef="#br0" timeOffset="6860.65">3835 642,'3'0,"-2"-1,1 0,0 1,0-1,-1 0,1 0,0 0,-1 0,1 0,-1 0,1 0,-1 0,2-3,17-23,6-26,21-64,-23 56,-7 16,-8 19,2 0,0-1,1 2,29-40,-40 63,-1 1,1 0,0-1,0 1,0 0,0 0,0 0,0 0,0 0,0 0,0 0,1 0,-1 1,0-1,1 0,-1 1,0-1,1 1,-1-1,1 1,-1 0,1-1,-1 1,1 0,-1 0,0 0,1 0,-1 0,1 1,-1-1,1 0,-1 1,1-1,-1 1,0-1,1 1,-1 0,0-1,2 1,-2 0,1 1,5 5,0-1,-1 0,0 2,-1-1,7 12,-8-14,151 247,-146-235,-1 0,-1 1,-2 1,0-1,-1 0,0 0,0 28,-3-30</inkml:trace>
  <inkml:trace contextRef="#ctx0" brushRef="#br0" timeOffset="7277.89">3980 325,'5'0,"2"0,4 0,10 0,8 0,8 0,1 0,5 0,3 0,-3 0,-4 0,-7 0,-5 0,-7 0</inkml:trace>
  <inkml:trace contextRef="#ctx0" brushRef="#br0" timeOffset="7632.02">4839 112,'0'6,"-3"8,-11 14,-8 16,-13 15,-3 8,-2 5,6-4,3-9,8-16</inkml:trace>
  <inkml:trace contextRef="#ctx0" brushRef="#br0" timeOffset="8253.84">4752 208,'88'0,"7"2,-2-4,132-19,-217 19,-3 1,1 0,-1 0,0 1,12 0,-16 0,1 0,-1 0,0 0,0 0,0 1,0-1,0 1,1-1,-1 1,0-1,0 1,0-1,0 1,0 0,-1 0,1-1,0 1,0 0,0 0,-1 0,1 0,0 0,-1 0,1 0,-1 0,1 0,0 1,-1 2,1 0,0 1,-1-1,0 0,0 0,0 0,-1 0,1-1,-1 2,0-1,0 0,-2 4,-27 48,26-47,-43 68,-98 122,121-171</inkml:trace>
  <inkml:trace contextRef="#ctx0" brushRef="#br0" timeOffset="8607.72">5640 219,'0'3,"0"7,-3 7,-5 8,-3 9,-4 3,-3 3,0-4,2-3,4-8</inkml:trace>
  <inkml:trace contextRef="#ctx0" brushRef="#br0" timeOffset="9215.84">6201 250,'-1'5,"-1"0,1 0,-1 0,0-1,0 1,-1-1,1 1,-1-1,0 1,0-1,-5 3,-3 8,-8 8,-28 29,-10 11,49-53,2 0,-1-1,-4 14,10-20,-1 0,1 0,0 0,0 0,0 0,0 0,0 0,1 1,0-1,0 0,0 1,0-1,0 0,0 1,2 3,-1-5,1 0,-1-1,0 1,1-1,-1 1,1-1,-1 1,1-1,-1 0,1 0,0 0,0 0,0 0,0 0,0-1,0 1,0 0,1-1,-1 0,3 1,48 1,-40-3,100-1,-93 1</inkml:trace>
  <inkml:trace contextRef="#ctx0" brushRef="#br0" timeOffset="9617.94">6175 339,'3'0,"4"0,5 0,2 0,3 0,1 0,2 0,0 0,-1 0,1 3,-4 0</inkml:trace>
  <inkml:trace contextRef="#ctx0" brushRef="#br0" timeOffset="9994.57">6272 175,'3'0,"4"3,5 4,2 1,7 2,-2 2,0 0,3 0,2-2,-2-2,-1-3,1-2,-2-2,-4 0</inkml:trace>
  <inkml:trace contextRef="#ctx0" brushRef="#br0" timeOffset="10387.09">6895 236,'200'-10,"-141"5,60 2,-101 3</inkml:trace>
  <inkml:trace contextRef="#ctx0" brushRef="#br0" timeOffset="10714.5">7178 219,'-3'6,"-5"2,-3 8,-3 8,-3 12,-2 6,-4 5,0-2,-8-1,0-3,1-7,-6-8,0-10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18:43.336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0 912,'24'-77,"4"1,57-109,102-127,-184 307,10-13,25-31,-37 48,0 0,-1 0,1 1,0-1,0 0,-1 1,1-1,0 0,0 1,0-1,0 1,0 0,0-1,1 0,-1 1,-1 0,0 1,1-1,-1 0,0 0,1 0,-1 0,0 0,1 0,-1 0,0 1,1-1,-1 0,0 0,0 0,1 1,-1-1,0 0,0 0,1 1,-1-1,0 0,0 1,0-1,0 0,1 1,5 28,-1 177,2 33,-4-212,1-7</inkml:trace>
  <inkml:trace contextRef="#ctx0" brushRef="#br0" timeOffset="421.76">99 568,'3'0,"6"0,2 0,10 0,8 0,3 0,1 0,-1 0,-3 0,-4 0,-1 0,-3 0,-5 0</inkml:trace>
  <inkml:trace contextRef="#ctx0" brushRef="#br0" timeOffset="809.28">960 79,'0'6,"0"10,-3 10,-4 12,-8 8,-4 13,-9 3,-3-1,-2 3,1 7,2-9,4-7,3 0,6-7,3-22,14-35,5-15</inkml:trace>
  <inkml:trace contextRef="#ctx0" brushRef="#br0" timeOffset="1409.92">1100 1,'0'3,"0"-1,0 1,1 0,-1-1,0 1,1-1,0 0,0 1,0-1,0 0,0 1,0-1,1 0,-1 1,1-1,-1 0,1 0,0 0,3 2,-1-1,0-1,1 0,-1 0,1 0,-1-1,1 1,-1-1,1 1,0-1,6 0,5 0,2 0,-2-1,1-1,0-1,23-5,-6 0,-13 2,-1 1,1 0,40-1,-59 5,-1 1,1-1,0 0,-1 0,1 1,0-1,-1 1,1 0,-1-1,1 1,-1 0,1 0,-1 0,1 0,-1 0,0 0,0 0,1 1,-1-1,0 0,0 1,0-1,-1 0,1 0,0 1,0-1,-1 1,2-1,-2 1,1 2,1 6,-1 0,0-1,0 1,-2 9,1-5,1 60,-4 1,-5-1,-2 0,-3 0,-25 75,24-109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9T15:25:44.462"/>
    </inkml:context>
    <inkml:brush xml:id="br0">
      <inkml:brushProperty name="width" value="0.05" units="cm"/>
      <inkml:brushProperty name="height" value="0.05" units="cm"/>
      <inkml:brushProperty name="ignorePressure" value="1"/>
    </inkml:brush>
    <inkml:brush xml:id="br1">
      <inkml:brushProperty name="width" value="0.05" units="cm"/>
      <inkml:brushProperty name="height" value="0.05" units="cm"/>
      <inkml:brushProperty name="color" value="#E71224"/>
      <inkml:brushProperty name="ignorePressure" value="1"/>
    </inkml:brush>
    <inkml:brush xml:id="br2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1498 930,'-14'9,"2"0,-2 0,1 1,-14 16,-43 47,54-55,2 0,1 1,0 2,1-1,1 1,0 0,2 1,1 1,0-2,-6 38,13-53,0-1,0-1,0 3,1-2,0 2,0-2,0 0,1 2,0-3,0 1,0 2,1-2,0 0,0 1,0-1,0-1,1 1,0 0,0-1,0 2,1-2,0 0,-1 1,1-2,1 0,-1 0,0 2,1-2,0-1,0 1,0-1,0 1,0-1,6 2,6 1,2-2,-1 1,1-1,32 0,73-9,-118 5,0 0,0-1,0 1,0 0,0-1,0 0,0-1,0 1,-1-2,1 1,-1-1,0 1,0-2,0 1,-1 0,8-8,-7 5,-1-1,1-1,-1 3,-1-3,0 2,0-2,-1 1,0 0,0-1,0 0,0-15,-1 5,0 0,-2 0,0-1,-6-33,4 43,1 1,-1-1,0 0,-1 2,0-1,-1-1,0 2,0-1,-1 2,-13-16,-5 0,3 3</inkml:trace>
  <inkml:trace contextRef="#ctx0" brushRef="#br0" timeOffset="352">1917 0</inkml:trace>
  <inkml:trace contextRef="#ctx0" brushRef="#br0" timeOffset="708">1917 642</inkml:trace>
  <inkml:trace contextRef="#ctx0" brushRef="#br0" timeOffset="-1600">130 137,'0'15,"-11"28,-3 20,0 11,-3 8,2 2,-2 1,2-4,3 2,4-5,4-4,1 12,3 7,0-8,1-8,-1-15</inkml:trace>
  <inkml:trace contextRef="#ctx0" brushRef="#br0" timeOffset="-1168.08">564 205,'0'1049,"0"-1022</inkml:trace>
  <inkml:trace contextRef="#ctx0" brushRef="#br0" timeOffset="-751.68">103 753,'16'0,"16"4,18 9,7 6,4 0,2-3,-3-4,-9-4,-11-4</inkml:trace>
  <inkml:trace contextRef="#ctx0" brushRef="#br0" timeOffset="1076">3606 726,'0'6,"0"17,0 25,0 11,-11 16,-14 23,-14 10,-5 1,0-11,1-17,8-22</inkml:trace>
  <inkml:trace contextRef="#ctx0" brushRef="#br0" timeOffset="2042.87">3574 684,'1'6,"0"-1,-1 0,2 1,-1-1,1-1,4 11,0 1,12 31,2 0,2-2,34 51,-39-70,1-1,2 0,-1-3,3 2,0-3,38 29,-51-44,1 1,1-2,-1-1,1 1,0-1,0 0,0 0,0-1,1-1,-1 0,1-1,0 0,-1-1,24-2,-29 1,0-1,0 0,0-1,0 1,-1-1,1 0,-1-1,1 1,-1-1,0 1,0-1,0-1,5-6,7-9,27-42,-36 49,100-163,-87 137,-2 0,23-68,-36 93,-6 14,0 0,0 0,0 0,1 0,-1 0,0 0,0 0,0 0,0 0,0-1,0 1,0 0,0 0,0 0,1 0,-1 0,0 0,0 0,0 0,0 0,0 0,0 0,0 0,1 0,-1 0,0 0,0 0,0 0,0 0,0 0,0 0,0 1,0-1,1 0,-1 0,0 0,0 0,0 0,0 0,0 0,0 0,0 0,0 0,0 0,0 0,0 0,0 0,0 0,0 0,1 0,-1 0,0 0,0 0,0 1,5 27,-3-20,41 220,-33-192,1-2,2 0,1 0,29 48,-11-35,2 1,2-2,3-2,1-1,1-3,2 0,72 46,-83-68,-8-9</inkml:trace>
  <inkml:trace contextRef="#ctx0" brushRef="#br0" timeOffset="3248">5961 747,'0'0,"1"0,-1-1,1 1,-1 0,0 0,1 0,-1-1,0 1,1 0,-1 0,0-1,1 1,-1 0,0-1,1 1,-1 0,0-1,0 1,0-1,1 1,-1 0,0-1,0 1,0-1,0 1,0 0,0-1,0 1,0 0,0 0,0-1,0 1,0 0,0-1,0 1,0-1,0 1,0 0,-1-1,1 1,0-1,0 1,-1 0,1-1,0 1,0 0,-1-1,1 1,0 0,-1-1,1 1,0 0,-1 0,1 0,0-1,-1 1,1 0,-1 0,1 0,-1 0,1 0,0 0,-1-1,1 1,-1 0,1 0,-1 0,0 1,16-5,-1 0,1 1,0 1,0 1,0 0,25 2,-13-1,271 1,-271-1</inkml:trace>
  <inkml:trace contextRef="#ctx0" brushRef="#br0" timeOffset="3750">5800 1355,'6'0,"7"-5,18-12,14-4,16 3,9 3,2 6,1 4,-7 1,-9 3,-9 2,-7-1,-6 1,-2 0,-8 0</inkml:trace>
  <inkml:trace contextRef="#ctx0" brushRef="#br0" timeOffset="4999">7514 259,'11'0,"-1"-1,0-2,0 1,11-4,16-2,2 0,47-19,-60 18,-1 0,0 2,1 1,0 3,39-4,-61 7,-1 0,1 0,-1 0,1 1,-1-1,0 1,1 0,-1 0,0 0,0 1,1-2,-1 2,0 0,0 0,-1 0,1 0,0 0,2 3,-1 1,-1-1,0 0,0 0,-1-1,0 1,1 0,-2 2,1-2,-1 1,2 7,1 18,-1 2,-2-1,-1 0,-1 0,-2 0,-1-1,-9 35,11-58,-1 0,0 0,0 0,-1-1,0 1,0-1,0 0,-1 0,0 0,-1 0,1-2,-1 1,-12 9,17-14,0 0,0-1,1 1,-1 0,0 0,0-1,1 1,-1 0,1 0,-1 0,1 0,-1 0,1 0,-1-1,1 2,0-1,0-1,0 1,0-1,0 0,0 1,0-1,0 1,1-1,-1 0,0 1,0-1,1 0,-1 1,0-1,0 0,1 1,-1-1,0 0,1 0,-1 1,0-1,1 0,-1 0,1 0,-1 0,1 1,5 0,-1 0,1 0,0 0,8-1,268 29,-3 24,-77-2,-196-48,0-2,0 1,0 1,0 0,-1 0,1 1,0-1,5 6,-9-7,1 2,-1-2,0 0,0 1,0 0,0 0,-1 0,1 1,-1-1,0 0,0 2,0-2,0 0,-1 1,1-2,-1 6,0 2,0 1,-1-2,0 1,-1 1,0-1,-1-1,1 1,-2 0,-5 11,-4 3,-1 0,-20 26,7-14,-2-2,-2-1,-2-1,0-2,-2-1,-1-3,-2 0,-49 25,-2-6,-3-3,-153 46,116-50,-163 28,187-51</inkml:trace>
  <inkml:trace contextRef="#ctx0" brushRef="#br0" timeOffset="5815.16">9494 214,'-9'12,"1"-1,1-1,-1 2,2 0,-7 14,-12 22,3-16,17-25,0 1,0-2,0 1,1 1,0 1,-4 11,8-19,0 0,0 0,0 0,0 0,0 1,0-1,0 0,0 1,0-1,0 1,0-1,0 0,1 0,-1 0,1 0,-1 0,1 0,-1 0,1 0,0 0,0 0,-1 0,1 0,0 0,0-1,0 1,0 0,0-1,0 1,0-1,0 0,2 1,4 2,1 0,-1-1,14 4,-12-4,246 40,-164-31,97 26,-171-32,-1-1,0 2,18 9,-27-12,-1 2,0-1,0 0,0 0,0 1,-1 0,0 0,0 2,9 10,-4-1,0-1,-1 3,1-2,-2 1,-2 1,1 0,-2 0,0 0,-2 0,0 1,2 38,-6-52,1 0,-1-1,0 1,0 1,0-1,-1 0,0 0,0 0,0-2,0 2,-1 0,-4 6,1-4,0 0,0-2,-2 2,1-1,0-1,-13 8,-7 1,-1-1,-1 0,-34 7,46-15,-45 13,-1-3,-93 11,-132-7,272-19,-115-2,119 1,0 0,0-2,0 1,1-2,-1 0,1 0,0 0,-18-10,2-7</inkml:trace>
  <inkml:trace contextRef="#ctx0" brushRef="#br0" timeOffset="6326.95">9425 81,'11'0,"9"0,7 0,9 0,10 0,7 0,6 0,-3 0,2 0,1 0,17 0,7 0,4 0,1 0,0 0,-11 0,-11 0,-17 0</inkml:trace>
  <inkml:trace contextRef="#ctx0" brushRef="#br0" timeOffset="7074.87">11881 140,'0'-1,"0"0,-1 0,1 0,-1-1,1 1,-1 0,0 1,1-1,-1 0,0 0,0 0,1 0,-1 1,0-2,0 1,-1 0,1 1,0-1,0 0,0 1,-1-1,1 1,0-1,0 1,0 0,-3-1,-33-4,27 5,0 1,1 0,-1 1,1 0,0 0,0 1,0 1,-16 7,-6 6,-29 23,54-37,-53 39,-88 81,-41 65,149-148,-122 134,128-131,0 0,-35 64,64-101,0 1,1 1,-1-1,1 0,1 0,0 1,0 0,0-1,1 1,0 0,0 0,1 0,0-1,0 1,1 0,0 0,0 0,1-1,0 2,1-3,-1 2,1-1,8 15,-1-6,2 1,-1-3,2 2,0-2,0 1,26 19,-18-17,2-1,0-1,1 0,30 11,-39-21,1 1,0-3,0 1,0-1,32 2,83-7,-79-1,-43 3,0-1,0 0,-1-1,1 0,-1 0,1 0,-1-1,1 0,-1-1,0 0,0-2,-1 1,0 0,0 0,0 0,-1-1,0-1,0 0,0 0,-1 0,0 0,7-14,1-5,-1-1,-3-1,0 1,-1-1,7-46,-1-12,-5-2,-3 2,-11-170,3 238,-1 0,0 1,-1-1,-1 2,-1-1,0 1,-1-1,-1 1,-1 1,-11-17,-25-33</inkml:trace>
  <inkml:trace contextRef="#ctx0" brushRef="#br0" timeOffset="9629">1816 3225,'6'-1,"1"1,-1-1,0 0,1 0,-1-1,0 0,0 0,7-4,48-28,-24 12,43-22,1 4,117-41,-187 77,0 1,0 0,0 0,20-1,-29 4,0 0,0 0,0 0,1 0,-1 0,0 0,0 1,0-1,0 1,0-1,0 1,0 0,0 0,0 0,0 0,0 0,0 0,-1 1,1-1,-1 1,1-1,-1 1,1-1,-1 1,0 0,0 0,1 0,-1 0,-1 0,0 0,2 2,1 14,-1 2,0-1,-1 1,-2-2,0 2,-4 20,2-13,0 6,-3 0,-2-1,-1 0,-1 0,-2 0,-26 48,18-44</inkml:trace>
  <inkml:trace contextRef="#ctx0" brushRef="#br0" timeOffset="9995.27">2871 2925</inkml:trace>
  <inkml:trace contextRef="#ctx0" brushRef="#br0" timeOffset="10361.84">2942 3499</inkml:trace>
  <inkml:trace contextRef="#ctx0" brushRef="#br0" timeOffset="8048">473 2591,'0'4,"-5"9,-8 15,-7 16,-4 10,-5 5,-2 21,4 6,1-6,5-12,6-12,6-10,4-13</inkml:trace>
  <inkml:trace contextRef="#ctx0" brushRef="#br0" timeOffset="8565.9">1098 2659,'0'4,"0"8,0 18,0 18,-6 14,-6-1,-13 5,-7 3,-3-4,-2 0,1-5,1-6,0-8,3-12,5-12</inkml:trace>
  <inkml:trace contextRef="#ctx0" brushRef="#br0" timeOffset="8917.71">350 3089,'6'0,"6"0,13 0,7 0,9 0,7 0,2 0,-2 0,-5 0,-3 0,-4 0,-8 0</inkml:trace>
  <inkml:trace contextRef="#ctx0" brushRef="#br0" timeOffset="13899">3994 2994,'0'5,"0"19,-11 22,-15 20,-19 21,-13 7,-7 0,-3-2,-2-9,6-7,14-11,15-13,14-13</inkml:trace>
  <inkml:trace contextRef="#ctx0" brushRef="#br0" timeOffset="15016.03">3994 3022,'10'12,"-1"2,0 0,-1 0,0 0,-1 1,9 28,-4-14,7 18,51 113,-68-156,1 0,0 1,0 0,0 0,0-1,1 0,0 0,-1 0,1-1,1 1,-1-1,1 0,-1 0,1-1,0 1,0-1,0 1,0-2,0 1,0-1,0 0,1 0,0-1,-1 1,1-1,-1 0,0-1,1 1,-1-1,0 0,0-1,1 1,-1-2,0 1,0 0,7-5,0-2,1 0,-1-1,-1-1,0 0,0 1,-1-3,0 1,-1-1,-1-1,0 1,-1-1,8-18,54-134,-58 135,-9 24,0 0,1 1,-1 1,1-1,4-7,-7 12,1 0,-1 1,1-1,-1 1,1-1,-1 0,1 1,-1 0,1-1,-1 1,1-1,0 1,-1 0,1-1,0 1,-1 0,1 0,0-1,0 1,-1 0,1 0,0 0,-1 0,1 0,1 0,-1 0,-1 0,2 1,0-1,0 1,0 0,-1 0,1 0,0 1,0-1,-1 0,1 1,-1-1,2 2,5 8,0-2,9 21,-15-26,69 144,-47-94,33 56,-35-74,-5-7</inkml:trace>
  <inkml:trace contextRef="#ctx0" brushRef="#br0" timeOffset="19275">12430 2779,'-4'-3,"0"0,0 0,0 0,0 1,0-1,-1 1,1 0,-2 0,1 1,1-1,-1 1,0 0,0-1,0 2,0-1,0 1,-6 1,-2 1,1-1,1 1,-1 1,1 0,-22 8,12-1,2-1,0 3,0 1,1-2,-1 4,2-1,1 2,-24 27,21-20,1 1,1 0,2 0,2 2,0 0,-12 34,18-40,1 0,1 1,0 0,2 1,0-1,1 24,2-31,1-3,0 3,1-2,0-1,1 2,0 0,1-2,0 1,1 0,1-1,10 18,-4-12,1 0,0 0,2-2,0 1,2-3,-1 2,1-4,0 1,1 0,1-1,1-3,-1 2,1-2,0-1,0 0,0-3,1 1,1-2,24 1,101-3,-119-3,1 0,-2-2,34-10,-54 12,1 0,-2-1,0 0,1 0,-1-1,0 0,0 0,0-2,0 3,-1-2,0 0,5-8,-3 4,-1 1,0-1,0-2,-1 1,-1 0,0 0,5-14,-1-12,-2-1,-1-1,0-64,-5 86,1 7,-1-1,0-1,0 2,-1 0,0-2,-1 2,0 0,-1-1,0 1,0-1,-1 1,0 1,-1-1,0 1,0 0,-9-10,-13-12</inkml:trace>
  <inkml:trace contextRef="#ctx0" brushRef="#br0" timeOffset="16012">6228 2688,'6'1,"0"0,1 0,-1 1,0 0,0 0,0 1,0 0,1-1,-2 1,1 1,-1 0,0 1,8 7,4 1,19 17,1-3,1-1,2-2,66 29,-47-32,0-4,97 17,127 0,-203-26,-69-7,0 0,0 1,0 0,0 1,14 5,-23-7,0 0,0 0,0 0,0 1,0-1,0 1,0-2,0 2,-1 1,1-1,0 0,-1 0,0 0,1 0,-1 0,0 0,0 0,0 1,0-1,0 0,-1 1,1 0,-1 0,0-2,1 2,-1-1,0 1,0-1,-1 5,-1 0,1 1,-1-3,0 2,-1 0,1 0,-1-1,-1 0,1-1,-1 1,0 1,0-2,-8 9,-10 7,-38 30,37-33,-20 18,-68 43,95-69,-1 1,0-4,-1 1,0-1,0 0,0-2,-1-1,-21 3,21-7,1 2,-1 1,0 2,1 0,-35 14,43-15,-1 0,-1-1,1 0,-17 2,4-2</inkml:trace>
  <inkml:trace contextRef="#ctx0" brushRef="#br0" timeOffset="17152.09">7966 2721,'0'-1,"-1"1,1 0,0-1,0 1,-1 0,1-1,0 1,0-2,0 2,0 0,-1-1,1 1,0-1,0 1,0-1,0 1,0 0,0-1,0 1,0-1,0 1,0-1,0 1,0 0,1-1,-1 1,0-1,0 1,0-1,1 1,-1 0,0-1,0 1,1 0,-1-1,0 1,0 0,1 0,-1 0,0 0,1 0,-1 0,1-1,-1 1,0 0,1 0,-1 0,1 0,-1-1,0 1,2 0,25-8,18 3,-1 0,2 3,50 7,-69-3,-1 1,0 2,40 11,-53-11,-1 0,0 0,0 0,0 2,0-2,-1 4,0-2,1 2,9 10,-16-13,0 0,-1 1,0-1,0-1,-1 2,0 0,0 1,0-1,-1 0,1-1,-2 2,1 0,-1-1,0 1,-1-1,0 1,0-1,-1 10,0-11,0 1,0 0,-1 1,0-2,0 0,-1 1,0-1,0 1,0 0,0-1,-1-2,0 2,-1 1,1-2,-1 0,0 0,0-1,0 1,-9 4,-13 4,0 0,-1-3,0 0,0-1,-31 4,-22 7,77-19,1 0,-1 1,1-1,-1 0,1 1,-1 0,1 0,-1 0,-4 3,8-5,0 0,0 0,0 1,-1-1,1 0,0 1,0-1,0 0,0 1,-1-1,1 0,0 1,0-1,0 0,0 1,0-1,0 0,0 1,0-1,0 2,0-2,0 0,0 1,0-1,0 0,1 1,-1-1,0 0,0 1,0-1,0 0,1 1,-1-1,0 0,1 1,0 0,1 1,0-1,0 0,2 1,-2-1,0 0,0 0,1-1,2 2,203 44,-73-21,-24 0,-2 5,141 60,-240-86,0 2,0-1,-1 1,0-1,14 13,-20-15,0 0,-1 0,1 0,-1 0,0 0,1 0,-2 2,1-1,0 0,-1 0,1-1,-1 1,0 0,0 0,-1 1,1-1,-1 0,0 5,-1 5,0-3,-1 1,0 1,-1-2,0 2,-1-1,0-2,-1 2,0 0,-1-3,0 3,-1-2,0 1,-10 11,1-4,0-3,0 1,-2-2,1 1,-2-2,-36 19,19-15,-1-2,-1-1,0-3,0-1,0-1,-1-3,0-2,-57-1,35-5,1-1,-1-5,1-2,-100-31,21-10,90 29</inkml:trace>
  <inkml:trace contextRef="#ctx0" brushRef="#br0" timeOffset="18041.73">9805 2761,'0'14,"-1"0,-1 0,0 1,-1-2,-6 18,-28 64,24-64,-16 47,28-75,0 0,1 0,-1 0,0 1,1-2,0 1,0 0,0 0,0 1,0-1,0 0,1 0,-1 1,1-1,0 0,0-1,0 1,0-1,3 5,-1-3,1-1,-1 1,0-1,2 0,-1 0,0-1,0 0,0 1,0-1,0-2,0 2,6 1,37 9,-1-3,2-2,86 1,-19-2,116 22,-179-20,-1 4,70 25,-112-34,-1 1,0-1,0 1,-1 1,1-2,0 3,-2 0,1 0,0 0,8 10,-11-10,0 0,0 0,-1 0,0 1,0-1,-1 0,0 1,0 0,0 1,-1-2,0 0,0 1,-1 15,0-2,0-1,-2 1,-4 21,5-34,-1 0,0-2,0 2,0-1,-1 1,0 0,0-2,-1 0,1 1,-1 0,0 0,-9 7,0-2,-2-1,1 0,-1 0,0-3,0 1,-1-2,0 2,0-3,-29 5,-13 0,-87 4,-69-5,-1-9,-293-39,429 25,-87-27,75 12</inkml:trace>
  <inkml:trace contextRef="#ctx0" brushRef="#br0" timeOffset="18615.34">9621 2659,'1271'0,"-1233"0</inkml:trace>
  <inkml:trace contextRef="#ctx0" brushRef="#br0" timeOffset="26119">7074 5169,'-15'500,"1"-101,-36 1348,43-392,8-1348,65 786,-58-730,56 400,-5-146,-21-130,-20-67,5 163,-21 121,-2-353,3 12,2 0,27 116,-11-67,17 257,-12-65,14-67,10 88,-35-189,8 135,-19-222,2-1,19 72,-7-33,-3-12,29 175,-35-180,1 112,-10-169,1-1,0 1,1-1,0 0,7 22,29 55,-33-78,-4-9,5 8,-3 2,7 16,-9-26,-1-1,1 1,-1 0,1 0,-1-1,1 1,-1 0,0 0,0 0,0-1,0 1,0 0,-1 0,1 0,0-1,-1 1,1-1,-1 0,0 1,0 0,1-1,-1 1,0-1,0 1,0-1,-2 2,2-2,0-1,0 1,0-1,0 0,0 1,-1-1,1 0,0 0,0 0,-1 0,1 0,0 0,-1 0,1-1,0 1,0 0,0-1,-1 1,1-1,-1 0,-57-30,-14-15</inkml:trace>
  <inkml:trace contextRef="#ctx0" brushRef="#br0" timeOffset="27584.94">58 11546,'1693'0,"-1017"28,-233-5,570-10,0-28,667 3,-678 40,139 2,771-26,-1073-5,-343-14,-120 1,754 11,-640 19,128 1,-433-16,383-4,-392-8,-118 4</inkml:trace>
  <inkml:trace contextRef="#ctx0" brushRef="#br0" timeOffset="31562">1024 10723,'807'40,"-557"-22,557 48,-326-59,-292-9,-105 3,100-3,-178 2,-1-1,0 0,1 0,-1 0,0-1,0 0,0 0,0 1,0-2,0 1,0-1,-1-1,6-3,0-4,0 1,0-1,11-18,16-18,-12 22,59-45,-55 47,42-40,-56 47,-1-1,-1 0,0-1,13-23,97-164,-95 163,-4-2,-1 0,24-61,33-148,-68 209,1 2,1-1,3 2,1 0,44-70,-41 76,-2 0,25-64,-19 40,69-172,-81 203,2 0,1 1,24-31,-18 28,31-62,-19 23,42-94,-65 141,1 1,0 0,20-23,15-24,51-110,61-96,-118 212,-2-3,-4-1,42-110,11-79,-10 25,-62 192,2 1,1 1,2 0,1 2,30-37,36-56,-56 78,2 2,68-75,60-29,95-87,-242 224,20-14,1 2,2 0,0 3,1 1,1 2,1 2,61-18,-92 33,36-13,1 1,75-10,-107 23,1 1,-1 0,1 1,0 1,0 1,0 0,0 1,-1 1,1 1,-1 0,27 13,-16-3,-2 0,0 2,-1 1,-1 1,-2 1,1 1,-1 0,29 43,5 20,53 108,-104-187,43 92,37 120,-35-89,25 68,54 131,-27-115,-37-82,130 237,21-16,-75-95,-105-190,37 59,88 115,-76-118,-31-48,84 93,-115-145,-1 2,-2 0,25 44,-4-4,2-1,3-4,96 103,-87-110,86 61,-3-4,-77-59,2-3,129 75,-90-69,142 53,-154-74,2-4,1-4,2-3,-1-5,1-5,119 1,956-18,121 6,-924 30,-123-4,354-15,-564-12</inkml:trace>
  <inkml:trace contextRef="#ctx0" brushRef="#br0" timeOffset="39443">6274 12152,'0'32,"1"6,-2 1,-12 72,4-48,2 0,3 0,5 69,-1-73,0-50,0-1,1-1,0 0,0 2,1-1,0-1,0 1,0 0,1-1,0 0,1 1,0-2,0 1,0 0,1-1,0 0,0 0,1-1,0 1,0 0,0-1,0 0,1-2,0 2,0-2,0 0,0 1,0-1,1-1,-1 1,1-1,8 0,-3 0,2-1,-1 0,0-1,1-1,24-5,-32 4,-1 0,1 0,-1-1,0 0,0 0,0 1,0-2,0 0,-1 1,1-2,-1 1,0-1,-1 0,6-7,9-14,-1-1,21-39,-32 52,-1 1,-1 0,-1-2,0 3,0-3,-1 0,1-23,-3-2,-5-63,1 84,-1-2,0 2,-1-2,-16-35,15 41,-1 0,-1 1,0 0,-1 0,-21-23,25 31,-1 0,0 2,0-1,0 0,-1 1,1 0,-1 0,0 1,0 0,-1 0,1 0,-1 1,1 0,-13-1,-11 1,3 2</inkml:trace>
  <inkml:trace contextRef="#ctx0" brushRef="#br0" timeOffset="63537">9752 11320,'25'375,"-12"-228,-11-87,-3-43,2 0,0 0,0 0,8 28,-5-32</inkml:trace>
  <inkml:trace contextRef="#ctx0" brushRef="#br0" timeOffset="64363.47">9097 12489,'3'-1,"-1"0,1 1,-1-2,1 1,-1 0,1 0,-1-1,0 1,0-1,0 0,0 0,0 0,0 0,2-1,5-7,27-22,1 1,1 2,1 3,2 1,48-24,-87 48,-1 0,1 1,-1-1,1 0,-1 1,1-1,-1 1,1-1,-1 1,1 0,0 0,-1 0,1 0,-1 0,1 0,0 0,-1 0,1 1,-1-1,1 1,-1-1,4 2,-4 0,1 0,-1 0,0 0,0 0,0 0,0 0,0 0,0 0,0 0,-1 0,1 1,-1-1,0 1,0-1,0 4,3 45,-3-2,-11 99,-10-60,17-72,-3 6</inkml:trace>
  <inkml:trace contextRef="#ctx0" brushRef="#br0" timeOffset="64840.71">9640 12489,'0'4,"0"4,0 8,0 5,0 6,0 1,0 7,-3 5,-2-2,1-3,-3-7,-1-6,2-4,2-2</inkml:trace>
  <inkml:trace contextRef="#ctx0" brushRef="#br0" timeOffset="65869.23">10008 12299,'0'-1,"0"1,0 0,0 0,0 0,0 0,0 0,0-1,0 1,0 0,0 0,-1 0,1 0,0 0,0 0,0-1,0 1,0 0,0 0,0 0,-1 0,1 0,0 0,0 0,0 0,0 0,0 0,-1 0,1 0,0 0,0 0,0 0,0 0,0 0,-1 0,1 0,0 0,0 0,0 0,0 0,0 0,-1 0,1 0,0 0,0 0,0 0,0 0,0 0,0 0,-1 1,1-1,0 0,0 0,0 0,0 0,0 0,0 0,0 1,0-1,0 0,-1 0,-10 10,9-7,-14 11,1 2,1-1,0 3,1-1,1 1,-19 37,25-42,0 1,1 0,1 0,0 1,1-1,1 1,0 1,0-2,2 1,2 29,-1-40,1 1,-1 0,1 0,0 0,0-1,1 1,0 0,-1-1,1-1,1 1,-1 0,1 0,-1 0,1-1,0 1,0-1,1 0,5 2,2 2,-1-1,2-1,-1 0,0 0,1-1,13 2,-7-4,1 1,0-2,0 0,32-4,-50 2,1 1,0-1,-1 1,1-1,0 0,-1 1,1-1,-1-1,0 1,1 0,-1-1,0 0,0 1,0-1,0 0,0 0,2-3,-1 1,-1 0,0 0,1-1,-1 2,-1-2,1 0,-1 0,2-9,-1-3,-1-1,-1 0,0 0,-4-19,4 34,-1-1,0 1,1 0,-1 0,-1-1,1 1,0 0,-1-1,0 1,1 0,-1 0,0 0,-1 0,1 1,0 0,-4-3,1 1,0 1,0-1,0 1,-1 1,1-1,-1 1,0 0,-9-3,-8 2,0 1,0 0,-42 2,57 1,-10-1</inkml:trace>
  <inkml:trace contextRef="#ctx0" brushRef="#br0" timeOffset="67052.35">10749 12278,'3'71,"23"126,-22-170,-1-12,1 8,1 28,-4-46,-1 0,0 0,-1 0,1 0,-1 0,0-1,0 1,0 0,-1 0,1 0,-1-1,-3 6,3-8,-1 0,1 0,-1 1,1-1,-1 0,0 0,0-1,0 1,1-1,-2 1,1-1,0 0,0 0,0 0,0-1,-1 1,-3-1,-10 1,0 0,-18-3,14 1,6 1,2 0,-1-1,1 0,-1-1,-24-6,34 7,0-1,1 1,-1-1,0 0,1 0,0 0,-1 0,1-1,0 0,0 1,0-1,1-1,-1 1,1 0,-1-1,1 1,0-1,0 1,1-1,-3-7,1 0,1-1,0 1,1-1,0 0,0 0,2 0,2-19,-3 28,1 1,0 0,-1-1,1 1,0 0,1 0,-1 0,0 0,1 0,-1 0,1 1,-1-1,1 0,0 1,0-1,0 1,0-1,0 1,0 0,0 0,0 0,1 0,-1 0,0 1,0-1,1 0,-1 1,4 0,9-2,1 1,-1 0,21 3,-18-1,19 0,-22 1,-2-1,2-1,0-1,-1 0,1 0,15-5,-16 2,-2 0,0 0,1 1,-2-2,14-7,-22 10,0 0,0-1,0 1,0-1,0 1,-1-1,1 1,-1-1,0 0,0 0,0 0,0-1,0 1,-1-1,1 1,-1-1,0 1,1-7,0-9,-1 0,-2-30,0 32,1-1</inkml:trace>
  <inkml:trace contextRef="#ctx0" brushRef="#br0" timeOffset="69150.63">9496 9285,'0'665,"1"-638,2 0,2 0,9 35,3 16,-5-22,3-2,32 79,12 41,-52-136,-1 1,-3 0,-1 0,-5 62,1-10,3-60,-1 0,-2 0,-1 0,-2 0,-15 55,16-75,1 2,0 0,1-1,1 1,0-1,1 20,2-3,9 45,-7-52</inkml:trace>
  <inkml:trace contextRef="#ctx0" brushRef="#br0" timeOffset="71473.7">5013 10117,'2'0,"0"0,0-1,1 0,-1 1,0-1,0 0,0 0,0 0,-1 0,1 0,0 0,0-1,-1 1,1-1,2-2,24-32,-17 20,23-25,2 1,2 1,45-35,-75 67,1 0,0 1,12-7,-19 12,0 0,-1 1,1-1,0 0,0 1,-1-1,1 1,0-1,0 1,0-1,0 1,0 0,0 0,0 0,-1 0,1 1,0-1,0 0,0 1,0-1,0 1,-1 0,1 0,0-1,0 0,-1 1,3 2,0 2,0 0,0 0,-1 1,0-1,0 1,0-1,0 1,2 11,10 52,-13-59,8 49,-2 2,-1 68,-7-96,-1 0,-2 0,-2 0,-1-1,-14 50,8-52</inkml:trace>
  <inkml:trace contextRef="#ctx0" brushRef="#br0" timeOffset="71989.69">5750 10179,'5'0,"-1"-1,1 0,-1 0,0 0,8-4,14-3,22 4,0 1,67 4,-31 1,-65-1,0 0,25 7,-33-5,9 0</inkml:trace>
  <inkml:trace contextRef="#ctx0" brushRef="#br0" timeOffset="73263.69">7998 9653,'0'28,"0"53,-2-1,-16 91,14-146,-1-2,-2 1,0 0,-1-2,-1 1,-2-1,0-1,-1 1,-1-2,-1 1,-25 27,33-43,1 0,-1-1,0 1,0-1,0 0,0 0,-1-1,1 1,-1-2,0 0,0 0,0 0,-1 0,1-1,0 0,0 0,-1-1,2 0,-1 0,-1-1,1 0,0-1,-1 1,1-1,0 0,0 0,1-1,-1 0,1-1,-8-4,2 0,-10-4,1-2,-36-31,52 40,0 0,0 0,1 1,0-2,0 1,0-1,1 0,-1 0,1-1,1 2,-1-2,1 1,1-1,-1 0,-1-11,3 13,0 0,0 0,0-1,0 2,1-1,0 0,0 0,0 0,1 0,-1 0,4-4,-4 6,1 0,0 1,0-1,1 1,-1 0,0-1,1 1,0 0,-1 1,1-1,0 0,0 1,0-1,0 1,0 0,0 0,0 0,5 0,35-3,0 1,0 1,75 9,-106-7,-1 2,0 1,0 0,0 0,0 1,0 0,15 10,67 45,-67-40,5 2,-2 2,0 2,-1 0,24 31,-19-9,-29-39,1 1,0-1,0-1,1 0,0 0,0 0,11 9,12 8,-17-12</inkml:trace>
  <inkml:trace contextRef="#ctx0" brushRef="#br0" timeOffset="79012">12453 9450,'0'11,"-1"0,-1-1,0 1,-1 0,0 0,0-1,-8 16,-2 0,-25 37,27-44,-1-2,-1 1,0-2,-1 1,-1-2,0 0,-2 0,0-1,0-1,-33 17,-96 45,144-74,-1 1,0-1,1 0,-1 0,1 0,-1 0,0-1,0 1,0-1,1 0,-1 1,0-1,0 0,0-1,0 1,1-1,-1 1,-3-2,1-1,0 0,0 0,0 0,0-1,0 1,1-1,0 0,-4-5,1 2,1 0,0 0,1-1,0 0,0 0,0-1,1 2,0-2,-3-13,4 8,0-1,1 1,1-1,0-1,2-18,-1 26,0 2,0 1,1-1,-1 0,1 0,0 0,3-6,-3 11,0-1,0 0,0 0,0 1,0-1,0 1,0-1,1 1,-1-1,1 1,-1 0,1 0,0 0,-1 0,1 0,0 0,-1 0,1 1,0-1,0 0,0 1,0 0,2-1,5 0,0 1,-1 0,1 0,-1 1,1 0,-1 1,15 4,60 26,-37-13,97 22,-60-20,-77-19,1 0,-1 0,0 1,-1 0,1 1,0-1,-1 1,0 0,8 6,-1 4,-1-1,11 18,-14-20,1 1,0 0,1-2,16 16,15 7,-26-19</inkml:trace>
  <inkml:trace contextRef="#ctx0" brushRef="#br0" timeOffset="80521.98">10409 10221,'-3'11,"-6"13,-3 21,-12 13,-3 10,-6 13,-3 5,-7 6,-3 5,3-6,9-13,10-16,9-18</inkml:trace>
  <inkml:trace contextRef="#ctx0" brushRef="#br0" timeOffset="80935.98">10854 10814,'0'4,"0"8,0 12,0 12,-4 16,-7 7,-7 9,-3 1,-1-6,9-12,8-16</inkml:trace>
  <inkml:trace contextRef="#ctx0" brushRef="#br0" timeOffset="81330.5">11859 10917,'0'4,"0"15,0 14,-4 13,-11 15,-7 10,-3-3,3-7,8-15,6-16</inkml:trace>
  <inkml:trace contextRef="#ctx0" brushRef="#br0" timeOffset="81775">13383 11062,'0'4,"0"3,0 13,-8 20,-5 10,-4 4,-10 3,1-6,3-6,6-8,10-11,16-9,14-7,16-7,21-3,-1 0</inkml:trace>
  <inkml:trace contextRef="#ctx0" brushRef="#br0" timeOffset="82173">14645 11096,'0'4,"4"3,0 6,1 4,-2 5,0 3,-2 5,-3 3,-10 7,-2 1,2-4,-1-5,1-7</inkml:trace>
  <inkml:trace contextRef="#ctx0" brushRef="#br0" timeOffset="82762.84">12970 11078,'-4'4,"-4"4,-8 8,-1 5,-2 6,0 5,-9 4,-2 7,1 3,0 1,3-4,6-14,5-11</inkml:trace>
  <inkml:trace contextRef="#ctx0" brushRef="#br0" timeOffset="83145.88">12680 10952,'-3'0,"-5"6,-5 4,-2 6,-4 0,-5 2,-2 0,0 6,4 0,6 0,6-2</inkml:trace>
  <inkml:trace contextRef="#ctx0" brushRef="#br1" timeOffset="95803">11445 5968,'-20'22,"-22"26,20-18,8-15,-92 109,87-106,-1 1,0-3,-1 0,-28 16,42-27,1 0,0 0,-1 1,2 0,-1-2,1 2,0 1,0-1,1 1,-1 0,-3 9,1-1,2 0,0-1,0 2,-3 26,6-26,1-1,1 0,1 1,0-3,1 3,0 0,10 27,0-11,1-1,27 45,-39-73,1 0,-1 0,1-1,0 0,0 0,0 1,1-1,-1 0,1 0,-1 0,1 0,-1 0,1 0,0-1,0 0,4 2,1-2,-1 1,1-1,0 0,-1-1,15 0,15 0,-12 0,1-1,28-4,-47 4,-1 0,0 1,0-2,0 0,0 0,0-1,0 0,-1 0,1 0,-1 0,0 0,0-1,9-9,-12 11,-1 1,1-2,-1 1,0 0,1-1,-1 0,0 1,-1 0,1 0,0-1,-1 0,1 0,-1 1,0-5,-1-17</inkml:trace>
  <inkml:trace contextRef="#ctx0" brushRef="#br1" timeOffset="96464.76">10820 6107,'5'0,"0"1,0 1,-1-2,1 2,0 0,-1 0,1 0,-1 0,0 0,6 5,15 8,123 46,104 44,-215-91,2-2,0-4,1 1,74 5,-29-16,-70 1</inkml:trace>
  <inkml:trace contextRef="#ctx0" brushRef="#br1" timeOffset="96999.04">12174 6288,'3'0,"5"0,5 4,7 3,3 1,2 4,0-1,2-1,1 4,-1-1,-2-4,-1-3,-2-2,0-2,-1-1,-1-2,-3 1</inkml:trace>
  <inkml:trace contextRef="#ctx0" brushRef="#br1" timeOffset="97447.04">12053 6640,'4'0,"4"0,4 0,5 0,1 0,3 0,4 0,1 0,0 0,-1 0,-1 0,-1 0,-1 0,-2 0,-3 0</inkml:trace>
  <inkml:trace contextRef="#ctx0" brushRef="#br1" timeOffset="98120.29">13022 6386,'1'2,"-1"0,1 0,-1 1,1-1,0 0,0 0,0 0,0 0,0 0,0 0,0-1,1 1,-1-1,1 0,0 1,-1-1,1 1,0-1,0 0,0 1,0-2,2 2,8 4,0-1,20 6,-22-7,12 3,0 0,1-1,0-1,1 0,-1-2,34 1,45-6,-84 2</inkml:trace>
  <inkml:trace contextRef="#ctx0" brushRef="#br1" timeOffset="98963.3">14292 6050,'-6'1,"2"0,-1 1,0 0,1 0,-1 0,0 0,1 1,-1 0,1 0,-7 4,-1 1,-252 164,252-165,-3 2,1 1,0 0,1-1,-18 20,28-25,-1-2,1 2,0 1,1-1,-1 1,1 0,0 0,0 0,0-1,1 1,0-1,0 1,0 0,0 1,1-1,0 0,0-1,2 10,1 0,0-1,2 0,-1 0,2-1,0 1,0-1,1-1,16 21,-20-29,1 1,0-1,0 0,1 0,-1 0,1 0,-1-1,1 1,0-1,8 2,53 9,-47-9,7 1,0 0,0-2,0-1,0-1,45-4,-64 1,0 0,1-1,-1 1,0-2,0 1,-1-1,0 1,0-1,0 0,0 0,0-1,7-8,3-5,0 0,19-30,-24 32,-2 0,0 0,-1 0,0-1,5-22,-9 26,-2 0,0 2,0-2,-2-1,1 3,-2-3,1 1,-5-17,1 10,-1 1,-1 0,-1 0,-17-33,18 41,-1 1,0 0,0 1,-1 0,0-1,0 1,-1 3,0-3,-18-10,15 12,0 3</inkml:trace>
  <inkml:trace contextRef="#ctx0" brushRef="#br1" timeOffset="99364.3">14685 6492,'3'3,"2"5,0 4,-2 4,0 2,-2 4,0 7,-1 4,0 3,-3 3,-2-3,0-4,2-6</inkml:trace>
  <inkml:trace contextRef="#ctx0" brushRef="#br1" timeOffset="100436.29">15064 6007,'37'-7,"-7"2,15 1,329-19,-349 24,-1 2,-1 1,1 1,0 1,-1 0,0 1,43 22,-64-28,1 0,-1 0,1 1,-1-1,1-1,-1 1,0 1,0 0,0 0,0 0,2 3,-3-3,-1-1,1 0,-1 1,1-1,-1 1,0-1,1 1,-1-1,0 1,0-1,0 1,0-1,-1 0,1 1,0-1,0 0,-1 0,1 1,-1-1,0-1,1 2,-1-1,-1 1,-3 7,-1 0,-1-1,0-1,0-1,0 2,-1-1,0-1,-1 0,1-1,-1 1,-19 7,-3 0,0-2,-45 11,35-14,-49 5,2-1,74-7,22-1,26-1,-17-3,0 1,-1 1,1 1,0 0,-1 2,0-1,0 2,15 6,28 21,90 64,-121-78,-20-13,1 1,-1-1,-1 1,1 1,-1-1,0 1,-1 1,0-1,0 1,-1-1,-1 2,1 0,-1-1,-1 0,0 1,0 1,-1-2,-1 1,0 1,0 9,-1-17,0-1,-1 1,1 0,-1 0,0 0,0-1,0 1,0-1,-1 1,1-1,-1 1,1-1,-1 0,0 0,0 0,0 0,0-1,0 0,-1 1,1 0,-1-1,1 1,-1-1,1 0,-1 0,0 0,1 0,-1 0,0-1,-3 1,-11 2,0-1,-1-1,-32-1,26-1,17 1,-31 1,-1-2,2-1,-2-2,-51-12,46 3</inkml:trace>
  <inkml:trace contextRef="#ctx0" brushRef="#br1" timeOffset="101374.38">16436 5736,'139'0,"155"1,-5 24,-285-24,8 0,0 1,0 1,0-1,12 5,-21-6,0 1,-1-1,0 1,1-1,-1 1,1 0,-1 0,0 0,0 0,0 0,0 1,0-1,0 1,0-1,-1 0,1 0,-1 1,0 0,0-1,0 1,1 3,0 12,-1-1,-1 2,0-2,-5 31,1-12,3-19,-1 3,-8 28,7-40,-1 1,1 0,-1 0,0-1,-1 1,-11 14,-9 3,-1 0,-2-1,0-1,-1-3,-35 21,-21 18,80-56,0 0,0-1,1 1,1 1,-1 0,0 0,-5 10,8-14,0 0,1 0,-1 1,0-1,1 1,-1-1,1 1,0-2,-1 2,1-1,0 1,0-1,0 1,0 0,0-1,1 1,-1-1,0 1,1-1,-1 1,1-1,-1 1,1-1,0 1,0-1,0 0,0 0,0 0,0 0,0 0,0 0,0 0,0 0,1 0,-1 0,0 0,2 0,16 8,1-1,0-1,0-2,43 9,-15-4,692 128,-680-127</inkml:trace>
  <inkml:trace contextRef="#ctx0" brushRef="#br1" timeOffset="112268">5647 11331,'0'333,"-1"-322,0 2,-1-1,-4 13,0 0,3-10</inkml:trace>
  <inkml:trace contextRef="#ctx0" brushRef="#br1" timeOffset="113270.34">4785 12050,'3'0,"5"0,5 0,3 0,3 0,1 0,1 0,1 0,-1 0,0 0,1 0,-5 0</inkml:trace>
  <inkml:trace contextRef="#ctx0" brushRef="#br1" timeOffset="114310.84">5298 11986,'-24'-1,"12"1,-1-1,0 2,0 0,0 0,-17 5,26-4,1-1,-1 1,1-1,-1 1,1 0,0-1,-1 2,1-1,0 1,0-1,1 0,-1 1,1 0,-1 1,1-1,0 0,0 1,0-1,1 1,-1 0,1-2,-1 6,0-1,0-1,1 1,0 0,0-2,1 2,0 0,0 0,1 0,-1 0,2-1,-1 0,1 1,0 0,3 7,-2-10,-1 0,1 0,-1 0,1-1,0 1,0 0,1-1,-1 1,1-1,0-1,0 1,0-1,0 1,0-1,1 0,-1 0,1 0,-1-1,1 0,0 0,6 1,14 0,0 0,1-2,-1-1,48-6,-66 6,1-1,-1 0,0 0,-1 0,1-1,0 0,8-4,-12 5,-1 0,1 0,-1 0,1 0,-1 0,0-1,0 1,0-1,0 1,-1 0,1-1,-1 0,0 0,1 1,-1-1,-1 0,1 0,0 0,0-5,0-4,0 1,-1-1,0-1,-3-14,2 24,1 0,-1-1,0 1,0 0,0 1,-1-1,1 1,-1-1,0 0,0 0,1 0,-2 1,1-1,0 1,0-1,-1 1,0 0,1 0,-1 0,-5-1,-7-3</inkml:trace>
  <inkml:trace contextRef="#ctx0" brushRef="#br1" timeOffset="114851.96">5586 12050,'0'7,"0"6,0 4,-4 5,-1 2,-3 2,0-2,-3-4,1-2,3-1,1 0,3-7,1-13,1-16,1-2</inkml:trace>
  <inkml:trace contextRef="#ctx0" brushRef="#br1" timeOffset="116006.45">5678 11833,'24'-7,"-4"0,-12 6,-1 0,1 1,-1 0,1 0,0 1,-1 0,1 0,0 1,-1-1,1 1,-1 1,0-1,1 1,-1 1,-1 0,1 0,-1 0,1 1,-1 0,-1-1,1 2,7 8,9 12,-13-17,0 1,0 0,-1 1,0 0,-1 1,-1-1,10 23,-16-32,1 1,-1 0,0-1,1 1,-1 0,0-1,-1 1,1 0,0-1,-1 1,1-1,-1 0,0 0,0 0,0 1,0-1,-1 0,1 1,0-1,-3 3,-3 2,0 0,0-2,-1 1,-10 7,-13 11,27-21,0 1,0-1,0 0,-1 1,0-1,1-1,-1 1,0-1,0 0,0 0,-1-1,1 0,0 1,-1-1,1-1,-1 1,1-1,-1 0,-10-1,3-4</inkml:trace>
  <inkml:trace contextRef="#ctx0" brushRef="#br1" timeOffset="117058.7">5986 11818,'2'-4,"-1"1,1-1,-1 1,1 0,0 0,0 0,0 0,1 0,-1 1,5-4,2-4,-2 3,0 0,1 0,0 2,0 0,0-1,0 1,0 0,1 1,0-1,0 2,1 1,-1-1,1 0,0 1,0 1,0 1,12-1,-19 1,0 1,1-1,-1 0,0 1,0 1,0-1,0 0,0 1,-1 0,1-1,0 1,-1 0,1 0,-1 0,0 0,1 1,-1-1,-1 1,1 0,0 0,0-1,-1 1,0 0,2 3,2 6,-1 1,0-1,-1-1,2 23,-4-27,0-1,0 1,-1 0,0-2,-1 2,1-2,-1 2,0 0,-1-1,0-1,0 2,0-1,-1-1,0 1,0 0,0-1,-1 0,1 0,-2 0,1 0,-6 5,10-10,0 0,-1 0,1 0,0 0,0 0,-1 0,1 0,0 0,0 0,-1 1,1-1,0 0,0 0,0 0,-1 0,1 1,0-1,0 0,0 0,0 0,0 1,-1-1,1 0,0 0,0 1,0-1,0 0,0 0,0 1,0-1,0 0,0 0,0 1,0-1,0 0,0 0,0 1,0-1,0 0,0 0,0 1,0-1,0 0,0 0,1 1,-1-1,0 0,0 0,0 0,0 1,0-1,1 0,-1 0,0 0,0 0,0 0,1 0,-1 0,25 3,34-6,-40 0,-5-2</inkml:trace>
  <inkml:trace contextRef="#ctx0" brushRef="#br1" timeOffset="127043">12393 10804,'0'4,"0"4,-3 8,-2 3,-3 5,-4-6,0 1,2-2,0 2,1-2,-1-1,1-1,-2 3,-2-1,1 1,-1 2,2 4,2-6</inkml:trace>
  <inkml:trace contextRef="#ctx0" brushRef="#br1" timeOffset="127453">13232 10904,'0'4,"0"6,0 7,0 6,-3 3,-2 0,-3-4,0-6</inkml:trace>
  <inkml:trace contextRef="#ctx0" brushRef="#br1" timeOffset="126143">11096 10613,'0'3,"-4"8,-8 12,-1 6,-7 5,-6 6,-5 7,-9 4,2-1,1-3,-3-1,-3-3,6-7,10-5,5-8,8-8</inkml:trace>
  <inkml:trace contextRef="#ctx0" brushRef="#br1" timeOffset="126531">11606 10827,'0'3,"0"7,0 11,-3 6,-2 7,-6 4,-6-2,-3 0,2-2,1-4,-1-7,3-3,4-8</inkml:trace>
  <inkml:trace contextRef="#ctx0" brushRef="#br1" timeOffset="120490">5417 8379,'0'38,"2"0,0 0,13 50,-6-42,-3 0,3 60,-10 96,-1-80,2 185,1-287,1-1,6 26,-4-23,2 29,-4 328,-3-193,2-53,-3 151,-8-175,-2 35,13 256,-1-383</inkml:trace>
  <inkml:trace contextRef="#ctx0" brushRef="#br1" timeOffset="122255.99">5401 8217,'0'4,"0"4,3 8,2 5,-1 5,0 3,-2-1,-1-4</inkml:trace>
  <inkml:trace contextRef="#ctx0" brushRef="#br1" timeOffset="123783.31">5929 7537,'0'11,"-3"10,-5 19,-8 13,-12 16,-8 6,-6 8,2 0,-2 4,1-6,4-3,6-8,3-12,8-11,3-16,4-11</inkml:trace>
  <inkml:trace contextRef="#ctx0" brushRef="#br1" timeOffset="124439.83">7911 7231,'-14'14,"-19"23,-21 28,-22 28,-26 31,-4 11,-5 14,-10 19,-14 22,6-5,-4 11,-10 12,5-17,1-15,18-31,14-26,25-30,26-30</inkml:trace>
  <inkml:trace contextRef="#ctx0" brushRef="#br1" timeOffset="124930.97">8093 8402,'0'7,"0"16,-11 30,-17 29,-10 18,-21 25,-25 29,-26 26,-25 21,-26 17,2-14,2-12,17-27,19-30,26-32,27-36,23-27</inkml:trace>
  <inkml:trace contextRef="#ctx0" brushRef="#br1" timeOffset="125350.5">8643 9585,'0'6,"-3"14,-5 17,-8 13,-12 22,-16 16,-17 25,-19 30,-17 19,-14 20,-9 2,14-27,23-40</inkml:trace>
  <inkml:trace contextRef="#ctx0" brushRef="#br1" timeOffset="125736.55">9503 10405,'0'11,"-11"20,-10 13,-15 22,-10 12,-20 16,-10 3,-7-1,1-6,8-8,12-19,14-15,14-17</inkml:trace>
  <inkml:trace contextRef="#ctx0" brushRef="#br1" timeOffset="128282">14143 11199</inkml:trace>
  <inkml:trace contextRef="#ctx0" brushRef="#br1" timeOffset="130207">8856 6677,'3'6,"2"10,-1 5,0 2,-1 2,-2-2,0-1,-1 0,0-1,0-1,0 1,0-2,0 2,-1-3,1 3,0-6</inkml:trace>
  <inkml:trace contextRef="#ctx0" brushRef="#br1" timeOffset="132121.16">8925 6598,'0'-1,"1"1,-1-1,1 0,-1 1,1-1,-1 0,1 0,-1 0,1 1,-1-1,1 0,0 0,0 1,-1-1,1 1,0-1,0 1,0-1,0 1,0-1,0 1,-1 0,1 0,0-1,0 1,0 0,2 0,31-4,-30 4,12-1,-4-1,0 1,-1 1,1 0,0 0,0 1,0 1,-1 0,17 5,-25-6,-1 1,0-1,0 1,0-1,0 1,0-1,-1 0,1 1,0 0,-1-1,1 2,-1-1,0 0,0 0,0 1,0-1,0 0,0 1,-1-1,1 1,0 4,0 4,-1 3,-1 24,0-19,0-8,1-4,0 0,0 1,-1-2,0 1,0 0,-4 10,3-15,1 0,0 0,-1 0,1 0,-1 0,1 0,-1-1,0 1,0 0,0-1,0 1,0-1,0 1,-1-1,1 0,0-1,-1 1,1 0,-1-1,1 1,-1-1,-3 1,-33 6,11-2,-35 1,46-5</inkml:trace>
  <inkml:trace contextRef="#ctx0" brushRef="#br2" timeOffset="173793">14679 7589,'-1'40,"-1"0,-3 0,-1 0,-2-1,-1 0,-3 0,-1-1,-29 60,27-70,-2 0,-1-1,-1 0,-2-1,0-2,-2 2,-1-4,0 0,-2-1,-1-1,-32 17,13-9,-98 40,128-61,-1-2,0-1,0 0,0 0,-1-1,1-1,-1-1,2-1,-2 0,-20-3,35 2,0 1,0-1,1 0,-1 0,0 0,0-1,1 1,-1-1,1 1,-1-1,1 0,0 1,-1-1,1 0,0 1,0-2,1 1,-1-1,0 1,1-1,-1 1,1-1,0 0,0 0,0 0,0 0,0-4,-1-8,1 0,0 0,1 1,3-20,-2 20,1-15,2-1,1 0,2 2,1-3,1 3,2 0,1 0,1 0,20-29,-30 52,0 0,0 1,1 1,-1-2,1 2,-1 0,2-1,-1 1,1 0,-1 0,1 0,0 0,0 1,0 0,10-3,-8 4,1 0,0 1,0-1,0 1,0 1,0-1,0 1,0 0,0 1,10 3,-4 1,0 0,-1 1,0 0,0 1,-1 0,22 19,-13-11,221 200,-170-147,-58-55,4 3,29 34,-12-9,11 16,-36-45</inkml:trace>
  <inkml:trace contextRef="#ctx0" brushRef="#br2" timeOffset="176794">16633 9425,'1'91,"-2"102,-18-46,18-127,-8 43,8-58,0 0,0 1,-1-1,0 0,0-1,0 1,-1 0,-4 9,-4-3</inkml:trace>
  <inkml:trace contextRef="#ctx0" brushRef="#br2" timeOffset="177409.43">16670 9300,'4'-1,"-1"0,1-1,-1 1,0-1,0 0,1 0,-1 1,0-1,-1 0,5-6,4-1,-6 6,7-7,0 1,1 0,0 1,0 1,1-1,1 3,-1-1,17-3,-5 2,-1 3,2 1,48-1,-72 5,-1-1,0 0,0 0,1 1,-1 0,0-1,0 1,0 0,0 0,0 0,0 0,0 0,0 1,0-1,0 0,-1 2,1-1,-1-1,1 1,-1 0,0 0,1 0,-1 0,0 0,0 0,0 0,-1 0,1-1,0 1,-1 0,1 2,-1 1,1 9,0-1,-1 1,0 1,-3 16,1-15,0-2,1 0,-2-1,0 1,-1-1,0 1,-7 14,8-22,0 0,-1 0,0 1,0-2,0 1,-1-2,1 1,-1 0,-1 1,1-2,-1 0,0 0,0 0,-7 2,-7 3,-1-1,0-2,-1 0,-30 3,-93 4,100-11,6-1</inkml:trace>
  <inkml:trace contextRef="#ctx0" brushRef="#br2" timeOffset="178069.78">17363 9373,'19'0,"1"1,-1 1,1 1,-1 1,36 10,-14-1,1-3,73 9,87-6,-30-1,-167-12,38 6,-41-5,0-1,1 1,-1 0,0-1,1 1,-1 0,0 1,0-1,0-1,0 2,0-1,0 1,2 2,-4-4,1 1,-1 0,1 0,-1 0,0 0,1 0,-1 1,0-1,0-1,1 1,-1 0,0 0,0 0,0 0,0 0,0 0,-1 0,1 0,0 0,0 0,-1 0,1 0,0 0,-1-1,1 1,-1 0,1 0,-2 1,-20 21,0-8,0 0,-2-2,0 0,0-2,-28 11,26-12,-151 57,-194 45,335-103</inkml:trace>
  <inkml:trace contextRef="#ctx0" brushRef="#br2" timeOffset="179093.83">19018 8815,'1'0,"1"0,-1 0,1 1,0-1,-1 1,1-1,-1 1,1 0,-1-1,1 1,-1 0,0 0,1 0,-1 1,0-1,0 0,0 1,0-1,0 0,0 1,0-1,1 1,15 38,-14-30,5 15,-1 2,-2 0,1 0,0 32,-4 111,-4-133,-1 0,-3 0,-1 0,-1 0,-2-1,-2 0,-20 45,18-52,-1-2,-1 0,-1 0,-1-1,-1-1,-2-1,1-1,-3-1,-25 20,40-35,-1-2,1 1,-1-1,1-1,-2 1,-17 6,23-10,0 0,0 0,0-1,0 0,0 1,0-1,0-1,0 1,0-1,0 1,0-1,1 0,-1-1,0 1,0-1,1 1,-1-1,1 0,0 0,-5-4,-5-6,1 0,0-1,0 1,2-3,-2 2,-9-23,5 5,0-1,-12-40,21 53,0-3,2 1,0 0,2-1,0 0,0-35,4 49,0-1,0 0,0 1,1-1,1 1,-1-1,1 1,6-12,-6 15,0 0,1 1,0-1,0 0,0-1,1 2,-1 0,1 0,0 0,0 1,0 0,1-1,5-1,14-5,2 1,0 2,0 0,1 2,-1 1,1 1,55 2,-72 2,2 1,-2-1,1 2,-2-1,1 2,0-1,-1 2,1-1,-1 1,0 1,0 0,17 14,-11-6,-1 2,0-2,-1 3,-1-2,-1 3,15 24,25 39,3-2,2-4,111 110,-133-150,1-1,2-2,0-1,3-2,73 41,-64-48</inkml:trace>
  <inkml:trace contextRef="#ctx0" brushRef="#br2" timeOffset="174662">16183 7803,'-2'0,"0"1,0-1,0 1,0 0,0 0,0-1,0 1,0 0,1 0,-1 0,0 0,0 0,1 0,-1 1,-1 2,-8 6,-204 142,133-106,52-31,-45 32,72-45,1-1,-1 1,1 1,0-1,0 0,0 1,0-1,0 1,0-2,1 2,-1-1,1 1,0-1,0 1,0 0,-1 4,2-4,0-1,0 1,0 0,1-1,-1 1,1 0,-1-3,1 3,0-1,0 1,0-1,0 0,1 1,-1-1,1 0,-1 0,1 0,0 0,3 3,8 5,-1 0,2-1,0 1,0-3,0 1,1-2,0 1,27 7,12 0,67 9,-19-12,-2-2,131-8,-205-2</inkml:trace>
  <inkml:trace contextRef="#ctx0" brushRef="#br2" timeOffset="175104.67">17084 7687,'4'0,"4"10,1 17,2 14,0 13,1 16,-2 4,-1-2,-4-8,-2-8,-1-9,-2-9,0-9,0-9</inkml:trace>
  <inkml:trace contextRef="#ctx0" brushRef="#br2" timeOffset="175855.84">17152 7653,'0'-4,"1"0,0-1,0 1,0 1,0-1,1 0,0 1,0-1,0 0,0 0,0 1,1-1,-1 1,1-1,0 1,6-4,4-3,1-1,25-13,-14 10,2 2,-1 2,1 0,1 1,0 2,0 0,38-2,202-3,-265 12,142 3,-117 0,0 0,-1 0,35 11,-58-12,1 0,0 0,0 1,-1 0,0-1,1 1,-1 1,0-1,0 1,-1-2,1 1,-1 1,0 1,0-1,0 1,0-1,-1 1,0 0,0 0,0-2,0 2,0 7,0-5,-1 0,0-1,0 0,-1 2,0-1,0 0,-1 0,0 0,0-1,-1 1,0 0,0 0,0-1,-1 0,-6 11,1-6,0-1,-1 0,-1-1,0 1,0-2,0 1,-1-1,-14 6,0 0,-2 0,-47 15,53-22,-2-1,0-1,0-3,-35 4,-94-7,89-1,-219-1,247 3</inkml:trace>
  <inkml:trace contextRef="#ctx0" brushRef="#br2" timeOffset="180141">16826 10574,'3'0,"5"2,5 2,0 11,-2 15,-4 24,-2 16,-2 16,-2 13,0 1,-5 0,-5-11,-12-9,-5-10,-2-8,-1-15,6-13,6-13</inkml:trace>
  <inkml:trace contextRef="#ctx0" brushRef="#br2" timeOffset="180640.64">17250 10672,'1'1,"0"0,0 0,1 0,-1 0,0 0,0 0,0 0,-1 0,1 0,0 1,0-1,-1 0,1 1,0-2,-1 1,1 1,-1-1,1 3,-1-3,6 21,0-1,-2 1,2 33,-3 69,-5-77,-2 0,-2 0,-14 49,-48 135,23-89,40-122,5-16,-1 1,-1 0,1 0,-1 0,0-1,0 0,-3 6,5-10,0 0,0 0,0 0,-1 0,1 0,0 0,0 0,0 0,0 0,0 0,0 1,0-1,-1 0,1 0,0 0,0 0,0 0,0 0,0 0,0 0,-1 0,1-1,0 1,0 0,0 0,0 0,0 0,0 0,0 0,0 0,-1 0,1 0,0 0,0 0,0 0,0 0,0 0,0-1,0 1,0 0,0 0,0 0,0 0,0 0,-1 0,1 0,0-1,0 1,0 0,0 0,0 0,0 0,0 0,0 0,0-1,0 1,0 0,0 0,0 0,1 0,-1 0,0 0,0 0,0-1,-2-14</inkml:trace>
  <inkml:trace contextRef="#ctx0" brushRef="#br2" timeOffset="181040.1">17020 11241,'4'0,"4"0,5 0,3 0,3 0,2 0,4 0,2 0,3 0,3 0,0 0,-2 0,-3 0,-6 0</inkml:trace>
  <inkml:trace contextRef="#ctx0" brushRef="#br2" timeOffset="181814.66">17892 11314,'-24'0,"1"1,0 1,0 1,0 1,0 1,-40 14,47-12,2-1,-1 2,1-1,0 2,1 0,0 0,1 1,1 1,-1 1,-13 16,16-18,2 0,0 0,0 1,1 0,0 0,-5 16,9-22,1 1,0-1,0 0,0 1,1 0,0 0,0-1,0 1,1-1,0 0,0 1,1 0,-1-1,1 0,1 0,2 7,2-2,0 0,0 1,1-1,1 0,0-2,0 1,1 0,0 0,-1-2,2-1,0 1,0 0,1-1,0-1,0 0,24 4,-4-1,0-1,0-3,1 0,0-2,50-3,-61-1,0-1,0-1,0-1,-1 0,1-2,-1 1,-1-2,1-2,-2 0,1 0,-1-1,-1-2,32-27,-47 36,1 0,-1 1,-1-1,1 0,0 0,-1 1,0-2,0 1,0-1,-1 1,0 0,1-1,-1-8,1-5,-1 1,-3-23,1 13,1-13,-1-38,1 69,-2-1,1 1,-1 0,-1 0,-6-17,8 24,0 0,0 0,0 0,-1 0,1 0,0 2,-1-2,1 0,-1 1,0-1,0 1,1-1,-1 1,0 0,0 0,0 0,0 0,0 0,0 0,0 1,-4 0,-19-2</inkml:trace>
  <inkml:trace contextRef="#ctx0" brushRef="#br2" timeOffset="183684.55">18170 11248,'-3'0,"-6"0,-3 0,-1 0</inkml:trace>
  <inkml:trace contextRef="#ctx0" brushRef="#br2" timeOffset="185170">19143 11642,'0'0,"0"-1,-1 1,1 0,0 0,-1-1,1 1,0 0,-1-1,1 1,0 0,0-1,0 1,-1 0,1-1,0 1,0 0,0-1,0 1,0-1,0 1,-1 0,1-1,0 1,0 0,0 0,0 0,1-1,-1 1,0-1,0 1,0 0,0-1,4-18,-4 16,17-58,45-107,-25 77,-33 79,1 0,0-1,1 1,7-12,-7 17,-1 9,0 13,-1 36,-4 86,-1-75,-1 5,-1-32,3 0,6 60,-5-94,-1 0,0-1,0 1,0 0,0 0,1 0,-1 0,0 0,1 0,-1 0,1 0,-1 0,1 0,0 0,-1-1,1 1,0 0,0 0,0 0,-1-1,3 2,-2-2,0 0,0 0,0 0,0 1,0-2,1 1,-1 0,0 0,0 0,0 0,0-1,0 1,0 0,0-1,0 1,0-1,0 1,1-2,6-4,0 0,0 0,12-14,-13 12,29-27,-2-1,-2-2,-1-2,-3 0,31-57,-44 63</inkml:trace>
  <inkml:trace contextRef="#ctx0" brushRef="#br2" timeOffset="185915.26">20134 11279,'-1'6,"0"-1,0 0,-1 1,0 0,-1-2,1 2,-1-1,0 0,0-1,-6 8,-2 5,-47 68,-90 98,146-180,0-1,0 0,0 1,0 0,0 0,0 0,1 0,0 0,-1 1,2-2,-1 2,1-1,-1 0,0 4,2-5,-1 0,1 0,-1 0,1 0,-1 0,0 0,1-1,0 1,0 0,0 0,0-1,1 1,-1-1,0 0,1 0,-1 0,1 1,0-1,-1 0,1 0,0 0,0-1,0 1,-1 0,1-1,3 1,16 7,0-2,0 0,0-2,1 0,40 1,-60-5,-1 0,1 0,-1 0,1 0,-1 0,0 0,1 0,-1-1,1 1,-1 0,0-1,1 1,-1 0,1 0,-1-1,0 0,0 0,0 1,1-1,-1 0,0 0,0 0,0 0,0-1,0 1,-1 0,1 0,0 0,0-1,-1 1,1 0,-1-1,1 1,-1 0,0-1,0 1,1-1,-1 1,0-1,0 1,0 0,-1-2,-1-12</inkml:trace>
  <inkml:trace contextRef="#ctx0" brushRef="#br2" timeOffset="186488.31">20089 11513,'4'0,"4"0,5 0,3 0,6 0,3 0,0 0,0 0,-5 0</inkml:trace>
  <inkml:trace contextRef="#ctx0" brushRef="#br2" timeOffset="186859.3">20089 11084,'4'0,"4"0,5 0,6 0,5 0,1 0,2 0,2 3,-2 5,-4 3,-4 1,-4 2,-6-3</inkml:trace>
  <inkml:trace contextRef="#ctx0" brushRef="#br2" timeOffset="187539.31">20505 11262,'63'3,"74"12,-55-5,-63-8,42 5,-58-6,0 0,1-1,-2 1,1 0,0 1,0-1,0 0,0 1,-1 0,1-2,-1 2,1 0,-1 0,0 1,4 3,-5-3,0-1,0 0,-1 1,1 0,-1-1,1 1,-1 0,0 0,0 0,0-1,-1 0,1 1,-1 0,1-1,-1 1,0-1,0 0,0 1,0-1,-3 5,-3 5,0-1,-17 19,-2-3,-1 0,-38 29,-68 42,119-88,11-8,-1-1,1 1,0 1,0 0,1-1,-1 1,1-1,-1 1,1 1,0-1,0 0,0 1,1 0,-1-1,1 1,-1 3,1-5,1 1,1 0,-1 0,0 0,1 0,-1 0,1 0,0 0,0 0,1 0,-1 0,0-1,1 1,0-2,-1 2,1-1,0 1,1-1,-1 0,4 3,3 2,0 0,1-1,1-1,-1 1,1-1,0 0,0-1,0 0,0-1,1 0,19 1,-1 0,1-3,0 0,39-3,-54 0,0 0,-1 0,24-8,-16 1</inkml:trace>
  <inkml:trace contextRef="#ctx0" brushRef="#br2" timeOffset="188122.34">21228 11746,'3'-4,"1"-1,-1 0,0-1,-1 1,1 0,-1-1,2-7,3-6,32-69,3 0,74-109,-100 172,-8 11,1 1,0-2,1 2,0 1,16-16,-25 27,0 1,-1-1,1 0,0 1,0-1,0 1,0 0,0-1,0 1,-1 0,1 0,0 0,1 0,-1-1,0 1,0 0,0 0,0 0,0 0,0 0,0 0,0 0,0 0,0 1,0-1,0 0,0 0,0 0,0 0,0 1,0-1,0 0,0 1,-1-1,1 1,0 0,0-1,-1 1,1 0,0 0,0 1,3 3,-1 1,0-1,0 1,0 0,2 6,12 47,-2-1,-4 1,6 71,2 16,-10-85,-10-54</inkml:trace>
  <inkml:trace contextRef="#ctx0" brushRef="#br2" timeOffset="188526.36">21382 11408,'3'0,"6"0,7 0,5 0,5 0,10 3,4 2,0-1,-3 0,-5-2,-4 0,-4-2,-2 1,-1-1,-1 0,-4-1</inkml:trace>
  <inkml:trace contextRef="#ctx0" brushRef="#br2" timeOffset="188911.34">22009 11214,'0'3,"0"10,0 15,0 8,-3 8,-5 10,-5 1,-3 0,1-10</inkml:trace>
  <inkml:trace contextRef="#ctx0" brushRef="#br2" timeOffset="189606.04">22020 11214,'5'1,"-1"1,1-1,-1 0,1 1,-1 0,0 0,0 0,0 1,0 0,5 4,6 5,-4-7,0 1,0-1,1 0,0-1,0 0,0 0,-1-1,25 2,4-3,59-3,-39 0,48 1,138-4,-240 3,25 1,-31 0,1 0,0 0,0 1,-1-1,1 0,0 0,0 0,-1 1,1-1,0 0,-1 1,1-1,0 1,-1-1,1 1,-1-1,1 1,-1-1,1 0,-1 0,1 1,-1 0,0-1,1 1,-1 0,0-1,1 1,-1 0,0 0,0-1,0 1,0 0,0 0,0 0,0 6,-1 0,-1 1,0-2,0 2,0-1,-7 13,-27 43,23-43,-49 78,-12 20,61-94,0 1,-15 48,23-57,-3 30,6-24</inkml:trace>
  <inkml:trace contextRef="#ctx0" brushRef="#br1" timeOffset="199690">20049 5359</inkml:trace>
  <inkml:trace contextRef="#ctx0" brushRef="#br1" timeOffset="202579">20462 6287,'22'2,"1"0,-2 1,24 6,7 2,121 18,-131-27,-32-2,-1 1,1 0,14 3,-11 0</inkml:trace>
  <inkml:trace contextRef="#ctx0" brushRef="#br1" timeOffset="203356">21859 5894,'-6'1,"0"1,0 0,2 0,-2 0,0 0,1 1,-1 0,1 0,0 1,0-1,0 0,-5 7,-16 15,1 4,1-2,1 2,2 1,-25 46,36-57,1 0,1 0,1 1,-7 26,12-35,0-1,0 1,1 0,1 1,-1-2,2 1,0 1,0-1,6 20,-5-27,0 1,1-2,-1 1,1 0,0 0,0 0,0-1,1 1,-1-1,1 1,0-1,0 0,0-2,0 2,1-1,-1 1,7 1,8 2,1 1,33 5,-21-5,0-2,0-2,-1-1,2-1,39-4,-50 1,-1-2,1 0,-1-1,0 0,0-2,0-1,-1 0,29-18,-43 22,0-1,0 1,-1-1,0 1,0-2,0 1,0-1,-1-1,0 1,0 1,-1-1,0-1,0 0,0 0,-1 0,0 0,-1 1,1-1,-1-1,-1 1,1-8,-2-10,-1 0,-1 0,-1 1,-12-43,11 50,-1-6,-1 1,-1-1,-11-21,15 38,0 0,0 0,0-1,0 1,-1 0,0 1,-1-1,1 2,-1-1,0 0,-1 0,1 1,-14-5,-40-19,38 20</inkml:trace>
  <inkml:trace contextRef="#ctx0" brushRef="#br1" timeOffset="203776.04">22574 6339,'0'3,"0"6,0 3,0 9,0 10,0 5,-3 2,-2 3,-3-3,0-4,1-4,2-6,2-1,-3-7,1 0,0-2,2-2</inkml:trace>
  <inkml:trace contextRef="#ctx0" brushRef="#br1" timeOffset="205150.6">22771 6002,'6'-1,"-1"0,1 0,-1-1,1 2,-1-2,6-2,3-3,15-1,1 1,0 1,57-2,-36 3,-26 3,-8 0,1 0,-1 0,1 2,-1 0,0 1,23 4,-37-5,-1 0,1 1,-1 0,1-1,-1 1,0 1,1-1,-1 0,0 0,0 1,0-1,0 0,0 1,0 0,0 0,-1 0,1 0,-1 0,1 0,-1 0,0 1,0-1,0 1,0-1,0 0,0 4,-1-3,0 1,0 0,0 0,-1 0,0 1,1-1,-2 0,1-1,0 1,-1-2,0 2,1 0,-2-1,1 1,0-1,-4 4,-4 4,-1-2,0 1,-15 10,18-15,-1 1,1 0,0 2,1-1,0 0,0 1,-11 17,17-24,1 0,-1 0,1 0,0 0,-1 0,1 0,0 0,0 1,-1-1,1 0,0 1,0-1,1 0,-1 1,0-1,0 0,1 0,-1 1,0-1,1 0,-1-1,1 1,0 1,-1-1,1 0,0 0,0 0,0 0,0 0,0 0,0-1,0 1,2 1,4 2,0 0,0-1,0 1,12 2,-4 0,-8-3,0-1,-1 2,1 0,-1-1,0 1,0 1,0 0,-1 0,1 0,-1 1,0-1,-1 0,0 1,0 0,0 1,-1 0,1-1,-2-1,1 3,-1-1,0 0,0 0,0 11,0-8,-1 1,0-1,-1-1,0 2,-1-1,0 0,-2 11,1-16,1 0,-1-1,0 1,-1 0,1-1,-1 0,0 0,0 1,-1-1,1-1,-1 1,0-1,0 1,0-1,-8 6,6-6,1-1,-1 1,0 0,0 0,0-2,0 1,-1-1,1 1,0-1,-1 0,1-1,-1 0,1 0,0 0,0-1,-1 1,1-2,0 1,-1-1,1 0,0 1,0-1,-11-6,-4-6</inkml:trace>
  <inkml:trace contextRef="#ctx0" brushRef="#br1" timeOffset="205944.65">23478 5923,'7'1,"2"0,-1 0,0 1,0 0,0 1,0-1,0 2,-1-1,1 1,-1-1,0 2,7 4,8 8,-2 0,25 24,-36-31,-1-1,0 1,0 0,-1 0,-1 1,0 0,0 0,5 16,-8-19,-1 0,0-1,-1 2,0-2,0 2,-1-1,0 0,-1 1,0-2,0 2,-1-1,0-1,-5 14,1-4,-1-2,-1 1,-1 0,0-2,-1 1,-1-1,0-1,-1 1,-1-2,0 0,-22 17,29-25,0 0,1 0,0 1,-8 8,13-13,-1 0,1 1,0 0,-1-1,1 1,0-1,-1 1,1 0,0-1,0 1,-1 0,1 0,0-1,0 1,0 0,0-1,0 1,0 0,0 0,0-1,0 1,1 1,0-1,-1 0,1-1,0 1,0 0,0 0,0-1,0 0,0 1,0-1,0 1,1-1,-1 1,0-1,0 0,0 0,0 1,1-1,1 0,48 4,91-6,-63 0,-9 2</inkml:trace>
  <inkml:trace contextRef="#ctx0" brushRef="#br1" timeOffset="206597.7">24923 5907,'-31'17,"1"2,1 0,-40 37,40-32,-23 18,3 2,-53 61,96-98,1 1,0-1,1 0,-1 1,1 0,1 0,0 0,0 0,0 1,1 0,-1 8,2 4,0 0,1-1,5 32,-4-47,0 0,0 0,0-1,0 1,1 0,0 0,0-1,0 0,0 1,1-1,0 0,0 0,0-1,0 1,1 0,-1 0,9 4,-6-4,1 0,0-1,0 0,0 0,0-1,0 0,0-1,1 1,-1-1,1 0,12 0,172-5,-188 4,0-1,-1 1,1-1,0 0,0 1,-1-1,1 0,0-1,4-2,4-5</inkml:trace>
  <inkml:trace contextRef="#ctx0" brushRef="#br1" timeOffset="207087.7">24611 6212,'0'-3,"7"-1,6 0,7 0,5 2,1 0,-1 1,0 1,1 0,0 0,0 0,-4 0</inkml:trace>
  <inkml:trace contextRef="#ctx0" brushRef="#br1" timeOffset="-211925.73">27728 5946,'0'-2,"-1"0,1 0,-1 0,0 0,1 0,-1 0,0 1,0-1,0 0,0 1,-1-1,1 1,0-1,-1 2,1-2,-1 1,1 0,-4-2,-32-15,34 17,0 0,0 0,0 0,0 0,-1 1,1 0,0-1,-1 1,1 1,0-1,-1 0,1 1,0-1,0 1,0 0,-5 2,3 0,0 0,0-1,0 2,0-1,1 1,-1 0,1-1,-6 9,-1 2,1 1,0 1,1 0,-12 30,16-30,0-1,1-1,-3 19,6-26,0 0,1 1,0-2,0 2,0 0,1-2,0 2,4 12,-2-15,-1-1,1 0,0 0,0 0,0 1,0-3,1 2,0 0,-1-1,2 1,-1-1,0 0,0-1,1 0,0 0,-1 0,11 4,2-2,-1 0,1 0,0-1,19 0,53-1,179-19,-222 14,-34 1,-1 0,0 0,1-1,-1 1,0-2,0 0,0-1,0-1,-1 1,11-8,-8 4,-1-1,0 0,-1-1,-1 0,0-1,0 1,9-17,-10 13,0 1,1 1,1-1,0 1,1 2,0-2,1 1,20-12,-32 23,0 0,-1 1,1-1,0 1,0-1,0 1,0-1,0 1,0 0,0 0,0-1,0 1,0 0,0 0,0 0,0 0,0 0,0 0,0 0,0 0,0 1,0-1,0 0,0 1,0-1,1 1,0 0,-1 1,0-1,1 1,-1-1,0 1,0-1,0 1,0-1,0 1,0-1,0 1,0 2,2 6,-1 0,0 0,-1-1,0 12,-1-17,0 1,-1-2,1 1,-1 0,0 0,0 0,-1 0,1 0,-1 1,0-1,0-1,0 0,-1 1,1-1,-1 0,0 0,0 0,0 1,-1-2,1 1,-7 4,1-3,1 1,-1 0,-1 0,0-3,0 2,0-1,0 0,-13 1,14-3,0-1,0 0,0-1,1 1,-1-2,0 1,-12-5,-60-21,63 20,-17-8,-118-48,135 53,0-1,1 2,0-4,1 0,0 2,-14-19,-12-17,28 31</inkml:trace>
  <inkml:trace contextRef="#ctx0" brushRef="#br1" timeOffset="-211221.75">28949 6089,'0'7,"0"8,0 6,0 2,0 1,0 3,-4 6,-4 2,-5 1,-3-3,-3 4,-1 3,3-3,3-5,2-3,2-4,3-6</inkml:trace>
  <inkml:trace contextRef="#ctx0" brushRef="#br1" timeOffset="-214380.73">26025 5671,'-1'5,"-1"1,0 0,0-1,0 1,-1-1,0 0,0 0,0 0,0 0,-8 8,10-12,-78 82,58-64,2 2,0 1,1-1,-16 27,8-1,1 0,-27 76,42-94,2-1,1 3,1-3,2 2,-3 60,7-65,1 2,1 0,3-2,11 50,78 236,-80-270,-7-27</inkml:trace>
  <inkml:trace contextRef="#ctx0" brushRef="#br1" timeOffset="-213325.76">26427 6190,'0'4,"4"1,3-1,2 3,4 2,4-4,8 3,6-1,1-1,3-2,2 0,-2-3,-4 0,-2-1,-7 0</inkml:trace>
  <inkml:trace contextRef="#ctx0" brushRef="#br1" timeOffset="-209120.73">29498 5904,'1'-4,"0"-1,0 0,0 1,1 0,0-1,0 1,0 0,0 0,1 0,0 0,5-7,1 0,19-27,4 1,-1 1,3 2,0 0,1 3,3 2,54-33,-85 57,1 0,0 1,1 0,-1 0,17-5,-24 9,1 0,0 0,-1-1,1 1,1 0,-2 0,1 1,-1-1,1 0,0 1,-1-1,1 0,-1 1,1-1,-1 0,2 2,-1 0,0-1,-1 2,0-2,1 1,-1 0,0-1,0 1,0 0,0 0,0 0,0 0,0 0,-1 0,1 0,0 4,0 5,0 1,-1 0,0-1,0 0,-1 1,-1-1,0 0,-5 16,-37 90,38-100,-72 157,39-90,35-74,1 1,0-1,-2 15,0-5,1 0</inkml:trace>
  <inkml:trace contextRef="#ctx0" brushRef="#br1" timeOffset="-208622.73">30222 6143,'0'3,"0"9,0 9,-7 7,-2 4,-7 7,-4 6,-2 4,-1-5,4-8</inkml:trace>
  <inkml:trace contextRef="#ctx0" brushRef="#br1" timeOffset="-207791.22">31042 5334,'-6'1,"2"-1,-2 1,0 0,0 1,-1-1,2 1,-1 0,1 1,-1-1,-4 3,-8 8,-24 18,20-13,-9 5,-83 69,100-79,0 1,1 0,2 0,-1 2,-14 24,19-28,2-1,1 1,-1 1,2-1,0 1,0 0,1-1,1 1,0 1,1 21,3-10,0 0,1-1,1 1,14 35,-15-48,0-2,1 1,0-1,1 0,0-1,0 2,1-3,-1 1,2-1,0 2,0-4,16 14,-18-16,1 0,0 0,0-1,0-1,0 1,0 0,1-1,-1-1,1 2,0-2,-1 0,1-1,0 0,-1 0,1-1,0 1,-1-2,1 0,10-4,-14 5,0-1,-1 0,1 0,0 0,-1 0,0-1,1 0,-1 0,0-1,0 1,-1-1,1 1,-1-1,0 1,0 0,0-1,0 0,0-1,-1 1,0 0,1-7,2-9,-1-1,-1 1,0-24,-2 41,0-9,0-2,-1 1,0 1,-1-2,-1 1,0 0,-8-19,9 26,0 1,-1 0,1 0,-1-1,-1 2,1-1,-1 2,1-2,-1 1,0-1,-1 2,1-1,-1 1,1 0,-1 0,0 0,0 1,-1 0,1 0,-6-1,-14-2,2 3</inkml:trace>
  <inkml:trace contextRef="#ctx0" brushRef="#br1" timeOffset="-206766.22">31661 5437,'0'15,"-2"-1,-4 24,-2 9,-4 55,4 176,9-242,3 2,0-2,3 0,1 0,1 0,2 1,2-3,21 44,-9-38,-18-30,-1 0,0 1,0-1,-1 1,0 1,3 12,-7-21,-1-2,0 1,0-1,0 0,0 1,0-1,0 1,0-1,0 1,0-1,-1 1,1-1,-1 1,1-1,-1 0,1 0,-1 0,0 0,0 0,0 0,0 1,-1 2,-1-2,0 0,1-1,-1 1,0-1,0 1,0-1,0 0,0 0,0 0,-4 0,-2 1,0-1,0-1,1 0,-1 0,2-1,-1 0,-15-3,9-2,0 0,1-2,0 2,1-2,-1-1,1-1,1 1,0-1,0-1,1 0,1 0,-1-2,2 1,0-1,-12-24,16 26,0-1,1 1,1 0,0-2,0 2,1-2,0 1,1 0,1 0,0 1,0-2,1 2,5-17,5-10,1 0,29-55,-39 86,1-2,0 2,1-1,0-1,0 1,1 0,7-7,-10 13,0-1,0 0,1 1,-1 0,1-1,0 1,0 1,0-1,-1 0,1 1,1 0,-1-1,0 1,0 1,0 0,5 0,-4 0,14 0,0 0,-1-1,1-1,1-1,22-7,-39 8,0 0,1 0,-1 0,0 0,-1-2,1 2,0-1,-1 1,1-1,-1 0,0 0,0 0,0 0,0-1,-1 0,0 0,1 1,-1-1,0 1,-1 0,1-1,0 0,-1 1,0-2,0 1,0 0,-1 1,1-1,-1 0,0 1,0 0,0-2,0 2,-1-1,-2-4,-4-3,0 1,-1 0,-1 0,1 0,-1 2,-1 0,-13-10,-84-43,67 41,8 6</inkml:trace>
  <inkml:trace contextRef="#ctx0" brushRef="#br1" timeOffset="-203055.73">32283 5380,'0'3,"1"0,0 0,1-1,-1 2,1-1,-1 0,1 0,0 0,0 0,0 0,1-1,2 4,3 2,277 295,-119-137,-160-159,4 2,-1 1,0 0,-1 1,-1-1,9 17,-14-24,-1 1,1-2,-1 2,0-1,-1 0,1 1,-1 0,1 0,-1 0,0-1,-1 1,1 0,-1 0,1-1,-1-1,0 2,0-1,-1 1,1-1,-1 1,0-1,0 0,0 0,-3 4,-6 4,0 2,-1-2,-1 0,-20 14,-62 34,83-52,-253 142,239-134</inkml:trace>
</inkml:ink>
</file>

<file path=xl/persons/person.xml><?xml version="1.0" encoding="utf-8"?>
<personList xmlns="http://schemas.microsoft.com/office/spreadsheetml/2018/threadedcomments" xmlns:x="http://schemas.openxmlformats.org/spreadsheetml/2006/main">
  <person displayName="Gabrišová Adriana" id="{5A2E8643-51ED-4F00-9594-202DF289C514}" userId="S::gabrisova69@uniba.sk::1a2fd8aa-2717-4099-8da4-54c554e80f95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097.711728240742" createdVersion="6" refreshedVersion="6" minRefreshableVersion="3" recordCount="50" xr:uid="{636F75D0-9C93-427A-A3B7-301C4CDF1C39}">
  <cacheSource type="worksheet">
    <worksheetSource name="tab_povodna"/>
  </cacheSource>
  <cacheFields count="7">
    <cacheField name="Location" numFmtId="0">
      <sharedItems count="2">
        <s v="Town"/>
        <s v="Village"/>
      </sharedItems>
    </cacheField>
    <cacheField name="House type" numFmtId="0">
      <sharedItems count="3">
        <s v="Detached"/>
        <s v="Semi-detached"/>
        <s v="Terraced"/>
      </sharedItems>
    </cacheField>
    <cacheField name="Bedrooms" numFmtId="0">
      <sharedItems containsSemiMixedTypes="0" containsString="0" containsNumber="1" containsInteger="1" minValue="2" maxValue="6" count="5">
        <n v="4"/>
        <n v="2"/>
        <n v="3"/>
        <n v="5"/>
        <n v="6"/>
      </sharedItems>
    </cacheField>
    <cacheField name="Reception rooms" numFmtId="0">
      <sharedItems containsSemiMixedTypes="0" containsString="0" containsNumber="1" containsInteger="1" minValue="1" maxValue="4" count="4">
        <n v="2"/>
        <n v="1"/>
        <n v="3"/>
        <n v="4"/>
      </sharedItems>
    </cacheField>
    <cacheField name="Bedrooms_Receptions" numFmtId="0">
      <sharedItems containsSemiMixedTypes="0" containsString="0" containsNumber="1" containsInteger="1" minValue="3" maxValue="10"/>
    </cacheField>
    <cacheField name="Garage capacity" numFmtId="0">
      <sharedItems containsSemiMixedTypes="0" containsString="0" containsNumber="1" containsInteger="1" minValue="0" maxValue="2"/>
    </cacheField>
    <cacheField name="Price" numFmtId="164">
      <sharedItems containsSemiMixedTypes="0" containsString="0" containsNumber="1" containsInteger="1" minValue="135000" maxValue="850000" count="45">
        <n v="234995"/>
        <n v="319000"/>
        <n v="154995"/>
        <n v="349950"/>
        <n v="244995"/>
        <n v="178000"/>
        <n v="175000"/>
        <n v="580000"/>
        <n v="288000"/>
        <n v="524950"/>
        <n v="625000"/>
        <n v="449950"/>
        <n v="269950"/>
        <n v="285000"/>
        <n v="235000"/>
        <n v="299995"/>
        <n v="174995"/>
        <n v="219995"/>
        <n v="275000"/>
        <n v="199950"/>
        <n v="232000"/>
        <n v="369995"/>
        <n v="425000"/>
        <n v="185000"/>
        <n v="220000"/>
        <n v="229950"/>
        <n v="205000"/>
        <n v="179950"/>
        <n v="329995"/>
        <n v="225000"/>
        <n v="375000"/>
        <n v="135000"/>
        <n v="850000"/>
        <n v="750000"/>
        <n v="545000"/>
        <n v="495000"/>
        <n v="295000"/>
        <n v="450000"/>
        <n v="449500"/>
        <n v="392000"/>
        <n v="465000"/>
        <n v="325000"/>
        <n v="250000"/>
        <n v="475000"/>
        <n v="400000"/>
      </sharedItems>
      <fieldGroup base="6">
        <rangePr autoStart="0" autoEnd="0" startNum="200000" endNum="450000" groupInterval="100000"/>
        <groupItems count="5">
          <s v="&lt;200000"/>
          <s v="200000-299999"/>
          <s v="300000-399999"/>
          <s v="400000-499999"/>
          <s v="&gt;500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118.541001041667" createdVersion="6" refreshedVersion="6" minRefreshableVersion="3" recordCount="50" xr:uid="{7E8D5115-AAB1-4726-8843-66E0FDC647F9}">
  <cacheSource type="worksheet">
    <worksheetSource name="tab_data_funkcie"/>
  </cacheSource>
  <cacheFields count="8">
    <cacheField name="Location" numFmtId="0">
      <sharedItems count="2">
        <s v="Town"/>
        <s v="Village"/>
      </sharedItems>
    </cacheField>
    <cacheField name="House type" numFmtId="0">
      <sharedItems/>
    </cacheField>
    <cacheField name="Bedrooms" numFmtId="0">
      <sharedItems containsSemiMixedTypes="0" containsString="0" containsNumber="1" containsInteger="1" minValue="2" maxValue="6"/>
    </cacheField>
    <cacheField name="Reception rooms" numFmtId="0">
      <sharedItems containsSemiMixedTypes="0" containsString="0" containsNumber="1" containsInteger="1" minValue="1" maxValue="4"/>
    </cacheField>
    <cacheField name="Bedrooms_Receptions" numFmtId="0">
      <sharedItems containsSemiMixedTypes="0" containsString="0" containsNumber="1" containsInteger="1" minValue="3" maxValue="10"/>
    </cacheField>
    <cacheField name="Garage capacity" numFmtId="0">
      <sharedItems containsSemiMixedTypes="0" containsString="0" containsNumber="1" containsInteger="1" minValue="0" maxValue="2" count="3">
        <n v="1"/>
        <n v="0"/>
        <n v="2"/>
      </sharedItems>
    </cacheField>
    <cacheField name="Price" numFmtId="164">
      <sharedItems containsSemiMixedTypes="0" containsString="0" containsNumber="1" containsInteger="1" minValue="135000" maxValue="850000"/>
    </cacheField>
    <cacheField name="Máme na to?" numFmtId="16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x v="0"/>
    <x v="0"/>
    <x v="0"/>
    <x v="0"/>
    <n v="6"/>
    <n v="1"/>
    <x v="0"/>
  </r>
  <r>
    <x v="0"/>
    <x v="0"/>
    <x v="0"/>
    <x v="0"/>
    <n v="6"/>
    <n v="1"/>
    <x v="1"/>
  </r>
  <r>
    <x v="0"/>
    <x v="1"/>
    <x v="1"/>
    <x v="1"/>
    <n v="3"/>
    <n v="0"/>
    <x v="2"/>
  </r>
  <r>
    <x v="1"/>
    <x v="0"/>
    <x v="0"/>
    <x v="0"/>
    <n v="6"/>
    <n v="2"/>
    <x v="3"/>
  </r>
  <r>
    <x v="0"/>
    <x v="0"/>
    <x v="2"/>
    <x v="0"/>
    <n v="5"/>
    <n v="1"/>
    <x v="4"/>
  </r>
  <r>
    <x v="1"/>
    <x v="2"/>
    <x v="2"/>
    <x v="1"/>
    <n v="4"/>
    <n v="0"/>
    <x v="5"/>
  </r>
  <r>
    <x v="0"/>
    <x v="0"/>
    <x v="2"/>
    <x v="2"/>
    <n v="6"/>
    <n v="0"/>
    <x v="6"/>
  </r>
  <r>
    <x v="1"/>
    <x v="0"/>
    <x v="0"/>
    <x v="3"/>
    <n v="8"/>
    <n v="1"/>
    <x v="7"/>
  </r>
  <r>
    <x v="0"/>
    <x v="0"/>
    <x v="0"/>
    <x v="0"/>
    <n v="6"/>
    <n v="0"/>
    <x v="8"/>
  </r>
  <r>
    <x v="1"/>
    <x v="0"/>
    <x v="0"/>
    <x v="2"/>
    <n v="7"/>
    <n v="2"/>
    <x v="9"/>
  </r>
  <r>
    <x v="1"/>
    <x v="0"/>
    <x v="0"/>
    <x v="3"/>
    <n v="8"/>
    <n v="2"/>
    <x v="10"/>
  </r>
  <r>
    <x v="1"/>
    <x v="0"/>
    <x v="3"/>
    <x v="0"/>
    <n v="7"/>
    <n v="2"/>
    <x v="11"/>
  </r>
  <r>
    <x v="0"/>
    <x v="0"/>
    <x v="0"/>
    <x v="0"/>
    <n v="6"/>
    <n v="1"/>
    <x v="12"/>
  </r>
  <r>
    <x v="0"/>
    <x v="0"/>
    <x v="0"/>
    <x v="0"/>
    <n v="6"/>
    <n v="1"/>
    <x v="13"/>
  </r>
  <r>
    <x v="1"/>
    <x v="0"/>
    <x v="0"/>
    <x v="2"/>
    <n v="7"/>
    <n v="2"/>
    <x v="3"/>
  </r>
  <r>
    <x v="0"/>
    <x v="2"/>
    <x v="0"/>
    <x v="3"/>
    <n v="8"/>
    <n v="0"/>
    <x v="14"/>
  </r>
  <r>
    <x v="0"/>
    <x v="0"/>
    <x v="0"/>
    <x v="3"/>
    <n v="8"/>
    <n v="1"/>
    <x v="15"/>
  </r>
  <r>
    <x v="1"/>
    <x v="1"/>
    <x v="1"/>
    <x v="1"/>
    <n v="3"/>
    <n v="0"/>
    <x v="16"/>
  </r>
  <r>
    <x v="0"/>
    <x v="0"/>
    <x v="2"/>
    <x v="0"/>
    <n v="5"/>
    <n v="1"/>
    <x v="17"/>
  </r>
  <r>
    <x v="0"/>
    <x v="0"/>
    <x v="0"/>
    <x v="2"/>
    <n v="7"/>
    <n v="1"/>
    <x v="18"/>
  </r>
  <r>
    <x v="0"/>
    <x v="0"/>
    <x v="2"/>
    <x v="2"/>
    <n v="6"/>
    <n v="1"/>
    <x v="19"/>
  </r>
  <r>
    <x v="0"/>
    <x v="0"/>
    <x v="0"/>
    <x v="0"/>
    <n v="6"/>
    <n v="1"/>
    <x v="20"/>
  </r>
  <r>
    <x v="1"/>
    <x v="0"/>
    <x v="0"/>
    <x v="0"/>
    <n v="6"/>
    <n v="0"/>
    <x v="21"/>
  </r>
  <r>
    <x v="0"/>
    <x v="2"/>
    <x v="3"/>
    <x v="3"/>
    <n v="9"/>
    <n v="0"/>
    <x v="22"/>
  </r>
  <r>
    <x v="0"/>
    <x v="2"/>
    <x v="1"/>
    <x v="0"/>
    <n v="4"/>
    <n v="0"/>
    <x v="23"/>
  </r>
  <r>
    <x v="1"/>
    <x v="0"/>
    <x v="2"/>
    <x v="0"/>
    <n v="5"/>
    <n v="0"/>
    <x v="24"/>
  </r>
  <r>
    <x v="0"/>
    <x v="2"/>
    <x v="2"/>
    <x v="1"/>
    <n v="4"/>
    <n v="1"/>
    <x v="25"/>
  </r>
  <r>
    <x v="0"/>
    <x v="0"/>
    <x v="0"/>
    <x v="2"/>
    <n v="7"/>
    <n v="0"/>
    <x v="12"/>
  </r>
  <r>
    <x v="0"/>
    <x v="1"/>
    <x v="0"/>
    <x v="0"/>
    <n v="6"/>
    <n v="1"/>
    <x v="26"/>
  </r>
  <r>
    <x v="0"/>
    <x v="2"/>
    <x v="2"/>
    <x v="1"/>
    <n v="4"/>
    <n v="0"/>
    <x v="27"/>
  </r>
  <r>
    <x v="0"/>
    <x v="0"/>
    <x v="0"/>
    <x v="2"/>
    <n v="7"/>
    <n v="1"/>
    <x v="28"/>
  </r>
  <r>
    <x v="0"/>
    <x v="1"/>
    <x v="2"/>
    <x v="0"/>
    <n v="5"/>
    <n v="1"/>
    <x v="29"/>
  </r>
  <r>
    <x v="1"/>
    <x v="0"/>
    <x v="2"/>
    <x v="2"/>
    <n v="6"/>
    <n v="0"/>
    <x v="30"/>
  </r>
  <r>
    <x v="0"/>
    <x v="2"/>
    <x v="1"/>
    <x v="1"/>
    <n v="3"/>
    <n v="0"/>
    <x v="31"/>
  </r>
  <r>
    <x v="0"/>
    <x v="0"/>
    <x v="4"/>
    <x v="3"/>
    <n v="10"/>
    <n v="1"/>
    <x v="32"/>
  </r>
  <r>
    <x v="0"/>
    <x v="0"/>
    <x v="4"/>
    <x v="2"/>
    <n v="9"/>
    <n v="2"/>
    <x v="33"/>
  </r>
  <r>
    <x v="1"/>
    <x v="0"/>
    <x v="0"/>
    <x v="0"/>
    <n v="6"/>
    <n v="1"/>
    <x v="34"/>
  </r>
  <r>
    <x v="1"/>
    <x v="0"/>
    <x v="0"/>
    <x v="2"/>
    <n v="7"/>
    <n v="1"/>
    <x v="35"/>
  </r>
  <r>
    <x v="1"/>
    <x v="0"/>
    <x v="0"/>
    <x v="3"/>
    <n v="8"/>
    <n v="1"/>
    <x v="30"/>
  </r>
  <r>
    <x v="1"/>
    <x v="0"/>
    <x v="1"/>
    <x v="0"/>
    <n v="4"/>
    <n v="0"/>
    <x v="36"/>
  </r>
  <r>
    <x v="1"/>
    <x v="2"/>
    <x v="0"/>
    <x v="3"/>
    <n v="8"/>
    <n v="0"/>
    <x v="37"/>
  </r>
  <r>
    <x v="1"/>
    <x v="0"/>
    <x v="3"/>
    <x v="2"/>
    <n v="8"/>
    <n v="1"/>
    <x v="38"/>
  </r>
  <r>
    <x v="1"/>
    <x v="0"/>
    <x v="0"/>
    <x v="3"/>
    <n v="8"/>
    <n v="0"/>
    <x v="30"/>
  </r>
  <r>
    <x v="1"/>
    <x v="0"/>
    <x v="0"/>
    <x v="0"/>
    <n v="6"/>
    <n v="2"/>
    <x v="39"/>
  </r>
  <r>
    <x v="1"/>
    <x v="0"/>
    <x v="0"/>
    <x v="3"/>
    <n v="8"/>
    <n v="1"/>
    <x v="40"/>
  </r>
  <r>
    <x v="1"/>
    <x v="0"/>
    <x v="3"/>
    <x v="2"/>
    <n v="8"/>
    <n v="2"/>
    <x v="37"/>
  </r>
  <r>
    <x v="1"/>
    <x v="0"/>
    <x v="2"/>
    <x v="0"/>
    <n v="5"/>
    <n v="2"/>
    <x v="41"/>
  </r>
  <r>
    <x v="1"/>
    <x v="2"/>
    <x v="1"/>
    <x v="0"/>
    <n v="4"/>
    <n v="0"/>
    <x v="42"/>
  </r>
  <r>
    <x v="0"/>
    <x v="2"/>
    <x v="0"/>
    <x v="0"/>
    <n v="6"/>
    <n v="0"/>
    <x v="43"/>
  </r>
  <r>
    <x v="0"/>
    <x v="0"/>
    <x v="3"/>
    <x v="0"/>
    <n v="7"/>
    <n v="2"/>
    <x v="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x v="0"/>
    <s v="Detached"/>
    <n v="4"/>
    <n v="2"/>
    <n v="6"/>
    <x v="0"/>
    <n v="234995"/>
    <s v="NG"/>
  </r>
  <r>
    <x v="0"/>
    <s v="Detached"/>
    <n v="4"/>
    <n v="2"/>
    <n v="6"/>
    <x v="0"/>
    <n v="319000"/>
    <s v="NG"/>
  </r>
  <r>
    <x v="0"/>
    <s v="Semi-detached"/>
    <n v="2"/>
    <n v="1"/>
    <n v="3"/>
    <x v="1"/>
    <n v="154995"/>
    <s v="OK"/>
  </r>
  <r>
    <x v="1"/>
    <s v="Detached"/>
    <n v="4"/>
    <n v="2"/>
    <n v="6"/>
    <x v="2"/>
    <n v="349950"/>
    <s v="NG"/>
  </r>
  <r>
    <x v="0"/>
    <s v="Detached"/>
    <n v="3"/>
    <n v="2"/>
    <n v="5"/>
    <x v="0"/>
    <n v="244995"/>
    <s v="NG"/>
  </r>
  <r>
    <x v="1"/>
    <s v="Terraced"/>
    <n v="3"/>
    <n v="1"/>
    <n v="4"/>
    <x v="1"/>
    <n v="178000"/>
    <s v="OK"/>
  </r>
  <r>
    <x v="0"/>
    <s v="Detached"/>
    <n v="3"/>
    <n v="3"/>
    <n v="6"/>
    <x v="1"/>
    <n v="175000"/>
    <s v="OK"/>
  </r>
  <r>
    <x v="1"/>
    <s v="Detached"/>
    <n v="4"/>
    <n v="4"/>
    <n v="8"/>
    <x v="0"/>
    <n v="580000"/>
    <s v="NG"/>
  </r>
  <r>
    <x v="0"/>
    <s v="Detached"/>
    <n v="4"/>
    <n v="2"/>
    <n v="6"/>
    <x v="1"/>
    <n v="288000"/>
    <s v="NG"/>
  </r>
  <r>
    <x v="1"/>
    <s v="Detached"/>
    <n v="4"/>
    <n v="3"/>
    <n v="7"/>
    <x v="2"/>
    <n v="524950"/>
    <s v="NG"/>
  </r>
  <r>
    <x v="1"/>
    <s v="Detached"/>
    <n v="4"/>
    <n v="4"/>
    <n v="8"/>
    <x v="2"/>
    <n v="625000"/>
    <s v="NG"/>
  </r>
  <r>
    <x v="1"/>
    <s v="Detached"/>
    <n v="5"/>
    <n v="2"/>
    <n v="7"/>
    <x v="2"/>
    <n v="449950"/>
    <s v="NG"/>
  </r>
  <r>
    <x v="0"/>
    <s v="Detached"/>
    <n v="4"/>
    <n v="2"/>
    <n v="6"/>
    <x v="0"/>
    <n v="269950"/>
    <s v="NG"/>
  </r>
  <r>
    <x v="0"/>
    <s v="Detached"/>
    <n v="4"/>
    <n v="2"/>
    <n v="6"/>
    <x v="0"/>
    <n v="285000"/>
    <s v="NG"/>
  </r>
  <r>
    <x v="1"/>
    <s v="Detached"/>
    <n v="4"/>
    <n v="3"/>
    <n v="7"/>
    <x v="2"/>
    <n v="349950"/>
    <s v="NG"/>
  </r>
  <r>
    <x v="0"/>
    <s v="Terraced"/>
    <n v="4"/>
    <n v="4"/>
    <n v="8"/>
    <x v="1"/>
    <n v="235000"/>
    <s v="NG"/>
  </r>
  <r>
    <x v="0"/>
    <s v="Detached"/>
    <n v="4"/>
    <n v="4"/>
    <n v="8"/>
    <x v="0"/>
    <n v="299995"/>
    <s v="NG"/>
  </r>
  <r>
    <x v="1"/>
    <s v="Semi-detached"/>
    <n v="2"/>
    <n v="1"/>
    <n v="3"/>
    <x v="1"/>
    <n v="174995"/>
    <s v="OK"/>
  </r>
  <r>
    <x v="0"/>
    <s v="Detached"/>
    <n v="3"/>
    <n v="2"/>
    <n v="5"/>
    <x v="0"/>
    <n v="219995"/>
    <s v="NG"/>
  </r>
  <r>
    <x v="0"/>
    <s v="Detached"/>
    <n v="4"/>
    <n v="3"/>
    <n v="7"/>
    <x v="0"/>
    <n v="275000"/>
    <s v="NG"/>
  </r>
  <r>
    <x v="0"/>
    <s v="Detached"/>
    <n v="3"/>
    <n v="3"/>
    <n v="6"/>
    <x v="0"/>
    <n v="199950"/>
    <s v="OK"/>
  </r>
  <r>
    <x v="0"/>
    <s v="Detached"/>
    <n v="4"/>
    <n v="2"/>
    <n v="6"/>
    <x v="0"/>
    <n v="232000"/>
    <s v="NG"/>
  </r>
  <r>
    <x v="1"/>
    <s v="Detached"/>
    <n v="4"/>
    <n v="2"/>
    <n v="6"/>
    <x v="1"/>
    <n v="369995"/>
    <s v="NG"/>
  </r>
  <r>
    <x v="0"/>
    <s v="Terraced"/>
    <n v="5"/>
    <n v="4"/>
    <n v="9"/>
    <x v="1"/>
    <n v="425000"/>
    <s v="NG"/>
  </r>
  <r>
    <x v="0"/>
    <s v="Terraced"/>
    <n v="2"/>
    <n v="2"/>
    <n v="4"/>
    <x v="1"/>
    <n v="185000"/>
    <s v="OK"/>
  </r>
  <r>
    <x v="1"/>
    <s v="Detached"/>
    <n v="3"/>
    <n v="2"/>
    <n v="5"/>
    <x v="1"/>
    <n v="220000"/>
    <s v="NG"/>
  </r>
  <r>
    <x v="0"/>
    <s v="Terraced"/>
    <n v="3"/>
    <n v="1"/>
    <n v="4"/>
    <x v="0"/>
    <n v="229950"/>
    <s v="NG"/>
  </r>
  <r>
    <x v="0"/>
    <s v="Detached"/>
    <n v="4"/>
    <n v="3"/>
    <n v="7"/>
    <x v="1"/>
    <n v="269950"/>
    <s v="NG"/>
  </r>
  <r>
    <x v="0"/>
    <s v="Semi-detached"/>
    <n v="4"/>
    <n v="2"/>
    <n v="6"/>
    <x v="0"/>
    <n v="205000"/>
    <s v="OK"/>
  </r>
  <r>
    <x v="0"/>
    <s v="Terraced"/>
    <n v="3"/>
    <n v="1"/>
    <n v="4"/>
    <x v="1"/>
    <n v="179950"/>
    <s v="OK"/>
  </r>
  <r>
    <x v="0"/>
    <s v="Detached"/>
    <n v="4"/>
    <n v="3"/>
    <n v="7"/>
    <x v="0"/>
    <n v="329995"/>
    <s v="NG"/>
  </r>
  <r>
    <x v="0"/>
    <s v="Semi-detached"/>
    <n v="3"/>
    <n v="2"/>
    <n v="5"/>
    <x v="0"/>
    <n v="225000"/>
    <s v="NG"/>
  </r>
  <r>
    <x v="1"/>
    <s v="Detached"/>
    <n v="3"/>
    <n v="3"/>
    <n v="6"/>
    <x v="1"/>
    <n v="375000"/>
    <s v="NG"/>
  </r>
  <r>
    <x v="0"/>
    <s v="Terraced"/>
    <n v="2"/>
    <n v="1"/>
    <n v="3"/>
    <x v="1"/>
    <n v="135000"/>
    <s v="OK"/>
  </r>
  <r>
    <x v="0"/>
    <s v="Detached"/>
    <n v="6"/>
    <n v="4"/>
    <n v="10"/>
    <x v="0"/>
    <n v="850000"/>
    <s v="NG"/>
  </r>
  <r>
    <x v="0"/>
    <s v="Detached"/>
    <n v="6"/>
    <n v="3"/>
    <n v="9"/>
    <x v="2"/>
    <n v="750000"/>
    <s v="NG"/>
  </r>
  <r>
    <x v="1"/>
    <s v="Detached"/>
    <n v="4"/>
    <n v="2"/>
    <n v="6"/>
    <x v="0"/>
    <n v="545000"/>
    <s v="NG"/>
  </r>
  <r>
    <x v="1"/>
    <s v="Detached"/>
    <n v="4"/>
    <n v="3"/>
    <n v="7"/>
    <x v="0"/>
    <n v="495000"/>
    <s v="NG"/>
  </r>
  <r>
    <x v="1"/>
    <s v="Detached"/>
    <n v="4"/>
    <n v="4"/>
    <n v="8"/>
    <x v="0"/>
    <n v="375000"/>
    <s v="NG"/>
  </r>
  <r>
    <x v="1"/>
    <s v="Detached"/>
    <n v="2"/>
    <n v="2"/>
    <n v="4"/>
    <x v="1"/>
    <n v="295000"/>
    <s v="NG"/>
  </r>
  <r>
    <x v="1"/>
    <s v="Terraced"/>
    <n v="4"/>
    <n v="4"/>
    <n v="8"/>
    <x v="1"/>
    <n v="450000"/>
    <s v="NG"/>
  </r>
  <r>
    <x v="1"/>
    <s v="Detached"/>
    <n v="5"/>
    <n v="3"/>
    <n v="8"/>
    <x v="0"/>
    <n v="449500"/>
    <s v="NG"/>
  </r>
  <r>
    <x v="1"/>
    <s v="Detached"/>
    <n v="4"/>
    <n v="4"/>
    <n v="8"/>
    <x v="1"/>
    <n v="375000"/>
    <s v="NG"/>
  </r>
  <r>
    <x v="1"/>
    <s v="Detached"/>
    <n v="4"/>
    <n v="2"/>
    <n v="6"/>
    <x v="2"/>
    <n v="392000"/>
    <s v="NG"/>
  </r>
  <r>
    <x v="1"/>
    <s v="Detached"/>
    <n v="4"/>
    <n v="4"/>
    <n v="8"/>
    <x v="0"/>
    <n v="465000"/>
    <s v="NG"/>
  </r>
  <r>
    <x v="1"/>
    <s v="Detached"/>
    <n v="5"/>
    <n v="3"/>
    <n v="8"/>
    <x v="2"/>
    <n v="450000"/>
    <s v="NG"/>
  </r>
  <r>
    <x v="1"/>
    <s v="Detached"/>
    <n v="3"/>
    <n v="2"/>
    <n v="5"/>
    <x v="2"/>
    <n v="325000"/>
    <s v="NG"/>
  </r>
  <r>
    <x v="1"/>
    <s v="Terraced"/>
    <n v="2"/>
    <n v="2"/>
    <n v="4"/>
    <x v="1"/>
    <n v="250000"/>
    <s v="NG"/>
  </r>
  <r>
    <x v="0"/>
    <s v="Terraced"/>
    <n v="4"/>
    <n v="2"/>
    <n v="6"/>
    <x v="1"/>
    <n v="475000"/>
    <s v="NG"/>
  </r>
  <r>
    <x v="0"/>
    <s v="Detached"/>
    <n v="5"/>
    <n v="2"/>
    <n v="7"/>
    <x v="2"/>
    <n v="400000"/>
    <s v="NG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99F74-789C-456B-804E-CB362CFD3B78}" name="Kontingenčná tabuľka4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K21:L26" firstHeaderRow="1" firstDataRow="1" firstDataCol="1"/>
  <pivotFields count="7">
    <pivotField showAll="0"/>
    <pivotField showAll="0"/>
    <pivotField showAll="0">
      <items count="6">
        <item x="1"/>
        <item x="2"/>
        <item x="0"/>
        <item x="3"/>
        <item x="4"/>
        <item t="default"/>
      </items>
    </pivotField>
    <pivotField axis="axisRow" dataField="1" showAll="0">
      <items count="5">
        <item x="1"/>
        <item x="0"/>
        <item x="2"/>
        <item x="3"/>
        <item t="default"/>
      </items>
    </pivotField>
    <pivotField showAll="0"/>
    <pivotField showAll="0"/>
    <pivotField numFmtId="164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očet z Reception rooms" fld="3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DE25F-5EEF-4E0C-9034-899736FB20FA}" name="Kontingenčná tabuľka9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K2:L5" firstHeaderRow="1" firstDataRow="1" firstDataCol="1"/>
  <pivotFields count="7"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64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Počet z Loca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7F4AF-95D7-42CD-80A5-08D61D1D7071}" name="Kontingenčná tabuľka10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K7:L11" firstHeaderRow="1" firstDataRow="1" firstDataCol="1"/>
  <pivotFields count="7"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očet z House 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FA380-4B25-4556-A15F-DA1635DC0342}" name="Kontingenčná tabuľka11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K13:L19" firstHeaderRow="1" firstDataRow="1" firstDataCol="1"/>
  <pivotFields count="7">
    <pivotField showAll="0"/>
    <pivotField showAll="0"/>
    <pivotField axis="axisRow" dataField="1" showAll="0" sortType="descending">
      <items count="6">
        <item x="1"/>
        <item x="2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4" showAll="0"/>
  </pivotFields>
  <rowFields count="1">
    <field x="2"/>
  </rowFields>
  <rowItems count="6">
    <i>
      <x v="2"/>
    </i>
    <i>
      <x v="1"/>
    </i>
    <i>
      <x/>
    </i>
    <i>
      <x v="3"/>
    </i>
    <i>
      <x v="4"/>
    </i>
    <i t="grand">
      <x/>
    </i>
  </rowItems>
  <colItems count="1">
    <i/>
  </colItems>
  <dataFields count="1">
    <dataField name="Počet z Bedrooms" fld="2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24198-64A4-47F5-9BD2-BCF4ABEB0CF2}" name="Kontingenčná tabuľka12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N2:O8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numFmtId="164"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Počet z Price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BE234-B46F-43B4-A663-3B5DBB18CA5D}" name="Kontingenčná tabuľka1" cacheId="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C4:F9" firstHeaderRow="1" firstDataRow="2" firstDataCol="1"/>
  <pivotFields count="8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numFmtId="164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Počet z Garage capacity" fld="5" subtotal="count" baseField="0" baseItem="1072693248"/>
  </dataFields>
  <formats count="19">
    <format dxfId="146">
      <pivotArea collapsedLevelsAreSubtotals="1" fieldPosition="0">
        <references count="2">
          <reference field="0" count="1" selected="0">
            <x v="0"/>
          </reference>
          <reference field="5" count="1">
            <x v="1"/>
          </reference>
        </references>
      </pivotArea>
    </format>
    <format dxfId="145">
      <pivotArea collapsedLevelsAreSubtotals="1" fieldPosition="0">
        <references count="2">
          <reference field="0" count="1" selected="0">
            <x v="0"/>
          </reference>
          <reference field="5" count="1">
            <x v="1"/>
          </reference>
        </references>
      </pivotArea>
    </format>
    <format dxfId="144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143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142">
      <pivotArea collapsedLevelsAreSubtotals="1" fieldPosition="0">
        <references count="2">
          <reference field="0" count="1" selected="0">
            <x v="1"/>
          </reference>
          <reference field="5" count="1">
            <x v="2"/>
          </reference>
        </references>
      </pivotArea>
    </format>
    <format dxfId="141">
      <pivotArea collapsedLevelsAreSubtotals="1" fieldPosition="0">
        <references count="2">
          <reference field="0" count="1" selected="0">
            <x v="1"/>
          </reference>
          <reference field="5" count="1">
            <x v="2"/>
          </reference>
        </references>
      </pivotArea>
    </format>
    <format dxfId="140">
      <pivotArea collapsedLevelsAreSubtotals="1" fieldPosition="0">
        <references count="2">
          <reference field="0" count="1" selected="0">
            <x v="1"/>
          </reference>
          <reference field="5" count="1">
            <x v="2"/>
          </reference>
        </references>
      </pivotArea>
    </format>
    <format dxfId="139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138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137">
      <pivotArea field="5" grandCol="1" collapsedLevelsAreSubtotals="1" axis="axisRow" fieldPosition="0">
        <references count="1">
          <reference field="5" count="1">
            <x v="1"/>
          </reference>
        </references>
      </pivotArea>
    </format>
    <format dxfId="136">
      <pivotArea field="5" grandCol="1" collapsedLevelsAreSubtotals="1" axis="axisRow" fieldPosition="0">
        <references count="1">
          <reference field="5" count="1">
            <x v="1"/>
          </reference>
        </references>
      </pivotArea>
    </format>
    <format dxfId="135">
      <pivotArea field="5" grandCol="1" collapsedLevelsAreSubtotals="1" axis="axisRow" fieldPosition="0">
        <references count="1">
          <reference field="5" count="1">
            <x v="1"/>
          </reference>
        </references>
      </pivotArea>
    </format>
    <format dxfId="134">
      <pivotArea grandRow="1" grandCol="1" outline="0" collapsedLevelsAreSubtotals="1" fieldPosition="0"/>
    </format>
    <format dxfId="133">
      <pivotArea collapsedLevelsAreSubtotals="1" fieldPosition="0">
        <references count="2">
          <reference field="0" count="1" selected="0">
            <x v="0"/>
          </reference>
          <reference field="5" count="1">
            <x v="2"/>
          </reference>
        </references>
      </pivotArea>
    </format>
    <format dxfId="132">
      <pivotArea collapsedLevelsAreSubtotals="1" fieldPosition="0">
        <references count="2">
          <reference field="0" count="1" selected="0">
            <x v="0"/>
          </reference>
          <reference field="5" count="1">
            <x v="2"/>
          </reference>
        </references>
      </pivotArea>
    </format>
    <format dxfId="131">
      <pivotArea collapsedLevelsAreSubtotals="1" fieldPosition="0">
        <references count="2">
          <reference field="0" count="1" selected="0">
            <x v="0"/>
          </reference>
          <reference field="5" count="1">
            <x v="2"/>
          </reference>
        </references>
      </pivotArea>
    </format>
    <format dxfId="130">
      <pivotArea collapsedLevelsAreSubtotals="1" fieldPosition="0">
        <references count="2">
          <reference field="0" count="1" selected="0">
            <x v="0"/>
          </reference>
          <reference field="5" count="1">
            <x v="2"/>
          </reference>
        </references>
      </pivotArea>
    </format>
    <format dxfId="129">
      <pivotArea outline="0" collapsedLevelsAreSubtotals="1" fieldPosition="0"/>
    </format>
    <format dxfId="1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35805-C8B8-426F-8C7B-F8C8D3A6FF61}" name="Kontingenčná tabuľka2" cacheId="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C11:F16" firstHeaderRow="1" firstDataRow="2" firstDataCol="1"/>
  <pivotFields count="8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numFmtId="164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Počet z Garage capacity" fld="5" subtotal="count" showDataAs="percentOfTotal" baseField="5" baseItem="0" numFmtId="10"/>
  </dataFields>
  <formats count="20">
    <format dxfId="166">
      <pivotArea collapsedLevelsAreSubtotals="1" fieldPosition="0">
        <references count="2">
          <reference field="0" count="1" selected="0">
            <x v="0"/>
          </reference>
          <reference field="5" count="1">
            <x v="1"/>
          </reference>
        </references>
      </pivotArea>
    </format>
    <format dxfId="165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164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163">
      <pivotArea collapsedLevelsAreSubtotals="1" fieldPosition="0">
        <references count="2">
          <reference field="0" count="1" selected="0">
            <x v="1"/>
          </reference>
          <reference field="5" count="1">
            <x v="2"/>
          </reference>
        </references>
      </pivotArea>
    </format>
    <format dxfId="162">
      <pivotArea collapsedLevelsAreSubtotals="1" fieldPosition="0">
        <references count="2">
          <reference field="0" count="1" selected="0">
            <x v="1"/>
          </reference>
          <reference field="5" count="1">
            <x v="2"/>
          </reference>
        </references>
      </pivotArea>
    </format>
    <format dxfId="161">
      <pivotArea collapsedLevelsAreSubtotals="1" fieldPosition="0">
        <references count="2">
          <reference field="0" count="1" selected="0">
            <x v="1"/>
          </reference>
          <reference field="5" count="1">
            <x v="2"/>
          </reference>
        </references>
      </pivotArea>
    </format>
    <format dxfId="160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159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158">
      <pivotArea field="5" grandCol="1" collapsedLevelsAreSubtotals="1" axis="axisRow" fieldPosition="0">
        <references count="1">
          <reference field="5" count="1">
            <x v="1"/>
          </reference>
        </references>
      </pivotArea>
    </format>
    <format dxfId="157">
      <pivotArea field="5" grandCol="1" collapsedLevelsAreSubtotals="1" axis="axisRow" fieldPosition="0">
        <references count="1">
          <reference field="5" count="1">
            <x v="1"/>
          </reference>
        </references>
      </pivotArea>
    </format>
    <format dxfId="156">
      <pivotArea field="5" grandCol="1" collapsedLevelsAreSubtotals="1" axis="axisRow" fieldPosition="0">
        <references count="1">
          <reference field="5" count="1">
            <x v="1"/>
          </reference>
        </references>
      </pivotArea>
    </format>
    <format dxfId="155">
      <pivotArea grandRow="1" grandCol="1" outline="0" collapsedLevelsAreSubtotals="1" fieldPosition="0"/>
    </format>
    <format dxfId="154">
      <pivotArea collapsedLevelsAreSubtotals="1" fieldPosition="0">
        <references count="2">
          <reference field="0" count="1" selected="0">
            <x v="0"/>
          </reference>
          <reference field="5" count="1">
            <x v="2"/>
          </reference>
        </references>
      </pivotArea>
    </format>
    <format dxfId="153">
      <pivotArea collapsedLevelsAreSubtotals="1" fieldPosition="0">
        <references count="2">
          <reference field="0" count="1" selected="0">
            <x v="0"/>
          </reference>
          <reference field="5" count="1">
            <x v="2"/>
          </reference>
        </references>
      </pivotArea>
    </format>
    <format dxfId="152">
      <pivotArea collapsedLevelsAreSubtotals="1" fieldPosition="0">
        <references count="2">
          <reference field="0" count="1" selected="0">
            <x v="0"/>
          </reference>
          <reference field="5" count="1">
            <x v="2"/>
          </reference>
        </references>
      </pivotArea>
    </format>
    <format dxfId="151">
      <pivotArea collapsedLevelsAreSubtotals="1" fieldPosition="0">
        <references count="2">
          <reference field="0" count="1" selected="0">
            <x v="0"/>
          </reference>
          <reference field="5" count="1">
            <x v="2"/>
          </reference>
        </references>
      </pivotArea>
    </format>
    <format dxfId="150">
      <pivotArea outline="0" collapsedLevelsAreSubtotals="1" fieldPosition="0"/>
    </format>
    <format dxfId="149">
      <pivotArea outline="0" collapsedLevelsAreSubtotals="1" fieldPosition="0"/>
    </format>
    <format dxfId="148">
      <pivotArea outline="0" fieldPosition="0">
        <references count="1">
          <reference field="4294967294" count="1">
            <x v="0"/>
          </reference>
        </references>
      </pivotArea>
    </format>
    <format dxfId="147">
      <pivotArea collapsedLevelsAreSubtotals="1" fieldPosition="0">
        <references count="2">
          <reference field="0" count="1" selected="0">
            <x v="0"/>
          </reference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CD5CC-7248-4974-91D2-90E68F2F2CB2}" name="Kontingenčná tabuľka6" cacheId="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C15:F20" firstHeaderRow="1" firstDataRow="2" firstDataCol="1"/>
  <pivotFields count="8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numFmtId="164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Počet z Garage capacity" fld="5" subtotal="count" showDataAs="percentOfTotal" baseField="5" baseItem="0" numFmtId="10"/>
  </dataFields>
  <formats count="4">
    <format dxfId="88">
      <pivotArea collapsedLevelsAreSubtotals="1" fieldPosition="0">
        <references count="2">
          <reference field="0" count="1" selected="0">
            <x v="0"/>
          </reference>
          <reference field="5" count="1">
            <x v="1"/>
          </reference>
        </references>
      </pivotArea>
    </format>
    <format dxfId="87">
      <pivotArea grandRow="1" grandCol="1" outline="0" collapsedLevelsAreSubtotals="1" fieldPosition="0"/>
    </format>
    <format dxfId="86">
      <pivotArea grandRow="1" grandCol="1" outline="0" collapsedLevelsAreSubtotals="1" fieldPosition="0"/>
    </format>
    <format dxfId="85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B9908-BFEA-4B4F-99A9-499459D8EA14}" name="Kontingenčná tabuľka5" cacheId="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C4:F9" firstHeaderRow="1" firstDataRow="2" firstDataCol="1"/>
  <pivotFields count="8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numFmtId="164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Počet z Garage capacity" fld="5" subtotal="count" baseField="0" baseItem="1072693248"/>
  </dataFields>
  <formats count="17">
    <format dxfId="105">
      <pivotArea collapsedLevelsAreSubtotals="1" fieldPosition="0">
        <references count="2">
          <reference field="0" count="1" selected="0">
            <x v="0"/>
          </reference>
          <reference field="5" count="1">
            <x v="1"/>
          </reference>
        </references>
      </pivotArea>
    </format>
    <format dxfId="104">
      <pivotArea collapsedLevelsAreSubtotals="1" fieldPosition="0">
        <references count="2">
          <reference field="0" count="1" selected="0">
            <x v="0"/>
          </reference>
          <reference field="5" count="1">
            <x v="1"/>
          </reference>
        </references>
      </pivotArea>
    </format>
    <format dxfId="103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102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101">
      <pivotArea collapsedLevelsAreSubtotals="1" fieldPosition="0">
        <references count="2">
          <reference field="0" count="1" selected="0">
            <x v="1"/>
          </reference>
          <reference field="5" count="1">
            <x v="2"/>
          </reference>
        </references>
      </pivotArea>
    </format>
    <format dxfId="100">
      <pivotArea collapsedLevelsAreSubtotals="1" fieldPosition="0">
        <references count="2">
          <reference field="0" count="1" selected="0">
            <x v="1"/>
          </reference>
          <reference field="5" count="1">
            <x v="2"/>
          </reference>
        </references>
      </pivotArea>
    </format>
    <format dxfId="99">
      <pivotArea collapsedLevelsAreSubtotals="1" fieldPosition="0">
        <references count="2">
          <reference field="0" count="1" selected="0">
            <x v="1"/>
          </reference>
          <reference field="5" count="1">
            <x v="2"/>
          </reference>
        </references>
      </pivotArea>
    </format>
    <format dxfId="98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97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96">
      <pivotArea field="5" grandCol="1" collapsedLevelsAreSubtotals="1" axis="axisRow" fieldPosition="0">
        <references count="1">
          <reference field="5" count="1">
            <x v="1"/>
          </reference>
        </references>
      </pivotArea>
    </format>
    <format dxfId="95">
      <pivotArea field="5" grandCol="1" collapsedLevelsAreSubtotals="1" axis="axisRow" fieldPosition="0">
        <references count="1">
          <reference field="5" count="1">
            <x v="1"/>
          </reference>
        </references>
      </pivotArea>
    </format>
    <format dxfId="94">
      <pivotArea field="5" grandCol="1" collapsedLevelsAreSubtotals="1" axis="axisRow" fieldPosition="0">
        <references count="1">
          <reference field="5" count="1">
            <x v="1"/>
          </reference>
        </references>
      </pivotArea>
    </format>
    <format dxfId="93">
      <pivotArea grandRow="1" grandCol="1" outline="0" collapsedLevelsAreSubtotals="1" fieldPosition="0"/>
    </format>
    <format dxfId="92">
      <pivotArea collapsedLevelsAreSubtotals="1" fieldPosition="0">
        <references count="2">
          <reference field="0" count="1" selected="0">
            <x v="0"/>
          </reference>
          <reference field="5" count="1">
            <x v="2"/>
          </reference>
        </references>
      </pivotArea>
    </format>
    <format dxfId="91">
      <pivotArea collapsedLevelsAreSubtotals="1" fieldPosition="0">
        <references count="2">
          <reference field="0" count="1" selected="0">
            <x v="0"/>
          </reference>
          <reference field="5" count="1">
            <x v="2"/>
          </reference>
        </references>
      </pivotArea>
    </format>
    <format dxfId="90">
      <pivotArea collapsedLevelsAreSubtotals="1" fieldPosition="0">
        <references count="2">
          <reference field="0" count="1" selected="0">
            <x v="0"/>
          </reference>
          <reference field="5" count="1">
            <x v="2"/>
          </reference>
        </references>
      </pivotArea>
    </format>
    <format dxfId="89">
      <pivotArea collapsedLevelsAreSubtotals="1" fieldPosition="0">
        <references count="2">
          <reference field="0" count="1" selected="0">
            <x v="0"/>
          </reference>
          <reference field="5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D958E-14E0-41E3-B941-E38A6718713B}" name="Kontingenčná tabuľka8" cacheId="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C35:F40" firstHeaderRow="1" firstDataRow="2" firstDataCol="1"/>
  <pivotFields count="8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numFmtId="164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Počet z Garage capacity" fld="5" subtotal="count" showDataAs="percentOfRow" baseField="5" baseItem="0" numFmtId="10"/>
  </dataFields>
  <formats count="12">
    <format dxfId="117">
      <pivotArea grandCol="1" outline="0" collapsedLevelsAreSubtotals="1" fieldPosition="0"/>
    </format>
    <format dxfId="116">
      <pivotArea grandCol="1" outline="0" collapsedLevelsAreSubtotals="1" fieldPosition="0"/>
    </format>
    <format dxfId="115">
      <pivotArea grandCol="1" outline="0" collapsedLevelsAreSubtotals="1" fieldPosition="0"/>
    </format>
    <format dxfId="114">
      <pivotArea collapsedLevelsAreSubtotals="1" fieldPosition="0">
        <references count="2">
          <reference field="0" count="1" selected="0">
            <x v="0"/>
          </reference>
          <reference field="5" count="1">
            <x v="1"/>
          </reference>
        </references>
      </pivotArea>
    </format>
    <format dxfId="113">
      <pivotArea collapsedLevelsAreSubtotals="1" fieldPosition="0">
        <references count="2">
          <reference field="0" count="1" selected="0">
            <x v="0"/>
          </reference>
          <reference field="5" count="1">
            <x v="0"/>
          </reference>
        </references>
      </pivotArea>
    </format>
    <format dxfId="112">
      <pivotArea collapsedLevelsAreSubtotals="1" fieldPosition="0">
        <references count="2">
          <reference field="0" count="1" selected="0">
            <x v="0"/>
          </reference>
          <reference field="5" count="1">
            <x v="0"/>
          </reference>
        </references>
      </pivotArea>
    </format>
    <format dxfId="111">
      <pivotArea collapsedLevelsAreSubtotals="1" fieldPosition="0">
        <references count="2">
          <reference field="0" count="1" selected="0">
            <x v="0"/>
          </reference>
          <reference field="5" count="1">
            <x v="0"/>
          </reference>
        </references>
      </pivotArea>
    </format>
    <format dxfId="110">
      <pivotArea field="0" grandRow="1" outline="0" collapsedLevelsAreSubtotals="1" axis="axisCol" fieldPosition="0">
        <references count="1">
          <reference field="0" count="1" selected="0">
            <x v="0"/>
          </reference>
        </references>
      </pivotArea>
    </format>
    <format dxfId="109">
      <pivotArea field="0" grandRow="1" outline="0" collapsedLevelsAreSubtotals="1" axis="axisCol" fieldPosition="0">
        <references count="1">
          <reference field="0" count="1" selected="0">
            <x v="0"/>
          </reference>
        </references>
      </pivotArea>
    </format>
    <format dxfId="108">
      <pivotArea collapsedLevelsAreSubtotals="1" fieldPosition="0">
        <references count="2">
          <reference field="0" count="1" selected="0">
            <x v="1"/>
          </reference>
          <reference field="5" count="1">
            <x v="2"/>
          </reference>
        </references>
      </pivotArea>
    </format>
    <format dxfId="107">
      <pivotArea collapsedLevelsAreSubtotals="1" fieldPosition="0">
        <references count="2">
          <reference field="0" count="1" selected="0">
            <x v="1"/>
          </reference>
          <reference field="5" count="1">
            <x v="2"/>
          </reference>
        </references>
      </pivotArea>
    </format>
    <format dxfId="106">
      <pivotArea collapsedLevelsAreSubtotals="1" fieldPosition="0">
        <references count="2">
          <reference field="0" count="1" selected="0">
            <x v="1"/>
          </reference>
          <reference field="5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9104E-ACF1-4491-BAE7-E29E5E2FB7E2}" name="Kontingenčná tabuľka7" cacheId="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C25:F30" firstHeaderRow="1" firstDataRow="2" firstDataCol="1"/>
  <pivotFields count="8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numFmtId="164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Počet z Garage capacity" fld="5" subtotal="count" showDataAs="percentOfCol" baseField="5" baseItem="0" numFmtId="10"/>
  </dataFields>
  <formats count="10">
    <format dxfId="127">
      <pivotArea collapsedLevelsAreSubtotals="1" fieldPosition="0">
        <references count="2">
          <reference field="0" count="1" selected="0">
            <x v="0"/>
          </reference>
          <reference field="5" count="1">
            <x v="1"/>
          </reference>
        </references>
      </pivotArea>
    </format>
    <format dxfId="126">
      <pivotArea collapsedLevelsAreSubtotals="1" fieldPosition="0">
        <references count="2">
          <reference field="0" count="1" selected="0">
            <x v="0"/>
          </reference>
          <reference field="5" count="1">
            <x v="1"/>
          </reference>
        </references>
      </pivotArea>
    </format>
    <format dxfId="125">
      <pivotArea grandRow="1" grandCol="1" outline="0" collapsedLevelsAreSubtotals="1" fieldPosition="0"/>
    </format>
    <format dxfId="124">
      <pivotArea grandRow="1" grandCol="1" outline="0" collapsedLevelsAreSubtotals="1" fieldPosition="0"/>
    </format>
    <format dxfId="123">
      <pivotArea grandRow="1" grandCol="1" outline="0" collapsedLevelsAreSubtotals="1" fieldPosition="0"/>
    </format>
    <format dxfId="122">
      <pivotArea grandRow="1" outline="0" collapsedLevelsAreSubtotals="1" fieldPosition="0"/>
    </format>
    <format dxfId="121">
      <pivotArea grandRow="1" outline="0" collapsedLevelsAreSubtotals="1" fieldPosition="0"/>
    </format>
    <format dxfId="120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119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118">
      <pivotArea collapsedLevelsAreSubtotals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ABBDA-AA95-4A4A-AC69-78D71E38C514}" name="Kontingenčná tabuľka4" cacheId="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E10:F13" firstHeaderRow="1" firstDataRow="1" firstDataCol="1"/>
  <pivotFields count="8"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numFmtId="164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Počet z Location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5C16E-5351-4087-B48F-17E45D33F8AA}" name="Kontingenčná tabuľka3" cacheId="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A10:B13" firstHeaderRow="1" firstDataRow="1" firstDataCol="1"/>
  <pivotFields count="8"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numFmtId="164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Počet z Loca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54C204-960A-4E16-B95D-8676A5C81E22}" name="Kontingenčná tabuľka2" cacheId="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E3:F7" firstHeaderRow="1" firstDataRow="1" firstDataCol="1"/>
  <pivotFields count="8"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numFmtId="164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očet z Garage capacity" fld="5" subtotal="count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A5E1D-231B-4F4B-A472-351138E0D5A5}" name="Kontingenčná tabuľka1" cacheId="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A3:B7" firstHeaderRow="1" firstDataRow="1" firstDataCol="1"/>
  <pivotFields count="8"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numFmtId="164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očet z Garage capacity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E9ADF-1F52-4719-8E5F-5D57FE6345D9}" name="Kontingenčná tabuľka12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N2:O8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numFmtId="164"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Počet z Price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959CB-E345-4B07-B1D7-B2A6B1C6D4B0}" name="Kontingenčná tabuľka11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K13:L19" firstHeaderRow="1" firstDataRow="1" firstDataCol="1"/>
  <pivotFields count="7">
    <pivotField showAll="0"/>
    <pivotField showAll="0"/>
    <pivotField axis="axisRow" dataField="1" showAll="0" sortType="descending">
      <items count="6">
        <item x="1"/>
        <item x="2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4" showAll="0"/>
  </pivotFields>
  <rowFields count="1">
    <field x="2"/>
  </rowFields>
  <rowItems count="6">
    <i>
      <x v="2"/>
    </i>
    <i>
      <x v="1"/>
    </i>
    <i>
      <x/>
    </i>
    <i>
      <x v="3"/>
    </i>
    <i>
      <x v="4"/>
    </i>
    <i t="grand">
      <x/>
    </i>
  </rowItems>
  <colItems count="1">
    <i/>
  </colItems>
  <dataFields count="1">
    <dataField name="Počet z Bedrooms" fld="2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3D215-DED0-4A6B-AFAD-A9B01BCF21CA}" name="Kontingenčná tabuľka10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K7:L11" firstHeaderRow="1" firstDataRow="1" firstDataCol="1"/>
  <pivotFields count="7"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očet z House 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1899A-AE6A-43DC-A6B3-2BCBE771C371}" name="Kontingenčná tabuľka9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K2:L5" firstHeaderRow="1" firstDataRow="1" firstDataCol="1"/>
  <pivotFields count="7"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64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Počet z Loca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A671B-A019-4E43-95DF-6408D5A8336F}" name="Kontingenčná tabuľka4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K21:L26" firstHeaderRow="1" firstDataRow="1" firstDataCol="1"/>
  <pivotFields count="7">
    <pivotField showAll="0"/>
    <pivotField showAll="0"/>
    <pivotField showAll="0">
      <items count="6">
        <item x="1"/>
        <item x="2"/>
        <item x="0"/>
        <item x="3"/>
        <item x="4"/>
        <item t="default"/>
      </items>
    </pivotField>
    <pivotField axis="axisRow" dataField="1" showAll="0">
      <items count="5">
        <item x="1"/>
        <item x="0"/>
        <item x="2"/>
        <item x="3"/>
        <item t="default"/>
      </items>
    </pivotField>
    <pivotField showAll="0"/>
    <pivotField showAll="0"/>
    <pivotField numFmtId="164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očet z Reception rooms" fld="3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0C2A9-EDD4-431C-B82C-6B04A3C41729}" name="Kontingenčná tabuľka1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B3:C9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numFmtId="164"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Počet z Price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2F30A-C8AD-436E-B215-72D6BF2371A3}" name="Kontingenčná tabuľka2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E3:F9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numFmtId="164"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Počet z Price" fld="6" subtotal="count" showDataAs="percentOfTotal" baseField="6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09FA691-5C6C-4C9C-963A-FF5465F063A8}" name="tab_povodna13" displayName="tab_povodna13" ref="A1:G51" dataDxfId="14">
  <autoFilter ref="A1:G51" xr:uid="{445CB130-2E8D-4AF1-A702-4E0BAB92C22B}"/>
  <tableColumns count="7">
    <tableColumn id="1" xr3:uid="{23781D5B-3D8F-45F3-9909-3FF9C8720660}" name="Location" totalsRowLabel="Celková hodnota" dataDxfId="12" totalsRowDxfId="13"/>
    <tableColumn id="2" xr3:uid="{0C2DB451-A43E-4560-98BA-E691B005DDDA}" name="House type" dataDxfId="10" totalsRowDxfId="11"/>
    <tableColumn id="3" xr3:uid="{386FACCA-46D5-42E7-B044-39EFD61C6081}" name="Bedrooms" dataDxfId="8" totalsRowDxfId="9"/>
    <tableColumn id="4" xr3:uid="{6431E11C-10A2-4664-8435-67ECD10558F3}" name="Reception rooms" dataDxfId="6" totalsRowDxfId="7"/>
    <tableColumn id="5" xr3:uid="{AD9FD34A-858F-465B-9A76-BA994237B0F4}" name="Bedrooms_Receptions" dataDxfId="4" totalsRowDxfId="5">
      <calculatedColumnFormula>C2+D2</calculatedColumnFormula>
    </tableColumn>
    <tableColumn id="6" xr3:uid="{99D22C39-1894-48DA-9D08-E68E8CB92FD0}" name="Garage capacity" dataDxfId="2" totalsRowDxfId="3"/>
    <tableColumn id="7" xr3:uid="{65707657-53A1-4CC9-89C9-AA20D14E1C2E}" name="Price" totalsRowFunction="average" dataDxfId="0" totalsRowDxfId="1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57EB86F-5B64-4472-8997-E196EFA94D28}" name="Tabuľka8" displayName="Tabuľka8" ref="A5:H10" totalsRowCount="1">
  <autoFilter ref="A5:H9" xr:uid="{66664965-4EDB-43A2-962E-5EE6FE7EC8ED}"/>
  <tableColumns count="8">
    <tableColumn id="1" xr3:uid="{B6FD2A63-A1EA-4B1E-A948-9DEC470449CD}" name="xi"/>
    <tableColumn id="2" xr3:uid="{38291B37-7D7C-44D9-B49F-596E44AE9A0B}" name="pi = BI(0,5; 3)" totalsRowFunction="sum">
      <calculatedColumnFormula>_xlfn.BINOM.DIST(A6,3,0.5,0)</calculatedColumnFormula>
    </tableColumn>
    <tableColumn id="3" xr3:uid="{44AE6AD0-E886-4E78-9FA1-62070A8C75E8}" name="pi = BI(0,5; 3)2" totalsRowFunction="sum">
      <calculatedColumnFormula>_xlfn.BINOM.DIST(A6,$B$3,$B$2,FALSE)</calculatedColumnFormula>
    </tableColumn>
    <tableColumn id="4" xr3:uid="{6502DD19-A00A-4544-8931-A46E7FE3D6F1}" name="F(x)" totalsRowLabel="X" totalsRowDxfId="192">
      <calculatedColumnFormula>_xlfn.BINOM.DIST(A6,$B$3,$B$2,1)</calculatedColumnFormula>
    </tableColumn>
    <tableColumn id="5" xr3:uid="{8F86031D-9A53-4EEB-AD4F-BB0472F6D7F7}" name="F(x)3" totalsRowLabel="X" totalsRowDxfId="191">
      <calculatedColumnFormula>BINOMDIST(A6,$B$3,$B$2,1)</calculatedColumnFormula>
    </tableColumn>
    <tableColumn id="6" xr3:uid="{F45807F7-535A-42A9-9429-2D1224D83E58}" name="Skúška správnosti" totalsRowLabel="X" totalsRowDxfId="190">
      <calculatedColumnFormula>B6+F5</calculatedColumnFormula>
    </tableColumn>
    <tableColumn id="7" xr3:uid="{01737659-B2A5-47AD-950A-978976B6D65D}" name="xi*pi" totalsRowFunction="sum" dataDxfId="189" totalsRowDxfId="188">
      <calculatedColumnFormula>Tabuľka8[[#This Row],[xi]]*Tabuľka8[[#This Row],[pi = BI(0,5; 3)]]</calculatedColumnFormula>
    </tableColumn>
    <tableColumn id="8" xr3:uid="{E550F957-BF64-448D-9BB0-718550AA60D1}" name="xi^2*pi" totalsRowFunction="sum" dataDxfId="187" totalsRowDxfId="186">
      <calculatedColumnFormula>Tabuľka8[[#This Row],[xi]]*Tabuľka8[[#This Row],[xi*pi]]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E029E03-E002-43AC-9085-53415A371654}" name="Tabuľka810" displayName="Tabuľka810" ref="A45:H50" totalsRowCount="1">
  <autoFilter ref="A45:H49" xr:uid="{A2A447E8-AF35-4D34-B533-BDB650CA3866}"/>
  <tableColumns count="8">
    <tableColumn id="1" xr3:uid="{3E144542-B7AC-412D-BC66-4AA2825C5684}" name="xi"/>
    <tableColumn id="2" xr3:uid="{5179A7A1-2C7D-4BD0-B450-590BD01B6097}" name="pi = BI(0,51; 3)" totalsRowFunction="sum" dataDxfId="185">
      <calculatedColumnFormula>_xlfn.BINOM.DIST(A46,3,0.51,0)</calculatedColumnFormula>
    </tableColumn>
    <tableColumn id="3" xr3:uid="{6789BAF7-76A4-47B1-891A-4CCD395BD76D}" name="pi = BI(0,51; 3)2" totalsRowFunction="sum" dataDxfId="184">
      <calculatedColumnFormula>_xlfn.BINOM.DIST(A46,$B$43,$B$42,FALSE)</calculatedColumnFormula>
    </tableColumn>
    <tableColumn id="4" xr3:uid="{F4BCDF74-0D0F-491E-B31C-3CE2A38BA386}" name="F(x)" totalsRowLabel="X" dataDxfId="183" totalsRowDxfId="182">
      <calculatedColumnFormula>_xlfn.BINOM.DIST(A46,$B$43,$B$42,1)</calculatedColumnFormula>
    </tableColumn>
    <tableColumn id="5" xr3:uid="{2FBFA9FE-A670-4A7D-B1A9-713DC2CFE2B6}" name="F(x)3" totalsRowLabel="X" dataDxfId="181" totalsRowDxfId="180">
      <calculatedColumnFormula>BINOMDIST(A46,$B$43,$B$42,1)</calculatedColumnFormula>
    </tableColumn>
    <tableColumn id="6" xr3:uid="{0C9557D0-F013-459A-ACA3-0F1237A0516D}" name="Skúška správnosti" totalsRowLabel="X" totalsRowDxfId="179">
      <calculatedColumnFormula>B46+F45</calculatedColumnFormula>
    </tableColumn>
    <tableColumn id="7" xr3:uid="{52E87B62-CB9B-453F-8F24-D20D42114A20}" name="xi*pi" totalsRowFunction="sum" dataDxfId="178" totalsRowDxfId="177">
      <calculatedColumnFormula>Tabuľka810[[#This Row],[xi]]*Tabuľka810[[#This Row],[pi = BI(0,51; 3)]]</calculatedColumnFormula>
    </tableColumn>
    <tableColumn id="8" xr3:uid="{7381CED0-11AA-4AA1-ACC7-F1A640CA8AC7}" name="xi^2*pi" totalsRowFunction="sum" dataDxfId="176" totalsRowDxfId="175">
      <calculatedColumnFormula>Tabuľka810[[#This Row],[xi]]*Tabuľka810[[#This Row],[xi*pi]]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432FF96-C1D7-4CB8-876F-7D9BD3203FC9}" name="Tabuľka10" displayName="Tabuľka10" ref="A65:E77" totalsRowCount="1">
  <autoFilter ref="A65:E76" xr:uid="{99C9FDBB-9E77-47BD-B092-264A5C0C6BB9}"/>
  <tableColumns count="5">
    <tableColumn id="1" xr3:uid="{F4DC75A1-BCE8-4FBE-8B30-E695A48E3366}" name="xi" totalsRowLabel="Celková hodnota"/>
    <tableColumn id="2" xr3:uid="{9CC6D68F-1E68-499D-BFC0-245FB3D36820}" name="pi = BI(0,2; 10)" totalsRowFunction="sum" dataDxfId="174" totalsRowDxfId="173">
      <calculatedColumnFormula>_xlfn.BINOM.DIST(A66,10,0.2,0)</calculatedColumnFormula>
    </tableColumn>
    <tableColumn id="3" xr3:uid="{BD671015-C10B-4980-A1B6-54DED6C3020D}" name="F(x)" dataDxfId="172">
      <calculatedColumnFormula>_xlfn.BINOM.DIST(A66,10,0.2,1)</calculatedColumnFormula>
    </tableColumn>
    <tableColumn id="4" xr3:uid="{09B1B006-E9CC-423D-8888-89D620149555}" name="xi*pi" totalsRowFunction="sum">
      <calculatedColumnFormula>A66*B66</calculatedColumnFormula>
    </tableColumn>
    <tableColumn id="5" xr3:uid="{84C97006-9331-4BAD-9137-1F466621F0A3}" name="xi^2*pi" totalsRowFunction="sum" dataDxfId="171">
      <calculatedColumnFormula>Tabuľka10[[#This Row],[xi]]*Tabuľka10[[#This Row],[xi*pi]]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7068DFD-9BFF-46F5-A196-0FA4186D1F46}" name="Tabuľka1012" displayName="Tabuľka1012" ref="G65:K77" totalsRowCount="1">
  <autoFilter ref="G65:K76" xr:uid="{9CE214B2-7363-4030-95ED-DDEA17413482}"/>
  <tableColumns count="5">
    <tableColumn id="1" xr3:uid="{734E6A67-8D80-4640-A92D-D408B5005459}" name="xi" totalsRowLabel="Celková hodnota"/>
    <tableColumn id="2" xr3:uid="{517F2EF2-AB62-4A5A-9332-6066FB60406F}" name="pi = BI(0,8; 10)" totalsRowFunction="sum" dataDxfId="170" totalsRowDxfId="169">
      <calculatedColumnFormula>_xlfn.BINOM.DIST(G66,10,0.8,0)</calculatedColumnFormula>
    </tableColumn>
    <tableColumn id="3" xr3:uid="{5610359E-CCD7-4718-8E33-FBCB55615245}" name="F(x)" dataDxfId="168">
      <calculatedColumnFormula>_xlfn.BINOM.DIST(G66,10,0.8,1)</calculatedColumnFormula>
    </tableColumn>
    <tableColumn id="4" xr3:uid="{B98D57EB-E2AD-41CA-A99B-CFC2EA3B8443}" name="xi*pi" totalsRowFunction="sum">
      <calculatedColumnFormula>G66*H66</calculatedColumnFormula>
    </tableColumn>
    <tableColumn id="5" xr3:uid="{A2A13EBD-7A14-419A-8D5D-CBE547087497}" name="xi^2*pi" totalsRowFunction="sum" dataDxfId="167">
      <calculatedColumnFormula>Tabuľka1012[[#This Row],[xi]]*Tabuľka1012[[#This Row],[xi*pi]]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86C82B4-6934-489A-B92B-E96E195750C8}" name="Tabuľka7" displayName="Tabuľka7" ref="A1:H51" totalsRowShown="0">
  <autoFilter ref="A1:H51" xr:uid="{09BDB434-73D4-45BF-A0CC-5857309E004A}"/>
  <tableColumns count="8">
    <tableColumn id="1" xr3:uid="{814336D3-7D49-4507-A6AB-2DEE87819538}" name="Location"/>
    <tableColumn id="2" xr3:uid="{3DA7A114-0501-49E1-B99C-5CACB919CE65}" name="House type"/>
    <tableColumn id="3" xr3:uid="{E4FEB9D4-45EC-4684-A1EE-E103AFA025F8}" name="Bedrooms"/>
    <tableColumn id="4" xr3:uid="{E3EF6CB1-2047-46D4-9DCB-135F6D6CD8BD}" name="Reception rooms"/>
    <tableColumn id="5" xr3:uid="{506C2D70-D4D4-4767-8E63-74791A7166CC}" name="Bedrooms_Receptions"/>
    <tableColumn id="6" xr3:uid="{FD8E3AA6-A504-413D-B8AA-A63AF6FA9562}" name="Garage capacity"/>
    <tableColumn id="7" xr3:uid="{A2DEE11D-5BD8-46AA-BC93-11CFF97B7E88}" name="Price"/>
    <tableColumn id="8" xr3:uid="{8332A5F8-1BA5-47A7-A508-14592C3215E3}" name="Máme na to?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B0FC5B9-42C1-4A61-BC80-EA20E555F6C3}" name="tab_data_funkcie" displayName="tab_data_funkcie" ref="B1:K51" dataDxfId="82">
  <autoFilter ref="B1:K51" xr:uid="{445CB130-2E8D-4AF1-A702-4E0BAB92C22B}"/>
  <tableColumns count="10">
    <tableColumn id="1" xr3:uid="{26CBBBFF-490E-47F3-AECA-77E53DF10303}" name="Location" totalsRowLabel="Celková hodnota" dataDxfId="81" totalsRowDxfId="80"/>
    <tableColumn id="2" xr3:uid="{22F0E163-858C-4B1F-A0BC-A4D52941351A}" name="House type" dataDxfId="79" totalsRowDxfId="78"/>
    <tableColumn id="3" xr3:uid="{235B28CE-FE51-4152-BE0A-49DB27452069}" name="Bedrooms" dataDxfId="77" totalsRowDxfId="76"/>
    <tableColumn id="4" xr3:uid="{E5025353-08BD-4F77-AA80-8D19F087BB01}" name="Reception rooms" dataDxfId="75" totalsRowDxfId="74"/>
    <tableColumn id="5" xr3:uid="{37B3AFC6-34B1-41EE-A3DF-0EA6D8DBE3A8}" name="Bedrooms_Receptions" dataDxfId="73" totalsRowDxfId="72">
      <calculatedColumnFormula>D2+E2</calculatedColumnFormula>
    </tableColumn>
    <tableColumn id="6" xr3:uid="{63A3BC60-6C45-491E-9FC2-ADC3DE68311B}" name="Garage capacity" dataDxfId="71" totalsRowDxfId="70"/>
    <tableColumn id="7" xr3:uid="{184768FA-587C-4A57-AB89-268AB81ADFA4}" name="Price" totalsRowFunction="average" dataDxfId="69" totalsRowDxfId="68"/>
    <tableColumn id="9" xr3:uid="{F25EC234-AE66-44BB-858D-C6A726F4025B}" name="Price2" dataDxfId="67" totalsRowDxfId="66">
      <calculatedColumnFormula>tab_data_funkcie[[#This Row],[Price]]/1000</calculatedColumnFormula>
    </tableColumn>
    <tableColumn id="10" xr3:uid="{CACC9179-FDE1-4DCD-9A14-99206A3E6FDB}" name="Price3" dataDxfId="65" totalsRowDxfId="64"/>
    <tableColumn id="8" xr3:uid="{8EC166FA-6E64-4A1D-9B79-3CA90EB0319D}" name="Máme na to?" dataDxfId="63">
      <calculatedColumnFormula>IF(tab_data_funkcie[[#This Row],[Price]]&lt;=210000,"OK","NG")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F83AA5-7284-4508-90CC-E3737C3434D9}" name="Tabuľka6" displayName="Tabuľka6" ref="A1:G6" totalsRowCount="1" headerRowDxfId="62" headerRowBorderDxfId="61" tableBorderDxfId="60">
  <autoFilter ref="A1:G5" xr:uid="{44AA497B-C1BA-43B4-90D0-160B0C5CA24A}"/>
  <tableColumns count="7">
    <tableColumn id="1" xr3:uid="{249EBD83-F16A-4940-B54D-B05BEF6D4918}" name="Bin/category Price" totalsRowLabel="Celková hodnota" dataDxfId="59" totalsRowDxfId="58"/>
    <tableColumn id="2" xr3:uid="{5AEAAD88-4DC7-40B1-87B7-BE77E8067456}" name="Frequency" totalsRowFunction="sum" dataDxfId="57" totalsRowDxfId="56"/>
    <tableColumn id="3" xr3:uid="{F16AEA2B-0AE1-4826-9B06-9E607D6C0D0A}" name="Cumulative %" totalsRowLabel="10,00%" dataDxfId="55" totalsRowDxfId="54"/>
    <tableColumn id="4" xr3:uid="{68D7660E-66C0-467F-9A5F-D3F309074C9C}" name="ni" totalsRowFunction="sum" dataDxfId="53">
      <calculatedColumnFormula>Tabuľka6[[#This Row],[Frequency]]</calculatedColumnFormula>
    </tableColumn>
    <tableColumn id="5" xr3:uid="{F07EF3F1-0A1D-42F3-92D8-FC8D002BE7BC}" name="fi" totalsRowFunction="sum" totalsRowDxfId="52">
      <calculatedColumnFormula>Tabuľka6[[#This Row],[ni]]/Tabuľka6[[#Totals],[ni]]</calculatedColumnFormula>
    </tableColumn>
    <tableColumn id="6" xr3:uid="{867D6027-7A3C-4AC4-B04A-4E27F584EEFC}" name="Ni " totalsRowLabel="X" totalsRowDxfId="51"/>
    <tableColumn id="7" xr3:uid="{74BBE7BD-7003-4FC9-BC9A-7E97DB80B0BF}" name="Fi " totalsRowLabel="X" totalsRowDxfId="5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777BA1-5F9E-4C87-BB2F-BE03401AA153}" name="tab_povodna" displayName="tab_povodna" ref="A1:G51" dataDxfId="49">
  <autoFilter ref="A1:G51" xr:uid="{445CB130-2E8D-4AF1-A702-4E0BAB92C22B}"/>
  <tableColumns count="7">
    <tableColumn id="1" xr3:uid="{FDC83E70-C12F-4E6B-95AA-E86FDA5DB402}" name="Location" totalsRowLabel="Celková hodnota" dataDxfId="48" totalsRowDxfId="47"/>
    <tableColumn id="2" xr3:uid="{7C2CF2E8-934F-4505-B116-C6E7B9F01DD6}" name="House type" dataDxfId="46" totalsRowDxfId="45"/>
    <tableColumn id="3" xr3:uid="{253A3BF7-F442-44D5-AA0F-B1872DB53236}" name="Bedrooms" dataDxfId="44" totalsRowDxfId="43"/>
    <tableColumn id="4" xr3:uid="{97516067-9E83-48C5-911C-173D0506019F}" name="Reception rooms" dataDxfId="42" totalsRowDxfId="41"/>
    <tableColumn id="5" xr3:uid="{DEE73C93-9ACF-46C8-976F-40048D7F1993}" name="Bedrooms_Receptions" dataDxfId="40" totalsRowDxfId="39">
      <calculatedColumnFormula>C2+D2</calculatedColumnFormula>
    </tableColumn>
    <tableColumn id="6" xr3:uid="{BA427B74-42B0-48A2-B4F7-2C3D92C2D766}" name="Garage capacity" dataDxfId="38" totalsRowDxfId="37"/>
    <tableColumn id="7" xr3:uid="{E6CAA152-CC1F-49E8-9EBE-5AF59E259117}" name="Price" totalsRowFunction="average" dataDxfId="36" totalsRowDxfId="35"/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83B593-506D-415A-A476-2C218AE5C94B}" name="Tabuľka2" displayName="Tabuľka2" ref="B2:G13" totalsRowShown="0">
  <autoFilter ref="B2:G13" xr:uid="{D51096E8-F1F7-43B0-8126-2DCB490F2F57}"/>
  <tableColumns count="6">
    <tableColumn id="1" xr3:uid="{0412CE54-03BA-4C3F-AAD6-538C6022BF8C}" name="Stĺpec1"/>
    <tableColumn id="2" xr3:uid="{A8A8466A-3035-4C31-A78C-81B330F6906E}" name="Stĺpec2"/>
    <tableColumn id="3" xr3:uid="{C7AA173D-F3A2-4519-8F21-D81CB2276D5B}" name="Stĺpec3"/>
    <tableColumn id="4" xr3:uid="{CBF187C5-9EB5-4973-9387-9E740F9D2147}" name="Stĺpec4"/>
    <tableColumn id="5" xr3:uid="{CBD6EC90-6EC6-471B-9478-8BD19FC7D9C6}" name="Stĺpec5"/>
    <tableColumn id="6" xr3:uid="{09AD3000-A524-4D83-9FD3-81D12634C7C2}" name="Stĺpec6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D09B58-6911-4E94-AC0D-069032DBA185}" name="Tabuľka4" displayName="Tabuľka4" ref="A1:F6" totalsRowCount="1" headerRowDxfId="34" headerRowBorderDxfId="33" tableBorderDxfId="32">
  <autoFilter ref="A1:F5" xr:uid="{16465B03-355B-4B55-9B87-B05B5B4E02A2}"/>
  <tableColumns count="6">
    <tableColumn id="1" xr3:uid="{2A596886-4158-4C5E-92F4-ACFC4FE388EF}" name="Bin/category Price" totalsRowLabel="Celková hodnota" dataDxfId="31" totalsRowDxfId="30"/>
    <tableColumn id="2" xr3:uid="{2150701B-9F69-4085-AA66-7BFDEDF7E7D7}" name="Frequency" totalsRowFunction="sum" dataDxfId="29" totalsRowDxfId="28"/>
    <tableColumn id="3" xr3:uid="{5B987121-A305-497D-9437-C0B4AA7B2C62}" name="Cumulative %" dataDxfId="27" totalsRowDxfId="26"/>
    <tableColumn id="4" xr3:uid="{D5C977C5-D947-48FA-AD34-5D67417A5013}" name="fi">
      <calculatedColumnFormula>Tabuľka4[[#This Row],[Frequency]]/Tabuľka4[[#Totals],[Frequency]]</calculatedColumnFormula>
    </tableColumn>
    <tableColumn id="5" xr3:uid="{5A53AA81-AC17-4C19-93E1-E822EAD76BC6}" name="ni" totalsRowLabel="X" totalsRowDxfId="25"/>
    <tableColumn id="6" xr3:uid="{64BA3B11-A43E-43FA-8CFD-1E19071D5BF9}" name="FI " totalsRowLabel="X" totalsRowDxfId="2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C6BD4D-C58E-4ED2-8990-9CE3180D5967}" name="Tabuľka3" displayName="Tabuľka3" ref="A1:C6" totalsRowCount="1" headerRowDxfId="23" headerRowBorderDxfId="22" tableBorderDxfId="21">
  <autoFilter ref="A1:C5" xr:uid="{E1BA4460-1CDA-4BA9-914D-A9ABA202F6D6}"/>
  <tableColumns count="3">
    <tableColumn id="1" xr3:uid="{79937C9A-0DBD-4AAD-9FC6-83CC1603EF79}" name="Bin/category Price" totalsRowLabel="Celková hodnota" dataDxfId="20" totalsRowDxfId="19"/>
    <tableColumn id="2" xr3:uid="{022E6276-0533-4F2E-AC26-E1B102A8C5BD}" name="Frequency" dataDxfId="18" totalsRowDxfId="17"/>
    <tableColumn id="3" xr3:uid="{7F0D9FFC-3112-4D5A-B8C6-4C47E27F9084}" name="Cumulative %" dataDxfId="16" totalsRowDxf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23" dT="2020-12-01T18:00:00.36" personId="{5A2E8643-51ED-4F00-9594-202DF289C514}" id="{04ECCF87-4C8E-4393-A126-41D161555B19}">
    <text>11% žien má výšku v intervale medzi 165-170)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pivotTable" Target="../pivotTables/pivotTable3.xml"/><Relationship Id="rId7" Type="http://schemas.openxmlformats.org/officeDocument/2006/relationships/vmlDrawing" Target="../drawings/vmlDrawing2.v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vmlDrawing" Target="../drawings/vmlDrawing11.vml"/><Relationship Id="rId7" Type="http://schemas.openxmlformats.org/officeDocument/2006/relationships/table" Target="../tables/table5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pivotTable" Target="../pivotTables/pivotTable1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7" Type="http://schemas.openxmlformats.org/officeDocument/2006/relationships/comments" Target="../comments13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vmlDrawing" Target="../drawings/vmlDrawing13.vml"/><Relationship Id="rId5" Type="http://schemas.openxmlformats.org/officeDocument/2006/relationships/printerSettings" Target="../printerSettings/printerSettings12.bin"/><Relationship Id="rId4" Type="http://schemas.openxmlformats.org/officeDocument/2006/relationships/pivotTable" Target="../pivotTables/pivotTable1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Relationship Id="rId5" Type="http://schemas.openxmlformats.org/officeDocument/2006/relationships/comments" Target="../comments14.xml"/><Relationship Id="rId4" Type="http://schemas.openxmlformats.org/officeDocument/2006/relationships/table" Target="../tables/table7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Relationship Id="rId5" Type="http://schemas.openxmlformats.org/officeDocument/2006/relationships/comments" Target="../comments17.xml"/><Relationship Id="rId4" Type="http://schemas.openxmlformats.org/officeDocument/2006/relationships/table" Target="../tables/table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pivotTable" Target="../pivotTables/pivotTable18.xml"/><Relationship Id="rId7" Type="http://schemas.openxmlformats.org/officeDocument/2006/relationships/vmlDrawing" Target="../drawings/vmlDrawing21.v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rinterSettings" Target="../printerSettings/printerSettings18.bin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Relationship Id="rId9" Type="http://schemas.openxmlformats.org/officeDocument/2006/relationships/comments" Target="../comments2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B1B5D-971F-4547-806E-D0E9386BE293}">
  <sheetPr>
    <tabColor rgb="FF00B050"/>
  </sheetPr>
  <dimension ref="A1:K17"/>
  <sheetViews>
    <sheetView tabSelected="1" workbookViewId="0">
      <selection activeCell="C21" sqref="C21"/>
    </sheetView>
  </sheetViews>
  <sheetFormatPr defaultRowHeight="12.5"/>
  <cols>
    <col min="1" max="1" width="16" bestFit="1" customWidth="1"/>
    <col min="2" max="2" width="11.54296875" bestFit="1" customWidth="1"/>
    <col min="3" max="3" width="15.453125" bestFit="1" customWidth="1"/>
    <col min="4" max="4" width="19.54296875" bestFit="1" customWidth="1"/>
    <col min="5" max="5" width="14.54296875" bestFit="1" customWidth="1"/>
    <col min="6" max="6" width="11.54296875" bestFit="1" customWidth="1"/>
    <col min="7" max="7" width="4.54296875" customWidth="1"/>
    <col min="8" max="8" width="16" bestFit="1" customWidth="1"/>
    <col min="9" max="9" width="11.54296875" bestFit="1" customWidth="1"/>
    <col min="10" max="10" width="16" bestFit="1" customWidth="1"/>
    <col min="11" max="11" width="11.54296875" bestFit="1" customWidth="1"/>
  </cols>
  <sheetData>
    <row r="1" spans="1:11" ht="13">
      <c r="A1" s="23" t="s">
        <v>515</v>
      </c>
      <c r="B1" s="24" t="s">
        <v>335</v>
      </c>
      <c r="C1" s="24" t="s">
        <v>336</v>
      </c>
      <c r="D1" s="24" t="s">
        <v>337</v>
      </c>
      <c r="E1" s="24" t="s">
        <v>304</v>
      </c>
      <c r="F1" s="24" t="s">
        <v>0</v>
      </c>
      <c r="K1" s="12"/>
    </row>
    <row r="2" spans="1:11">
      <c r="B2" s="8"/>
      <c r="C2" s="8"/>
      <c r="D2" s="8"/>
      <c r="E2" s="8"/>
      <c r="F2" s="8"/>
      <c r="K2" s="8"/>
    </row>
    <row r="3" spans="1:11">
      <c r="A3" s="26" t="s">
        <v>2</v>
      </c>
      <c r="B3" s="26">
        <v>3.72</v>
      </c>
      <c r="C3" s="26">
        <v>2.52</v>
      </c>
      <c r="D3" s="26">
        <v>6.24</v>
      </c>
      <c r="E3" s="26">
        <v>0.82</v>
      </c>
      <c r="F3" s="26">
        <v>343160.2</v>
      </c>
    </row>
    <row r="4" spans="1:11">
      <c r="A4" s="8" t="s">
        <v>3</v>
      </c>
      <c r="B4" s="8">
        <v>0.13413365250634865</v>
      </c>
      <c r="C4" s="8">
        <v>0.13474086997201826</v>
      </c>
      <c r="D4" s="8">
        <v>0.23484254386325154</v>
      </c>
      <c r="E4" s="8">
        <v>0.10571428571428571</v>
      </c>
      <c r="F4" s="8">
        <v>21578.318005775316</v>
      </c>
    </row>
    <row r="5" spans="1:11">
      <c r="A5" s="27" t="s">
        <v>4</v>
      </c>
      <c r="B5" s="27">
        <v>4</v>
      </c>
      <c r="C5" s="27">
        <v>2</v>
      </c>
      <c r="D5" s="27">
        <v>6</v>
      </c>
      <c r="E5" s="27">
        <v>1</v>
      </c>
      <c r="F5" s="27">
        <v>309497.5</v>
      </c>
    </row>
    <row r="6" spans="1:11">
      <c r="A6" s="27" t="s">
        <v>5</v>
      </c>
      <c r="B6" s="27">
        <v>4</v>
      </c>
      <c r="C6" s="27">
        <v>2</v>
      </c>
      <c r="D6" s="27">
        <v>6</v>
      </c>
      <c r="E6" s="27">
        <v>1</v>
      </c>
      <c r="F6" s="27">
        <v>375000</v>
      </c>
    </row>
    <row r="7" spans="1:11">
      <c r="A7" s="29" t="s">
        <v>6</v>
      </c>
      <c r="B7" s="29">
        <v>0.94846815272559082</v>
      </c>
      <c r="C7" s="29">
        <v>0.95276182860188974</v>
      </c>
      <c r="D7" s="29">
        <v>1.660587552768044</v>
      </c>
      <c r="E7" s="29">
        <v>0.74751288296863594</v>
      </c>
      <c r="F7" s="29">
        <v>152581.74988483507</v>
      </c>
    </row>
    <row r="8" spans="1:11">
      <c r="A8" s="8" t="s">
        <v>7</v>
      </c>
      <c r="B8" s="8">
        <v>0.89959183673469467</v>
      </c>
      <c r="C8" s="8">
        <v>0.90775510204081666</v>
      </c>
      <c r="D8" s="8">
        <v>2.7575510204081612</v>
      </c>
      <c r="E8" s="8">
        <v>0.55877551020408167</v>
      </c>
      <c r="F8" s="8">
        <v>23281190397.918365</v>
      </c>
    </row>
    <row r="9" spans="1:11">
      <c r="A9" s="28" t="s">
        <v>8</v>
      </c>
      <c r="B9" s="28">
        <v>0.31601001790773875</v>
      </c>
      <c r="C9" s="28">
        <v>-0.89024888309159822</v>
      </c>
      <c r="D9" s="28">
        <v>-0.43808510347422125</v>
      </c>
      <c r="E9" s="28">
        <v>-1.1241529500513963</v>
      </c>
      <c r="F9" s="28">
        <v>1.7589661813043422</v>
      </c>
    </row>
    <row r="10" spans="1:11">
      <c r="A10" s="28" t="s">
        <v>9</v>
      </c>
      <c r="B10" s="28">
        <v>3.1094173216145633E-3</v>
      </c>
      <c r="C10" s="28">
        <v>0.23549484966916651</v>
      </c>
      <c r="D10" s="28">
        <v>-0.12059974164344255</v>
      </c>
      <c r="E10" s="28">
        <v>0.30927982029076218</v>
      </c>
      <c r="F10" s="28">
        <v>1.2155383284748322</v>
      </c>
    </row>
    <row r="11" spans="1:11">
      <c r="A11" s="25" t="s">
        <v>10</v>
      </c>
      <c r="B11" s="25">
        <v>4</v>
      </c>
      <c r="C11" s="25">
        <v>3</v>
      </c>
      <c r="D11" s="25">
        <v>7</v>
      </c>
      <c r="E11" s="25">
        <v>2</v>
      </c>
      <c r="F11" s="25">
        <v>715000</v>
      </c>
      <c r="H11" s="22" t="s">
        <v>516</v>
      </c>
    </row>
    <row r="12" spans="1:11">
      <c r="A12" s="25" t="s">
        <v>11</v>
      </c>
      <c r="B12" s="25">
        <v>2</v>
      </c>
      <c r="C12" s="25">
        <v>1</v>
      </c>
      <c r="D12" s="25">
        <v>3</v>
      </c>
      <c r="E12" s="25">
        <v>0</v>
      </c>
      <c r="F12" s="25">
        <v>135000</v>
      </c>
    </row>
    <row r="13" spans="1:11">
      <c r="A13" s="25" t="s">
        <v>12</v>
      </c>
      <c r="B13" s="25">
        <v>6</v>
      </c>
      <c r="C13" s="25">
        <v>4</v>
      </c>
      <c r="D13" s="25">
        <v>10</v>
      </c>
      <c r="E13" s="25">
        <v>2</v>
      </c>
      <c r="F13" s="25">
        <v>850000</v>
      </c>
    </row>
    <row r="14" spans="1:11">
      <c r="A14" s="8" t="s">
        <v>13</v>
      </c>
      <c r="B14" s="8">
        <v>186</v>
      </c>
      <c r="C14" s="8">
        <v>126</v>
      </c>
      <c r="D14" s="8">
        <v>312</v>
      </c>
      <c r="E14" s="8">
        <v>41</v>
      </c>
      <c r="F14" s="8">
        <v>17158010</v>
      </c>
    </row>
    <row r="15" spans="1:11" ht="13" thickBot="1">
      <c r="A15" s="10" t="s">
        <v>14</v>
      </c>
      <c r="B15" s="10">
        <v>50</v>
      </c>
      <c r="C15" s="10">
        <v>50</v>
      </c>
      <c r="D15" s="10">
        <v>50</v>
      </c>
      <c r="E15" s="10">
        <v>50</v>
      </c>
      <c r="F15" s="10">
        <v>50</v>
      </c>
    </row>
    <row r="17" spans="1:2">
      <c r="A17" s="29" t="s">
        <v>6</v>
      </c>
      <c r="B17">
        <f>SQRT(B8)</f>
        <v>0.94846815272559082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0D94C-D2EC-41BC-A755-9007C043C4D7}">
  <sheetPr>
    <tabColor theme="1"/>
  </sheetPr>
  <dimension ref="A1:O52"/>
  <sheetViews>
    <sheetView workbookViewId="0">
      <selection activeCell="E6" sqref="E6"/>
    </sheetView>
  </sheetViews>
  <sheetFormatPr defaultRowHeight="12.5"/>
  <cols>
    <col min="1" max="1" width="10.54296875" customWidth="1"/>
    <col min="2" max="2" width="15.54296875" customWidth="1"/>
    <col min="3" max="3" width="12.453125" customWidth="1"/>
    <col min="4" max="4" width="18.54296875" customWidth="1"/>
    <col min="5" max="5" width="24" customWidth="1"/>
    <col min="6" max="6" width="17.54296875" customWidth="1"/>
    <col min="7" max="7" width="15.54296875" bestFit="1" customWidth="1"/>
    <col min="8" max="8" width="2.54296875" customWidth="1"/>
    <col min="9" max="9" width="17.54296875" customWidth="1"/>
    <col min="10" max="10" width="2.54296875" customWidth="1"/>
    <col min="11" max="11" width="19.54296875" bestFit="1" customWidth="1"/>
    <col min="12" max="12" width="23.453125" bestFit="1" customWidth="1"/>
    <col min="13" max="13" width="3.453125" customWidth="1"/>
    <col min="14" max="14" width="19.54296875" bestFit="1" customWidth="1"/>
    <col min="15" max="15" width="12.54296875" bestFit="1" customWidth="1"/>
    <col min="16" max="16" width="2.54296875" customWidth="1"/>
    <col min="17" max="17" width="19.54296875" bestFit="1" customWidth="1"/>
    <col min="18" max="18" width="12.54296875" bestFit="1" customWidth="1"/>
  </cols>
  <sheetData>
    <row r="1" spans="1:15" ht="36" customHeight="1">
      <c r="A1" t="s">
        <v>308</v>
      </c>
      <c r="B1" t="s">
        <v>334</v>
      </c>
      <c r="C1" t="s">
        <v>335</v>
      </c>
      <c r="D1" t="s">
        <v>336</v>
      </c>
      <c r="E1" t="s">
        <v>337</v>
      </c>
      <c r="F1" t="s">
        <v>304</v>
      </c>
      <c r="G1" s="2" t="s">
        <v>0</v>
      </c>
      <c r="H1" s="2"/>
      <c r="I1" s="13" t="s">
        <v>420</v>
      </c>
    </row>
    <row r="2" spans="1:15" ht="14">
      <c r="A2" s="1" t="s">
        <v>301</v>
      </c>
      <c r="B2" s="1" t="s">
        <v>341</v>
      </c>
      <c r="C2" s="1">
        <v>4</v>
      </c>
      <c r="D2" s="1">
        <v>2</v>
      </c>
      <c r="E2" s="1">
        <f>C2+D2</f>
        <v>6</v>
      </c>
      <c r="F2" s="1">
        <v>1</v>
      </c>
      <c r="G2" s="3">
        <v>234995</v>
      </c>
      <c r="H2" s="3"/>
      <c r="I2" s="3">
        <v>250000</v>
      </c>
      <c r="K2" t="s">
        <v>300</v>
      </c>
      <c r="L2" t="s">
        <v>418</v>
      </c>
      <c r="N2" t="s">
        <v>300</v>
      </c>
      <c r="O2" t="s">
        <v>506</v>
      </c>
    </row>
    <row r="3" spans="1:15" ht="14">
      <c r="A3" s="1" t="s">
        <v>301</v>
      </c>
      <c r="B3" s="1" t="s">
        <v>341</v>
      </c>
      <c r="C3" s="1">
        <v>4</v>
      </c>
      <c r="D3" s="1">
        <v>2</v>
      </c>
      <c r="E3" s="1">
        <f t="shared" ref="E3:E51" si="0">C3+D3</f>
        <v>6</v>
      </c>
      <c r="F3" s="1">
        <v>1</v>
      </c>
      <c r="G3" s="3">
        <v>319000</v>
      </c>
      <c r="H3" s="3"/>
      <c r="I3" s="3">
        <v>450000</v>
      </c>
      <c r="K3" s="5" t="s">
        <v>301</v>
      </c>
      <c r="L3" s="6">
        <v>27</v>
      </c>
      <c r="N3" s="7" t="s">
        <v>507</v>
      </c>
      <c r="O3" s="6">
        <v>8</v>
      </c>
    </row>
    <row r="4" spans="1:15" ht="14">
      <c r="A4" s="1" t="s">
        <v>301</v>
      </c>
      <c r="B4" s="1" t="s">
        <v>339</v>
      </c>
      <c r="C4" s="1">
        <v>2</v>
      </c>
      <c r="D4" s="1">
        <v>1</v>
      </c>
      <c r="E4" s="1">
        <f t="shared" si="0"/>
        <v>3</v>
      </c>
      <c r="F4" s="1">
        <v>0</v>
      </c>
      <c r="G4" s="3">
        <v>154995</v>
      </c>
      <c r="H4" s="3"/>
      <c r="I4" s="3">
        <v>600000</v>
      </c>
      <c r="K4" s="5" t="s">
        <v>302</v>
      </c>
      <c r="L4" s="6">
        <v>23</v>
      </c>
      <c r="N4" s="7" t="s">
        <v>508</v>
      </c>
      <c r="O4" s="6">
        <v>17</v>
      </c>
    </row>
    <row r="5" spans="1:15" ht="14">
      <c r="A5" s="1" t="s">
        <v>302</v>
      </c>
      <c r="B5" s="1" t="s">
        <v>341</v>
      </c>
      <c r="C5" s="1">
        <v>4</v>
      </c>
      <c r="D5" s="1">
        <v>2</v>
      </c>
      <c r="E5" s="1">
        <f t="shared" si="0"/>
        <v>6</v>
      </c>
      <c r="F5" s="1">
        <v>2</v>
      </c>
      <c r="G5" s="3">
        <v>349950</v>
      </c>
      <c r="H5" s="3"/>
      <c r="I5" s="3"/>
      <c r="K5" s="5" t="s">
        <v>303</v>
      </c>
      <c r="L5" s="6">
        <v>50</v>
      </c>
      <c r="N5" s="7" t="s">
        <v>509</v>
      </c>
      <c r="O5" s="6">
        <v>10</v>
      </c>
    </row>
    <row r="6" spans="1:15" ht="14">
      <c r="A6" s="1" t="s">
        <v>301</v>
      </c>
      <c r="B6" s="1" t="s">
        <v>341</v>
      </c>
      <c r="C6" s="1">
        <v>3</v>
      </c>
      <c r="D6" s="1">
        <v>2</v>
      </c>
      <c r="E6" s="1">
        <f t="shared" si="0"/>
        <v>5</v>
      </c>
      <c r="F6" s="1">
        <v>1</v>
      </c>
      <c r="G6" s="3">
        <v>244995</v>
      </c>
      <c r="H6" s="3"/>
      <c r="I6" s="3"/>
      <c r="N6" s="7" t="s">
        <v>510</v>
      </c>
      <c r="O6" s="6">
        <v>6</v>
      </c>
    </row>
    <row r="7" spans="1:15" ht="14">
      <c r="A7" s="1" t="s">
        <v>302</v>
      </c>
      <c r="B7" s="1" t="s">
        <v>343</v>
      </c>
      <c r="C7" s="1">
        <v>3</v>
      </c>
      <c r="D7" s="1">
        <v>1</v>
      </c>
      <c r="E7" s="1">
        <f t="shared" si="0"/>
        <v>4</v>
      </c>
      <c r="F7" s="1">
        <v>0</v>
      </c>
      <c r="G7" s="3">
        <v>178000</v>
      </c>
      <c r="H7" s="3"/>
      <c r="I7" s="3"/>
      <c r="K7" t="s">
        <v>300</v>
      </c>
      <c r="L7" t="s">
        <v>511</v>
      </c>
      <c r="N7" s="7" t="s">
        <v>512</v>
      </c>
      <c r="O7" s="6">
        <v>9</v>
      </c>
    </row>
    <row r="8" spans="1:15" ht="14">
      <c r="A8" s="1" t="s">
        <v>301</v>
      </c>
      <c r="B8" s="1" t="s">
        <v>341</v>
      </c>
      <c r="C8" s="1">
        <v>3</v>
      </c>
      <c r="D8" s="1">
        <v>3</v>
      </c>
      <c r="E8" s="1">
        <f t="shared" si="0"/>
        <v>6</v>
      </c>
      <c r="F8" s="1">
        <v>0</v>
      </c>
      <c r="G8" s="3">
        <v>175000</v>
      </c>
      <c r="H8" s="3"/>
      <c r="I8" s="3"/>
      <c r="K8" s="5" t="s">
        <v>341</v>
      </c>
      <c r="L8" s="6">
        <v>36</v>
      </c>
      <c r="N8" s="7" t="s">
        <v>303</v>
      </c>
      <c r="O8" s="6">
        <v>50</v>
      </c>
    </row>
    <row r="9" spans="1:15" ht="14">
      <c r="A9" s="1" t="s">
        <v>302</v>
      </c>
      <c r="B9" s="1" t="s">
        <v>341</v>
      </c>
      <c r="C9" s="1">
        <v>4</v>
      </c>
      <c r="D9" s="1">
        <v>4</v>
      </c>
      <c r="E9" s="1">
        <f t="shared" si="0"/>
        <v>8</v>
      </c>
      <c r="F9" s="1">
        <v>1</v>
      </c>
      <c r="G9" s="3">
        <v>580000</v>
      </c>
      <c r="H9" s="3"/>
      <c r="I9" s="3"/>
      <c r="K9" s="5" t="s">
        <v>339</v>
      </c>
      <c r="L9" s="6">
        <v>4</v>
      </c>
    </row>
    <row r="10" spans="1:15" ht="14">
      <c r="A10" s="1" t="s">
        <v>301</v>
      </c>
      <c r="B10" s="1" t="s">
        <v>341</v>
      </c>
      <c r="C10" s="1">
        <v>4</v>
      </c>
      <c r="D10" s="1">
        <v>2</v>
      </c>
      <c r="E10" s="1">
        <f t="shared" si="0"/>
        <v>6</v>
      </c>
      <c r="F10" s="1">
        <v>0</v>
      </c>
      <c r="G10" s="3">
        <v>288000</v>
      </c>
      <c r="H10" s="3"/>
      <c r="I10" s="3"/>
      <c r="K10" s="5" t="s">
        <v>343</v>
      </c>
      <c r="L10" s="6">
        <v>10</v>
      </c>
    </row>
    <row r="11" spans="1:15" ht="14">
      <c r="A11" s="1" t="s">
        <v>302</v>
      </c>
      <c r="B11" s="1" t="s">
        <v>341</v>
      </c>
      <c r="C11" s="1">
        <v>4</v>
      </c>
      <c r="D11" s="1">
        <v>3</v>
      </c>
      <c r="E11" s="1">
        <f t="shared" si="0"/>
        <v>7</v>
      </c>
      <c r="F11" s="1">
        <v>2</v>
      </c>
      <c r="G11" s="3">
        <v>524950</v>
      </c>
      <c r="H11" s="3"/>
      <c r="I11" s="3"/>
      <c r="K11" s="5" t="s">
        <v>303</v>
      </c>
      <c r="L11" s="6">
        <v>50</v>
      </c>
    </row>
    <row r="12" spans="1:15" ht="14">
      <c r="A12" s="1" t="s">
        <v>302</v>
      </c>
      <c r="B12" s="1" t="s">
        <v>341</v>
      </c>
      <c r="C12" s="1">
        <v>4</v>
      </c>
      <c r="D12" s="1">
        <v>4</v>
      </c>
      <c r="E12" s="1">
        <f t="shared" si="0"/>
        <v>8</v>
      </c>
      <c r="F12" s="1">
        <v>2</v>
      </c>
      <c r="G12" s="3">
        <v>625000</v>
      </c>
      <c r="H12" s="3"/>
      <c r="I12" s="3"/>
    </row>
    <row r="13" spans="1:15" ht="14">
      <c r="A13" s="1" t="s">
        <v>302</v>
      </c>
      <c r="B13" s="1" t="s">
        <v>341</v>
      </c>
      <c r="C13" s="1">
        <v>5</v>
      </c>
      <c r="D13" s="1">
        <v>2</v>
      </c>
      <c r="E13" s="1">
        <f t="shared" si="0"/>
        <v>7</v>
      </c>
      <c r="F13" s="1">
        <v>2</v>
      </c>
      <c r="G13" s="3">
        <v>449950</v>
      </c>
      <c r="H13" s="3"/>
      <c r="I13" s="3"/>
      <c r="K13" t="s">
        <v>300</v>
      </c>
      <c r="L13" t="s">
        <v>513</v>
      </c>
    </row>
    <row r="14" spans="1:15" ht="14">
      <c r="A14" s="1" t="s">
        <v>301</v>
      </c>
      <c r="B14" s="1" t="s">
        <v>341</v>
      </c>
      <c r="C14" s="1">
        <v>4</v>
      </c>
      <c r="D14" s="1">
        <v>2</v>
      </c>
      <c r="E14" s="1">
        <f t="shared" si="0"/>
        <v>6</v>
      </c>
      <c r="F14" s="1">
        <v>1</v>
      </c>
      <c r="G14" s="3">
        <v>269950</v>
      </c>
      <c r="H14" s="3"/>
      <c r="I14" s="3"/>
      <c r="K14" s="5">
        <v>4</v>
      </c>
      <c r="L14" s="6">
        <v>26</v>
      </c>
    </row>
    <row r="15" spans="1:15" ht="14">
      <c r="A15" s="1" t="s">
        <v>301</v>
      </c>
      <c r="B15" s="1" t="s">
        <v>341</v>
      </c>
      <c r="C15" s="1">
        <v>4</v>
      </c>
      <c r="D15" s="1">
        <v>2</v>
      </c>
      <c r="E15" s="1">
        <f t="shared" si="0"/>
        <v>6</v>
      </c>
      <c r="F15" s="1">
        <v>1</v>
      </c>
      <c r="G15" s="3">
        <v>285000</v>
      </c>
      <c r="H15" s="3"/>
      <c r="I15" s="3"/>
      <c r="K15" s="5">
        <v>3</v>
      </c>
      <c r="L15" s="6">
        <v>11</v>
      </c>
    </row>
    <row r="16" spans="1:15" ht="14">
      <c r="A16" s="1" t="s">
        <v>302</v>
      </c>
      <c r="B16" s="1" t="s">
        <v>341</v>
      </c>
      <c r="C16" s="1">
        <v>4</v>
      </c>
      <c r="D16" s="1">
        <v>3</v>
      </c>
      <c r="E16" s="1">
        <f t="shared" si="0"/>
        <v>7</v>
      </c>
      <c r="F16" s="1">
        <v>2</v>
      </c>
      <c r="G16" s="3">
        <v>349950</v>
      </c>
      <c r="H16" s="3"/>
      <c r="I16" s="3"/>
      <c r="K16" s="5">
        <v>2</v>
      </c>
      <c r="L16" s="6">
        <v>6</v>
      </c>
    </row>
    <row r="17" spans="1:12" ht="14">
      <c r="A17" s="1" t="s">
        <v>301</v>
      </c>
      <c r="B17" s="1" t="s">
        <v>343</v>
      </c>
      <c r="C17" s="1">
        <v>4</v>
      </c>
      <c r="D17" s="1">
        <v>4</v>
      </c>
      <c r="E17" s="1">
        <f t="shared" si="0"/>
        <v>8</v>
      </c>
      <c r="F17" s="1">
        <v>0</v>
      </c>
      <c r="G17" s="3">
        <v>235000</v>
      </c>
      <c r="H17" s="3"/>
      <c r="I17" s="3"/>
      <c r="K17" s="5">
        <v>5</v>
      </c>
      <c r="L17" s="6">
        <v>5</v>
      </c>
    </row>
    <row r="18" spans="1:12" ht="14">
      <c r="A18" s="1" t="s">
        <v>301</v>
      </c>
      <c r="B18" s="1" t="s">
        <v>341</v>
      </c>
      <c r="C18" s="1">
        <v>4</v>
      </c>
      <c r="D18" s="1">
        <v>4</v>
      </c>
      <c r="E18" s="1">
        <f t="shared" si="0"/>
        <v>8</v>
      </c>
      <c r="F18" s="1">
        <v>1</v>
      </c>
      <c r="G18" s="3">
        <v>299995</v>
      </c>
      <c r="H18" s="3"/>
      <c r="I18" s="3"/>
      <c r="K18" s="5">
        <v>6</v>
      </c>
      <c r="L18" s="6">
        <v>2</v>
      </c>
    </row>
    <row r="19" spans="1:12" ht="14">
      <c r="A19" s="1" t="s">
        <v>302</v>
      </c>
      <c r="B19" s="1" t="s">
        <v>339</v>
      </c>
      <c r="C19" s="1">
        <v>2</v>
      </c>
      <c r="D19" s="1">
        <v>1</v>
      </c>
      <c r="E19" s="1">
        <f t="shared" si="0"/>
        <v>3</v>
      </c>
      <c r="F19" s="1">
        <v>0</v>
      </c>
      <c r="G19" s="3">
        <v>174995</v>
      </c>
      <c r="H19" s="3"/>
      <c r="I19" s="3"/>
      <c r="K19" s="5" t="s">
        <v>303</v>
      </c>
      <c r="L19" s="6">
        <v>50</v>
      </c>
    </row>
    <row r="20" spans="1:12" ht="14">
      <c r="A20" s="1" t="s">
        <v>301</v>
      </c>
      <c r="B20" s="1" t="s">
        <v>341</v>
      </c>
      <c r="C20" s="1">
        <v>3</v>
      </c>
      <c r="D20" s="1">
        <v>2</v>
      </c>
      <c r="E20" s="1">
        <f t="shared" si="0"/>
        <v>5</v>
      </c>
      <c r="F20" s="1">
        <v>1</v>
      </c>
      <c r="G20" s="3">
        <v>219995</v>
      </c>
      <c r="H20" s="3"/>
      <c r="I20" s="3"/>
    </row>
    <row r="21" spans="1:12" ht="14">
      <c r="A21" s="1" t="s">
        <v>301</v>
      </c>
      <c r="B21" s="1" t="s">
        <v>341</v>
      </c>
      <c r="C21" s="1">
        <v>4</v>
      </c>
      <c r="D21" s="1">
        <v>3</v>
      </c>
      <c r="E21" s="1">
        <f t="shared" si="0"/>
        <v>7</v>
      </c>
      <c r="F21" s="1">
        <v>1</v>
      </c>
      <c r="G21" s="3">
        <v>275000</v>
      </c>
      <c r="H21" s="3"/>
      <c r="I21" s="3"/>
      <c r="K21" t="s">
        <v>300</v>
      </c>
      <c r="L21" t="s">
        <v>514</v>
      </c>
    </row>
    <row r="22" spans="1:12" ht="14">
      <c r="A22" s="1" t="s">
        <v>301</v>
      </c>
      <c r="B22" s="1" t="s">
        <v>341</v>
      </c>
      <c r="C22" s="1">
        <v>3</v>
      </c>
      <c r="D22" s="1">
        <v>3</v>
      </c>
      <c r="E22" s="1">
        <f t="shared" si="0"/>
        <v>6</v>
      </c>
      <c r="F22" s="1">
        <v>1</v>
      </c>
      <c r="G22" s="3">
        <v>199950</v>
      </c>
      <c r="H22" s="3"/>
      <c r="I22" s="3"/>
      <c r="K22" s="5">
        <v>1</v>
      </c>
      <c r="L22" s="6">
        <v>6</v>
      </c>
    </row>
    <row r="23" spans="1:12" ht="14">
      <c r="A23" s="1" t="s">
        <v>301</v>
      </c>
      <c r="B23" s="1" t="s">
        <v>341</v>
      </c>
      <c r="C23" s="1">
        <v>4</v>
      </c>
      <c r="D23" s="1">
        <v>2</v>
      </c>
      <c r="E23" s="1">
        <f t="shared" si="0"/>
        <v>6</v>
      </c>
      <c r="F23" s="1">
        <v>1</v>
      </c>
      <c r="G23" s="3">
        <v>232000</v>
      </c>
      <c r="H23" s="3"/>
      <c r="I23" s="3"/>
      <c r="K23" s="5">
        <v>2</v>
      </c>
      <c r="L23" s="6">
        <v>22</v>
      </c>
    </row>
    <row r="24" spans="1:12" ht="14">
      <c r="A24" s="1" t="s">
        <v>302</v>
      </c>
      <c r="B24" s="1" t="s">
        <v>341</v>
      </c>
      <c r="C24" s="1">
        <v>4</v>
      </c>
      <c r="D24" s="1">
        <v>2</v>
      </c>
      <c r="E24" s="1">
        <f t="shared" si="0"/>
        <v>6</v>
      </c>
      <c r="F24" s="1">
        <v>0</v>
      </c>
      <c r="G24" s="3">
        <v>369995</v>
      </c>
      <c r="H24" s="3"/>
      <c r="I24" s="3"/>
      <c r="K24" s="5">
        <v>3</v>
      </c>
      <c r="L24" s="6">
        <v>12</v>
      </c>
    </row>
    <row r="25" spans="1:12" ht="14">
      <c r="A25" s="1" t="s">
        <v>301</v>
      </c>
      <c r="B25" s="1" t="s">
        <v>343</v>
      </c>
      <c r="C25" s="1">
        <v>5</v>
      </c>
      <c r="D25" s="1">
        <v>4</v>
      </c>
      <c r="E25" s="1">
        <f t="shared" si="0"/>
        <v>9</v>
      </c>
      <c r="F25" s="1">
        <v>0</v>
      </c>
      <c r="G25" s="3">
        <v>425000</v>
      </c>
      <c r="H25" s="3"/>
      <c r="I25" s="3"/>
      <c r="K25" s="5">
        <v>4</v>
      </c>
      <c r="L25" s="6">
        <v>10</v>
      </c>
    </row>
    <row r="26" spans="1:12" ht="14">
      <c r="A26" s="1" t="s">
        <v>301</v>
      </c>
      <c r="B26" s="1" t="s">
        <v>343</v>
      </c>
      <c r="C26" s="1">
        <v>2</v>
      </c>
      <c r="D26" s="1">
        <v>2</v>
      </c>
      <c r="E26" s="1">
        <f t="shared" si="0"/>
        <v>4</v>
      </c>
      <c r="F26" s="1">
        <v>0</v>
      </c>
      <c r="G26" s="3">
        <v>185000</v>
      </c>
      <c r="H26" s="3"/>
      <c r="I26" s="3"/>
      <c r="K26" s="5" t="s">
        <v>303</v>
      </c>
      <c r="L26" s="6">
        <v>50</v>
      </c>
    </row>
    <row r="27" spans="1:12" ht="14">
      <c r="A27" s="1" t="s">
        <v>302</v>
      </c>
      <c r="B27" s="1" t="s">
        <v>341</v>
      </c>
      <c r="C27" s="1">
        <v>3</v>
      </c>
      <c r="D27" s="1">
        <v>2</v>
      </c>
      <c r="E27" s="1">
        <f t="shared" si="0"/>
        <v>5</v>
      </c>
      <c r="F27" s="1">
        <v>0</v>
      </c>
      <c r="G27" s="3">
        <v>220000</v>
      </c>
      <c r="H27" s="3"/>
      <c r="I27" s="3"/>
    </row>
    <row r="28" spans="1:12" ht="14">
      <c r="A28" s="1" t="s">
        <v>301</v>
      </c>
      <c r="B28" s="1" t="s">
        <v>343</v>
      </c>
      <c r="C28" s="1">
        <v>3</v>
      </c>
      <c r="D28" s="1">
        <v>1</v>
      </c>
      <c r="E28" s="1">
        <f t="shared" si="0"/>
        <v>4</v>
      </c>
      <c r="F28" s="1">
        <v>1</v>
      </c>
      <c r="G28" s="3">
        <v>229950</v>
      </c>
      <c r="H28" s="3"/>
      <c r="I28" s="3"/>
    </row>
    <row r="29" spans="1:12" ht="14">
      <c r="A29" s="1" t="s">
        <v>301</v>
      </c>
      <c r="B29" s="1" t="s">
        <v>341</v>
      </c>
      <c r="C29" s="1">
        <v>4</v>
      </c>
      <c r="D29" s="1">
        <v>3</v>
      </c>
      <c r="E29" s="1">
        <f t="shared" si="0"/>
        <v>7</v>
      </c>
      <c r="F29" s="1">
        <v>0</v>
      </c>
      <c r="G29" s="3">
        <v>269950</v>
      </c>
      <c r="H29" s="3"/>
      <c r="I29" s="3"/>
    </row>
    <row r="30" spans="1:12" ht="14">
      <c r="A30" s="1" t="s">
        <v>301</v>
      </c>
      <c r="B30" s="1" t="s">
        <v>339</v>
      </c>
      <c r="C30" s="1">
        <v>4</v>
      </c>
      <c r="D30" s="1">
        <v>2</v>
      </c>
      <c r="E30" s="1">
        <f t="shared" si="0"/>
        <v>6</v>
      </c>
      <c r="F30" s="1">
        <v>1</v>
      </c>
      <c r="G30" s="3">
        <v>205000</v>
      </c>
      <c r="H30" s="3"/>
      <c r="I30" s="3"/>
    </row>
    <row r="31" spans="1:12" ht="14">
      <c r="A31" s="1" t="s">
        <v>301</v>
      </c>
      <c r="B31" s="1" t="s">
        <v>343</v>
      </c>
      <c r="C31" s="1">
        <v>3</v>
      </c>
      <c r="D31" s="1">
        <v>1</v>
      </c>
      <c r="E31" s="1">
        <f t="shared" si="0"/>
        <v>4</v>
      </c>
      <c r="F31" s="1">
        <v>0</v>
      </c>
      <c r="G31" s="3">
        <v>179950</v>
      </c>
      <c r="H31" s="3"/>
      <c r="I31" s="3"/>
    </row>
    <row r="32" spans="1:12" ht="14">
      <c r="A32" s="1" t="s">
        <v>301</v>
      </c>
      <c r="B32" s="1" t="s">
        <v>341</v>
      </c>
      <c r="C32" s="1">
        <v>4</v>
      </c>
      <c r="D32" s="1">
        <v>3</v>
      </c>
      <c r="E32" s="1">
        <f t="shared" si="0"/>
        <v>7</v>
      </c>
      <c r="F32" s="1">
        <v>1</v>
      </c>
      <c r="G32" s="3">
        <v>329995</v>
      </c>
      <c r="H32" s="3"/>
      <c r="I32" s="3"/>
    </row>
    <row r="33" spans="1:9" ht="14">
      <c r="A33" s="1" t="s">
        <v>301</v>
      </c>
      <c r="B33" s="1" t="s">
        <v>339</v>
      </c>
      <c r="C33" s="1">
        <v>3</v>
      </c>
      <c r="D33" s="1">
        <v>2</v>
      </c>
      <c r="E33" s="1">
        <f t="shared" si="0"/>
        <v>5</v>
      </c>
      <c r="F33" s="1">
        <v>1</v>
      </c>
      <c r="G33" s="3">
        <v>225000</v>
      </c>
      <c r="H33" s="3"/>
      <c r="I33" s="3"/>
    </row>
    <row r="34" spans="1:9" ht="14">
      <c r="A34" s="1" t="s">
        <v>302</v>
      </c>
      <c r="B34" s="1" t="s">
        <v>341</v>
      </c>
      <c r="C34" s="1">
        <v>3</v>
      </c>
      <c r="D34" s="1">
        <v>3</v>
      </c>
      <c r="E34" s="1">
        <f t="shared" si="0"/>
        <v>6</v>
      </c>
      <c r="F34" s="1">
        <v>0</v>
      </c>
      <c r="G34" s="3">
        <v>375000</v>
      </c>
      <c r="H34" s="3"/>
      <c r="I34" s="3"/>
    </row>
    <row r="35" spans="1:9" ht="14">
      <c r="A35" s="1" t="s">
        <v>301</v>
      </c>
      <c r="B35" s="1" t="s">
        <v>343</v>
      </c>
      <c r="C35" s="1">
        <v>2</v>
      </c>
      <c r="D35" s="1">
        <v>1</v>
      </c>
      <c r="E35" s="1">
        <f t="shared" si="0"/>
        <v>3</v>
      </c>
      <c r="F35" s="1">
        <v>0</v>
      </c>
      <c r="G35" s="3">
        <v>135000</v>
      </c>
      <c r="H35" s="3"/>
      <c r="I35" s="3"/>
    </row>
    <row r="36" spans="1:9" ht="14">
      <c r="A36" s="1" t="s">
        <v>301</v>
      </c>
      <c r="B36" s="1" t="s">
        <v>341</v>
      </c>
      <c r="C36" s="1">
        <v>6</v>
      </c>
      <c r="D36" s="1">
        <v>4</v>
      </c>
      <c r="E36" s="1">
        <f t="shared" si="0"/>
        <v>10</v>
      </c>
      <c r="F36" s="1">
        <v>1</v>
      </c>
      <c r="G36" s="3">
        <v>850000</v>
      </c>
      <c r="H36" s="3"/>
      <c r="I36" s="3"/>
    </row>
    <row r="37" spans="1:9" ht="14">
      <c r="A37" s="1" t="s">
        <v>301</v>
      </c>
      <c r="B37" s="1" t="s">
        <v>341</v>
      </c>
      <c r="C37" s="1">
        <v>6</v>
      </c>
      <c r="D37" s="1">
        <v>3</v>
      </c>
      <c r="E37" s="1">
        <f t="shared" si="0"/>
        <v>9</v>
      </c>
      <c r="F37" s="1">
        <v>2</v>
      </c>
      <c r="G37" s="3">
        <v>750000</v>
      </c>
      <c r="H37" s="3"/>
      <c r="I37" s="3"/>
    </row>
    <row r="38" spans="1:9" ht="14">
      <c r="A38" s="1" t="s">
        <v>302</v>
      </c>
      <c r="B38" s="1" t="s">
        <v>341</v>
      </c>
      <c r="C38" s="1">
        <v>4</v>
      </c>
      <c r="D38" s="1">
        <v>2</v>
      </c>
      <c r="E38" s="1">
        <f t="shared" si="0"/>
        <v>6</v>
      </c>
      <c r="F38" s="1">
        <v>1</v>
      </c>
      <c r="G38" s="3">
        <v>545000</v>
      </c>
      <c r="H38" s="3"/>
      <c r="I38" s="3"/>
    </row>
    <row r="39" spans="1:9" ht="14">
      <c r="A39" s="1" t="s">
        <v>302</v>
      </c>
      <c r="B39" s="1" t="s">
        <v>341</v>
      </c>
      <c r="C39" s="1">
        <v>4</v>
      </c>
      <c r="D39" s="1">
        <v>3</v>
      </c>
      <c r="E39" s="1">
        <f t="shared" si="0"/>
        <v>7</v>
      </c>
      <c r="F39" s="1">
        <v>1</v>
      </c>
      <c r="G39" s="3">
        <v>495000</v>
      </c>
      <c r="H39" s="3"/>
      <c r="I39" s="3"/>
    </row>
    <row r="40" spans="1:9" ht="14">
      <c r="A40" s="1" t="s">
        <v>302</v>
      </c>
      <c r="B40" s="1" t="s">
        <v>341</v>
      </c>
      <c r="C40" s="1">
        <v>4</v>
      </c>
      <c r="D40" s="1">
        <v>4</v>
      </c>
      <c r="E40" s="1">
        <f t="shared" si="0"/>
        <v>8</v>
      </c>
      <c r="F40" s="1">
        <v>1</v>
      </c>
      <c r="G40" s="3">
        <v>375000</v>
      </c>
      <c r="H40" s="3"/>
      <c r="I40" s="3"/>
    </row>
    <row r="41" spans="1:9" ht="14">
      <c r="A41" s="1" t="s">
        <v>302</v>
      </c>
      <c r="B41" s="1" t="s">
        <v>341</v>
      </c>
      <c r="C41" s="1">
        <v>2</v>
      </c>
      <c r="D41" s="1">
        <v>2</v>
      </c>
      <c r="E41" s="1">
        <f t="shared" si="0"/>
        <v>4</v>
      </c>
      <c r="F41" s="1">
        <v>0</v>
      </c>
      <c r="G41" s="3">
        <v>295000</v>
      </c>
      <c r="H41" s="3"/>
      <c r="I41" s="3"/>
    </row>
    <row r="42" spans="1:9" ht="14">
      <c r="A42" s="1" t="s">
        <v>302</v>
      </c>
      <c r="B42" s="1" t="s">
        <v>343</v>
      </c>
      <c r="C42" s="1">
        <v>4</v>
      </c>
      <c r="D42" s="1">
        <v>4</v>
      </c>
      <c r="E42" s="1">
        <f t="shared" si="0"/>
        <v>8</v>
      </c>
      <c r="F42" s="1">
        <v>0</v>
      </c>
      <c r="G42" s="3">
        <v>450000</v>
      </c>
      <c r="H42" s="3"/>
      <c r="I42" s="3"/>
    </row>
    <row r="43" spans="1:9" ht="14">
      <c r="A43" s="1" t="s">
        <v>302</v>
      </c>
      <c r="B43" s="1" t="s">
        <v>341</v>
      </c>
      <c r="C43" s="1">
        <v>5</v>
      </c>
      <c r="D43" s="1">
        <v>3</v>
      </c>
      <c r="E43" s="1">
        <f t="shared" si="0"/>
        <v>8</v>
      </c>
      <c r="F43" s="1">
        <v>1</v>
      </c>
      <c r="G43" s="3">
        <v>449500</v>
      </c>
      <c r="H43" s="3"/>
      <c r="I43" s="3"/>
    </row>
    <row r="44" spans="1:9" ht="14">
      <c r="A44" s="1" t="s">
        <v>302</v>
      </c>
      <c r="B44" s="1" t="s">
        <v>341</v>
      </c>
      <c r="C44" s="1">
        <v>4</v>
      </c>
      <c r="D44" s="1">
        <v>4</v>
      </c>
      <c r="E44" s="1">
        <f t="shared" si="0"/>
        <v>8</v>
      </c>
      <c r="F44" s="1">
        <v>0</v>
      </c>
      <c r="G44" s="3">
        <v>375000</v>
      </c>
      <c r="H44" s="3"/>
      <c r="I44" s="3"/>
    </row>
    <row r="45" spans="1:9" ht="14">
      <c r="A45" s="1" t="s">
        <v>302</v>
      </c>
      <c r="B45" s="1" t="s">
        <v>341</v>
      </c>
      <c r="C45" s="1">
        <v>4</v>
      </c>
      <c r="D45" s="1">
        <v>2</v>
      </c>
      <c r="E45" s="1">
        <f t="shared" si="0"/>
        <v>6</v>
      </c>
      <c r="F45" s="1">
        <v>2</v>
      </c>
      <c r="G45" s="3">
        <v>392000</v>
      </c>
      <c r="H45" s="3"/>
      <c r="I45" s="3"/>
    </row>
    <row r="46" spans="1:9" ht="14">
      <c r="A46" s="1" t="s">
        <v>302</v>
      </c>
      <c r="B46" s="1" t="s">
        <v>341</v>
      </c>
      <c r="C46" s="1">
        <v>4</v>
      </c>
      <c r="D46" s="1">
        <v>4</v>
      </c>
      <c r="E46" s="1">
        <f t="shared" si="0"/>
        <v>8</v>
      </c>
      <c r="F46" s="1">
        <v>1</v>
      </c>
      <c r="G46" s="3">
        <v>465000</v>
      </c>
      <c r="H46" s="3"/>
      <c r="I46" s="3"/>
    </row>
    <row r="47" spans="1:9" ht="14">
      <c r="A47" s="1" t="s">
        <v>302</v>
      </c>
      <c r="B47" s="1" t="s">
        <v>341</v>
      </c>
      <c r="C47" s="1">
        <v>5</v>
      </c>
      <c r="D47" s="1">
        <v>3</v>
      </c>
      <c r="E47" s="1">
        <f t="shared" si="0"/>
        <v>8</v>
      </c>
      <c r="F47" s="1">
        <v>2</v>
      </c>
      <c r="G47" s="3">
        <v>450000</v>
      </c>
      <c r="H47" s="3"/>
      <c r="I47" s="3"/>
    </row>
    <row r="48" spans="1:9" ht="14">
      <c r="A48" s="1" t="s">
        <v>302</v>
      </c>
      <c r="B48" s="1" t="s">
        <v>341</v>
      </c>
      <c r="C48" s="1">
        <v>3</v>
      </c>
      <c r="D48" s="1">
        <v>2</v>
      </c>
      <c r="E48" s="1">
        <f t="shared" si="0"/>
        <v>5</v>
      </c>
      <c r="F48" s="1">
        <v>2</v>
      </c>
      <c r="G48" s="3">
        <v>325000</v>
      </c>
      <c r="H48" s="3"/>
      <c r="I48" s="3"/>
    </row>
    <row r="49" spans="1:9" ht="14">
      <c r="A49" s="1" t="s">
        <v>302</v>
      </c>
      <c r="B49" s="1" t="s">
        <v>343</v>
      </c>
      <c r="C49" s="1">
        <v>2</v>
      </c>
      <c r="D49" s="1">
        <v>2</v>
      </c>
      <c r="E49" s="1">
        <f t="shared" si="0"/>
        <v>4</v>
      </c>
      <c r="F49" s="1">
        <v>0</v>
      </c>
      <c r="G49" s="3">
        <v>250000</v>
      </c>
      <c r="H49" s="3"/>
      <c r="I49" s="3"/>
    </row>
    <row r="50" spans="1:9" ht="14">
      <c r="A50" s="1" t="s">
        <v>301</v>
      </c>
      <c r="B50" s="1" t="s">
        <v>343</v>
      </c>
      <c r="C50" s="1">
        <v>4</v>
      </c>
      <c r="D50" s="1">
        <v>2</v>
      </c>
      <c r="E50" s="1">
        <f t="shared" si="0"/>
        <v>6</v>
      </c>
      <c r="F50" s="1">
        <v>0</v>
      </c>
      <c r="G50" s="3">
        <v>475000</v>
      </c>
      <c r="H50" s="3"/>
      <c r="I50" s="3"/>
    </row>
    <row r="51" spans="1:9" ht="14">
      <c r="A51" s="1" t="s">
        <v>301</v>
      </c>
      <c r="B51" s="1" t="s">
        <v>341</v>
      </c>
      <c r="C51" s="1">
        <v>5</v>
      </c>
      <c r="D51" s="1">
        <v>2</v>
      </c>
      <c r="E51" s="1">
        <f t="shared" si="0"/>
        <v>7</v>
      </c>
      <c r="F51" s="1">
        <v>2</v>
      </c>
      <c r="G51" s="3">
        <v>400000</v>
      </c>
      <c r="H51" s="3"/>
      <c r="I51" s="3"/>
    </row>
    <row r="52" spans="1:9" ht="14">
      <c r="H52" s="3"/>
      <c r="I52" s="3"/>
    </row>
  </sheetData>
  <pageMargins left="0.75" right="0.75" top="1" bottom="1" header="0.5" footer="0.5"/>
  <pageSetup paperSize="9" orientation="portrait" r:id="rId6"/>
  <headerFooter alignWithMargins="0"/>
  <legacyDrawing r:id="rId7"/>
  <tableParts count="1"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65381-5258-4058-AE9B-F9B8B2CB2B30}">
  <sheetPr>
    <tabColor rgb="FFFF0000"/>
  </sheetPr>
  <dimension ref="A1:Z67"/>
  <sheetViews>
    <sheetView workbookViewId="0">
      <selection activeCell="X12" sqref="X12"/>
    </sheetView>
  </sheetViews>
  <sheetFormatPr defaultColWidth="8.90625" defaultRowHeight="14.5"/>
  <cols>
    <col min="1" max="1" width="7.81640625" style="293" bestFit="1" customWidth="1"/>
    <col min="2" max="2" width="8.1796875" style="293" bestFit="1" customWidth="1"/>
    <col min="3" max="3" width="15.36328125" style="293" customWidth="1"/>
    <col min="4" max="4" width="13.81640625" style="293" hidden="1" customWidth="1"/>
    <col min="5" max="6" width="8.90625" style="293"/>
    <col min="7" max="7" width="15.81640625" style="293" bestFit="1" customWidth="1"/>
    <col min="8" max="8" width="15.1796875" style="293" bestFit="1" customWidth="1"/>
    <col min="9" max="9" width="8.90625" style="293"/>
    <col min="10" max="10" width="22.90625" style="293" bestFit="1" customWidth="1"/>
    <col min="11" max="11" width="15.453125" style="293" bestFit="1" customWidth="1"/>
    <col min="12" max="12" width="21.90625" style="293" bestFit="1" customWidth="1"/>
    <col min="13" max="13" width="12.6328125" style="293" bestFit="1" customWidth="1"/>
    <col min="14" max="14" width="8.90625" style="293"/>
    <col min="15" max="15" width="28.81640625" style="293" bestFit="1" customWidth="1"/>
    <col min="16" max="16" width="15.453125" style="293" bestFit="1" customWidth="1"/>
    <col min="17" max="17" width="15.6328125" style="293" bestFit="1" customWidth="1"/>
    <col min="18" max="18" width="10" style="293" bestFit="1" customWidth="1"/>
    <col min="19" max="23" width="8.90625" style="293"/>
    <col min="24" max="24" width="39.81640625" style="293" bestFit="1" customWidth="1"/>
    <col min="25" max="25" width="15.453125" style="293" bestFit="1" customWidth="1"/>
    <col min="26" max="26" width="15.6328125" style="293" bestFit="1" customWidth="1"/>
    <col min="27" max="16384" width="8.90625" style="293"/>
  </cols>
  <sheetData>
    <row r="1" spans="1:26" ht="15" thickBot="1">
      <c r="A1" s="291" t="s">
        <v>620</v>
      </c>
      <c r="B1" s="291" t="s">
        <v>621</v>
      </c>
      <c r="C1" s="292" t="s">
        <v>622</v>
      </c>
      <c r="D1" s="292" t="s">
        <v>559</v>
      </c>
      <c r="G1" s="299" t="s">
        <v>646</v>
      </c>
      <c r="H1" s="300" t="s">
        <v>647</v>
      </c>
      <c r="K1" s="12"/>
      <c r="M1" s="12"/>
      <c r="X1" s="23" t="s">
        <v>638</v>
      </c>
      <c r="Y1" s="23"/>
      <c r="Z1" s="23" t="s">
        <v>636</v>
      </c>
    </row>
    <row r="2" spans="1:26" ht="15" thickBot="1">
      <c r="A2" s="294" t="s">
        <v>291</v>
      </c>
      <c r="B2" s="294" t="s">
        <v>623</v>
      </c>
      <c r="C2" s="295">
        <v>8.4333333333333336</v>
      </c>
      <c r="D2" s="296">
        <v>2</v>
      </c>
      <c r="G2" s="295">
        <v>8.4333333333333336</v>
      </c>
      <c r="H2" s="295">
        <v>10.050000000000001</v>
      </c>
      <c r="J2" s="8"/>
      <c r="K2" s="12" t="s">
        <v>646</v>
      </c>
      <c r="L2" s="12" t="s">
        <v>647</v>
      </c>
      <c r="M2" s="8"/>
      <c r="O2" s="23" t="s">
        <v>629</v>
      </c>
      <c r="P2" s="23"/>
      <c r="Q2" s="23"/>
      <c r="X2"/>
      <c r="Y2"/>
      <c r="Z2"/>
    </row>
    <row r="3" spans="1:26" ht="15" thickBot="1">
      <c r="A3" s="294" t="s">
        <v>291</v>
      </c>
      <c r="B3" s="294" t="s">
        <v>623</v>
      </c>
      <c r="C3" s="295">
        <v>9.1166666666666671</v>
      </c>
      <c r="D3" s="296">
        <v>2.4</v>
      </c>
      <c r="G3" s="295">
        <v>9.1166666666666671</v>
      </c>
      <c r="H3" s="295">
        <v>10.416666666666666</v>
      </c>
      <c r="J3" s="220" t="s">
        <v>2</v>
      </c>
      <c r="K3" s="220">
        <v>11.226960784313725</v>
      </c>
      <c r="L3" s="220">
        <v>11.981770833333334</v>
      </c>
      <c r="O3"/>
      <c r="P3"/>
      <c r="Q3"/>
      <c r="X3" s="12"/>
      <c r="Y3" s="12" t="s">
        <v>646</v>
      </c>
      <c r="Z3" s="12" t="s">
        <v>647</v>
      </c>
    </row>
    <row r="4" spans="1:26">
      <c r="A4" s="294" t="s">
        <v>291</v>
      </c>
      <c r="B4" s="294" t="s">
        <v>623</v>
      </c>
      <c r="C4" s="295">
        <v>9.5166666666666675</v>
      </c>
      <c r="D4" s="296">
        <v>1.4</v>
      </c>
      <c r="G4" s="295">
        <v>9.5166666666666675</v>
      </c>
      <c r="H4" s="295">
        <v>10.7</v>
      </c>
      <c r="J4" s="8" t="s">
        <v>3</v>
      </c>
      <c r="K4" s="8">
        <v>0.30055653691196349</v>
      </c>
      <c r="L4" s="8">
        <v>0.29724066979302943</v>
      </c>
      <c r="O4" s="12"/>
      <c r="P4" s="12" t="s">
        <v>646</v>
      </c>
      <c r="Q4" s="12" t="s">
        <v>647</v>
      </c>
      <c r="X4" s="8" t="s">
        <v>2</v>
      </c>
      <c r="Y4" s="8">
        <v>11.226960784313725</v>
      </c>
      <c r="Z4" s="8">
        <v>11.981770833333334</v>
      </c>
    </row>
    <row r="5" spans="1:26">
      <c r="A5" s="294" t="s">
        <v>291</v>
      </c>
      <c r="B5" s="294" t="s">
        <v>623</v>
      </c>
      <c r="C5" s="295">
        <v>9.5666666666666664</v>
      </c>
      <c r="D5" s="296">
        <v>1.4</v>
      </c>
      <c r="G5" s="295">
        <v>9.5666666666666664</v>
      </c>
      <c r="H5" s="295">
        <v>10.783333333333333</v>
      </c>
      <c r="J5" s="301" t="s">
        <v>4</v>
      </c>
      <c r="K5" s="301">
        <v>11.183333333333334</v>
      </c>
      <c r="L5" s="301">
        <v>11.816666666666666</v>
      </c>
      <c r="O5" s="220" t="s">
        <v>2</v>
      </c>
      <c r="P5" s="220">
        <v>11.226960784313725</v>
      </c>
      <c r="Q5" s="220">
        <v>11.981770833333334</v>
      </c>
      <c r="X5" s="8" t="s">
        <v>630</v>
      </c>
      <c r="Y5" s="8">
        <v>3.071363883937424</v>
      </c>
      <c r="Z5" s="8">
        <v>2.8272645049282801</v>
      </c>
    </row>
    <row r="6" spans="1:26">
      <c r="A6" s="294" t="s">
        <v>291</v>
      </c>
      <c r="B6" s="294" t="s">
        <v>623</v>
      </c>
      <c r="C6" s="295">
        <v>9.75</v>
      </c>
      <c r="D6" s="296">
        <v>1.4</v>
      </c>
      <c r="G6" s="295">
        <v>9.75</v>
      </c>
      <c r="H6" s="295">
        <v>10.8</v>
      </c>
      <c r="J6" s="8" t="s">
        <v>5</v>
      </c>
      <c r="K6" s="8" t="e">
        <v>#N/A</v>
      </c>
      <c r="L6" s="8">
        <v>13.516666666666667</v>
      </c>
      <c r="O6" s="302" t="s">
        <v>630</v>
      </c>
      <c r="P6" s="302">
        <v>3.071363883937424</v>
      </c>
      <c r="Q6" s="302">
        <v>2.8272645049282801</v>
      </c>
      <c r="X6" s="8" t="s">
        <v>631</v>
      </c>
      <c r="Y6" s="8">
        <v>34</v>
      </c>
      <c r="Z6" s="8">
        <v>32</v>
      </c>
    </row>
    <row r="7" spans="1:26">
      <c r="A7" s="294" t="s">
        <v>291</v>
      </c>
      <c r="B7" s="294" t="s">
        <v>623</v>
      </c>
      <c r="C7" s="295">
        <v>10</v>
      </c>
      <c r="D7" s="296">
        <v>1.4</v>
      </c>
      <c r="G7" s="295">
        <v>10</v>
      </c>
      <c r="H7" s="295">
        <v>11.366666666666667</v>
      </c>
      <c r="J7" s="302" t="s">
        <v>6</v>
      </c>
      <c r="K7" s="302">
        <v>1.7525307084149551</v>
      </c>
      <c r="L7" s="302">
        <v>1.6814471460406599</v>
      </c>
      <c r="O7" s="8" t="s">
        <v>631</v>
      </c>
      <c r="P7" s="8">
        <v>34</v>
      </c>
      <c r="Q7" s="8">
        <v>32</v>
      </c>
      <c r="X7" s="8" t="s">
        <v>639</v>
      </c>
      <c r="Y7" s="8">
        <v>2.9531282472298699</v>
      </c>
      <c r="Z7" s="8"/>
    </row>
    <row r="8" spans="1:26">
      <c r="A8" s="294" t="s">
        <v>291</v>
      </c>
      <c r="B8" s="294" t="s">
        <v>623</v>
      </c>
      <c r="C8" s="295">
        <v>10.366666666666667</v>
      </c>
      <c r="D8" s="296">
        <v>1.4</v>
      </c>
      <c r="G8" s="295">
        <v>10.366666666666667</v>
      </c>
      <c r="H8" s="295">
        <v>12.383333333333333</v>
      </c>
      <c r="J8" s="302" t="s">
        <v>7</v>
      </c>
      <c r="K8" s="302">
        <v>3.071363883937424</v>
      </c>
      <c r="L8" s="302">
        <v>2.8272645049282801</v>
      </c>
      <c r="O8" s="8" t="s">
        <v>632</v>
      </c>
      <c r="P8" s="8">
        <v>33</v>
      </c>
      <c r="Q8" s="8">
        <v>31</v>
      </c>
      <c r="R8" s="307" t="s">
        <v>637</v>
      </c>
      <c r="X8" s="8" t="s">
        <v>640</v>
      </c>
      <c r="Y8" s="8">
        <v>0</v>
      </c>
      <c r="Z8" s="8"/>
    </row>
    <row r="9" spans="1:26">
      <c r="A9" s="294" t="s">
        <v>291</v>
      </c>
      <c r="B9" s="294" t="s">
        <v>623</v>
      </c>
      <c r="C9" s="295">
        <v>10.45</v>
      </c>
      <c r="D9" s="296">
        <v>1.2</v>
      </c>
      <c r="G9" s="295">
        <v>10.45</v>
      </c>
      <c r="H9" s="295">
        <v>13.283333333333333</v>
      </c>
      <c r="J9" s="8" t="s">
        <v>8</v>
      </c>
      <c r="K9" s="8">
        <v>3.5023430968026799</v>
      </c>
      <c r="L9" s="8">
        <v>1.2374015997683063E-2</v>
      </c>
      <c r="O9" s="305" t="s">
        <v>633</v>
      </c>
      <c r="P9" s="305">
        <v>1.0863376520250043</v>
      </c>
      <c r="Q9" s="8"/>
      <c r="R9" s="293">
        <f>P6/Q6</f>
        <v>1.0863376520250043</v>
      </c>
      <c r="X9" s="8" t="s">
        <v>632</v>
      </c>
      <c r="Y9" s="8">
        <v>64</v>
      </c>
      <c r="Z9" s="8"/>
    </row>
    <row r="10" spans="1:26">
      <c r="A10" s="294" t="s">
        <v>291</v>
      </c>
      <c r="B10" s="294" t="s">
        <v>623</v>
      </c>
      <c r="C10" s="295">
        <v>11</v>
      </c>
      <c r="D10" s="296">
        <v>2.75</v>
      </c>
      <c r="G10" s="295">
        <v>11</v>
      </c>
      <c r="H10" s="295">
        <v>13.466666666666667</v>
      </c>
      <c r="J10" s="8" t="s">
        <v>9</v>
      </c>
      <c r="K10" s="8">
        <v>1.4618785921092774</v>
      </c>
      <c r="L10" s="8">
        <v>0.61457257115321018</v>
      </c>
      <c r="O10" s="8" t="s">
        <v>634</v>
      </c>
      <c r="P10" s="306">
        <v>0.4096453754179597</v>
      </c>
      <c r="Q10" s="8"/>
      <c r="X10" s="305" t="s">
        <v>641</v>
      </c>
      <c r="Y10" s="305">
        <v>-1.7833599100484168</v>
      </c>
      <c r="Z10" s="8"/>
    </row>
    <row r="11" spans="1:26" ht="15" thickBot="1">
      <c r="A11" s="294" t="s">
        <v>291</v>
      </c>
      <c r="B11" s="294" t="s">
        <v>623</v>
      </c>
      <c r="C11" s="295">
        <v>11.45</v>
      </c>
      <c r="D11" s="296">
        <v>1.4</v>
      </c>
      <c r="G11" s="295">
        <v>11.45</v>
      </c>
      <c r="H11" s="295">
        <v>13.516666666666667</v>
      </c>
      <c r="J11" s="8" t="s">
        <v>10</v>
      </c>
      <c r="K11" s="8">
        <v>8.6333333333333329</v>
      </c>
      <c r="L11" s="8">
        <v>6.6</v>
      </c>
      <c r="O11" s="10" t="s">
        <v>635</v>
      </c>
      <c r="P11" s="308">
        <v>1.8107208253911964</v>
      </c>
      <c r="Q11" s="10"/>
      <c r="X11" s="8" t="s">
        <v>642</v>
      </c>
      <c r="Y11" s="8">
        <v>3.9634663808899025E-2</v>
      </c>
      <c r="Z11" s="8"/>
    </row>
    <row r="12" spans="1:26">
      <c r="A12" s="294" t="s">
        <v>291</v>
      </c>
      <c r="B12" s="294" t="s">
        <v>623</v>
      </c>
      <c r="C12" s="295">
        <v>11.966666666666667</v>
      </c>
      <c r="D12" s="296">
        <v>1.95</v>
      </c>
      <c r="G12" s="295">
        <v>11.966666666666667</v>
      </c>
      <c r="H12" s="295">
        <v>13.516666666666667</v>
      </c>
      <c r="J12" s="8" t="s">
        <v>11</v>
      </c>
      <c r="K12" s="8">
        <v>8.4333333333333336</v>
      </c>
      <c r="L12" s="8">
        <v>9.2833333333333332</v>
      </c>
      <c r="X12" s="8" t="s">
        <v>643</v>
      </c>
      <c r="Y12" s="8">
        <v>1.6690130250240895</v>
      </c>
      <c r="Z12" s="8"/>
    </row>
    <row r="13" spans="1:26">
      <c r="A13" s="294" t="s">
        <v>291</v>
      </c>
      <c r="B13" s="294" t="s">
        <v>623</v>
      </c>
      <c r="C13" s="295">
        <v>11.983333333333333</v>
      </c>
      <c r="D13" s="296">
        <v>1.95</v>
      </c>
      <c r="G13" s="295">
        <v>11.983333333333333</v>
      </c>
      <c r="H13" s="295">
        <v>13.75</v>
      </c>
      <c r="J13" s="8" t="s">
        <v>12</v>
      </c>
      <c r="K13" s="8">
        <v>17.066666666666666</v>
      </c>
      <c r="L13" s="8">
        <v>15.883333333333333</v>
      </c>
      <c r="X13" s="8" t="s">
        <v>644</v>
      </c>
      <c r="Y13" s="306">
        <v>7.9269327617798049E-2</v>
      </c>
      <c r="Z13" s="8"/>
    </row>
    <row r="14" spans="1:26" ht="15" thickBot="1">
      <c r="A14" s="294" t="s">
        <v>291</v>
      </c>
      <c r="B14" s="294" t="s">
        <v>623</v>
      </c>
      <c r="C14" s="295">
        <v>12.266666666666667</v>
      </c>
      <c r="D14" s="296">
        <v>1.95</v>
      </c>
      <c r="G14" s="295">
        <v>12.266666666666667</v>
      </c>
      <c r="H14" s="295">
        <v>11.1</v>
      </c>
      <c r="J14" s="8" t="s">
        <v>13</v>
      </c>
      <c r="K14" s="8">
        <v>381.71666666666664</v>
      </c>
      <c r="L14" s="8">
        <v>383.41666666666669</v>
      </c>
      <c r="X14" s="10" t="s">
        <v>645</v>
      </c>
      <c r="Y14" s="308">
        <v>1.9977296543176954</v>
      </c>
      <c r="Z14" s="10"/>
    </row>
    <row r="15" spans="1:26">
      <c r="A15" s="294" t="s">
        <v>291</v>
      </c>
      <c r="B15" s="294" t="s">
        <v>623</v>
      </c>
      <c r="C15" s="295">
        <v>12.383333333333333</v>
      </c>
      <c r="D15" s="296">
        <v>1.4</v>
      </c>
      <c r="G15" s="295">
        <v>12.383333333333333</v>
      </c>
      <c r="H15" s="295">
        <v>11.25</v>
      </c>
      <c r="J15" s="8" t="s">
        <v>14</v>
      </c>
      <c r="K15" s="8">
        <v>34</v>
      </c>
      <c r="L15" s="8">
        <v>32</v>
      </c>
    </row>
    <row r="16" spans="1:26" ht="15" thickBot="1">
      <c r="A16" s="297" t="s">
        <v>292</v>
      </c>
      <c r="B16" s="297" t="s">
        <v>623</v>
      </c>
      <c r="C16" s="295">
        <v>11.683333333333334</v>
      </c>
      <c r="D16" s="298">
        <v>2.5</v>
      </c>
      <c r="G16" s="295">
        <v>11.683333333333334</v>
      </c>
      <c r="H16" s="295">
        <v>11.4</v>
      </c>
      <c r="J16" s="303" t="s">
        <v>15</v>
      </c>
      <c r="K16" s="303">
        <v>0.61148687209578634</v>
      </c>
      <c r="L16" s="303">
        <v>0.6062263428587582</v>
      </c>
    </row>
    <row r="17" spans="1:12">
      <c r="A17" s="297" t="s">
        <v>292</v>
      </c>
      <c r="B17" s="297" t="s">
        <v>623</v>
      </c>
      <c r="C17" s="295">
        <v>11.833333333333334</v>
      </c>
      <c r="D17" s="298">
        <v>3</v>
      </c>
      <c r="G17" s="295">
        <v>11.833333333333334</v>
      </c>
      <c r="H17" s="295">
        <v>11.633333333333333</v>
      </c>
      <c r="J17" s="293" t="s">
        <v>16</v>
      </c>
      <c r="K17" s="293">
        <f>K3-K16</f>
        <v>10.615473912217938</v>
      </c>
      <c r="L17" s="293">
        <f>L3-L16</f>
        <v>11.375544490474576</v>
      </c>
    </row>
    <row r="18" spans="1:12">
      <c r="A18" s="297" t="s">
        <v>292</v>
      </c>
      <c r="B18" s="297" t="s">
        <v>623</v>
      </c>
      <c r="C18" s="295">
        <v>12.033333333333333</v>
      </c>
      <c r="D18" s="298">
        <v>1.5</v>
      </c>
      <c r="G18" s="295">
        <v>12.033333333333333</v>
      </c>
      <c r="H18" s="295">
        <v>12</v>
      </c>
      <c r="J18" s="293" t="s">
        <v>17</v>
      </c>
      <c r="K18" s="293">
        <f>K3+K16</f>
        <v>11.838447656409512</v>
      </c>
      <c r="L18" s="293">
        <f>L3+L16</f>
        <v>12.587997176192092</v>
      </c>
    </row>
    <row r="19" spans="1:12">
      <c r="A19" s="297" t="s">
        <v>292</v>
      </c>
      <c r="B19" s="297" t="s">
        <v>623</v>
      </c>
      <c r="C19" s="295">
        <v>12.15</v>
      </c>
      <c r="D19" s="298">
        <v>1.3</v>
      </c>
      <c r="G19" s="295">
        <v>12.15</v>
      </c>
      <c r="H19" s="295">
        <v>12.05</v>
      </c>
    </row>
    <row r="20" spans="1:12">
      <c r="A20" s="297" t="s">
        <v>292</v>
      </c>
      <c r="B20" s="297" t="s">
        <v>623</v>
      </c>
      <c r="C20" s="295">
        <v>12.25</v>
      </c>
      <c r="D20" s="298">
        <v>3.2</v>
      </c>
      <c r="G20" s="295">
        <v>12.25</v>
      </c>
      <c r="H20" s="295">
        <v>12.316666666666666</v>
      </c>
    </row>
    <row r="21" spans="1:12">
      <c r="A21" s="297" t="s">
        <v>292</v>
      </c>
      <c r="B21" s="297" t="s">
        <v>623</v>
      </c>
      <c r="C21" s="295">
        <v>12.316666666666666</v>
      </c>
      <c r="D21" s="298">
        <v>1</v>
      </c>
      <c r="G21" s="295">
        <v>12.316666666666666</v>
      </c>
      <c r="H21" s="295">
        <v>12.4</v>
      </c>
    </row>
    <row r="22" spans="1:12">
      <c r="A22" s="297" t="s">
        <v>292</v>
      </c>
      <c r="B22" s="297" t="s">
        <v>623</v>
      </c>
      <c r="C22" s="295">
        <v>12.633333333333333</v>
      </c>
      <c r="D22" s="298">
        <v>2</v>
      </c>
      <c r="G22" s="295">
        <v>12.633333333333333</v>
      </c>
      <c r="H22" s="295">
        <v>12.483333333333333</v>
      </c>
    </row>
    <row r="23" spans="1:12">
      <c r="A23" s="297" t="s">
        <v>292</v>
      </c>
      <c r="B23" s="297" t="s">
        <v>623</v>
      </c>
      <c r="C23" s="295">
        <v>15.85</v>
      </c>
      <c r="D23" s="298">
        <v>0.5</v>
      </c>
      <c r="G23" s="295">
        <v>15.85</v>
      </c>
      <c r="H23" s="295">
        <v>12.6</v>
      </c>
    </row>
    <row r="24" spans="1:12">
      <c r="A24" s="297" t="s">
        <v>292</v>
      </c>
      <c r="B24" s="297" t="s">
        <v>623</v>
      </c>
      <c r="C24" s="295">
        <v>17.066666666666666</v>
      </c>
      <c r="D24" s="298">
        <v>4</v>
      </c>
      <c r="G24" s="295">
        <v>17.066666666666666</v>
      </c>
      <c r="H24" s="295">
        <v>12.8</v>
      </c>
    </row>
    <row r="25" spans="1:12">
      <c r="A25" s="297" t="s">
        <v>625</v>
      </c>
      <c r="B25" s="297" t="s">
        <v>623</v>
      </c>
      <c r="C25" s="295">
        <v>9.7833333333333297</v>
      </c>
      <c r="D25" s="298">
        <v>3.35</v>
      </c>
      <c r="G25" s="295">
        <v>9.7833333333333297</v>
      </c>
      <c r="H25" s="295">
        <v>15.233333333333333</v>
      </c>
    </row>
    <row r="26" spans="1:12">
      <c r="A26" s="297" t="s">
        <v>625</v>
      </c>
      <c r="B26" s="297" t="s">
        <v>623</v>
      </c>
      <c r="C26" s="295">
        <v>12.133333333333333</v>
      </c>
      <c r="D26" s="298">
        <v>3.9</v>
      </c>
      <c r="G26" s="295">
        <v>12.133333333333333</v>
      </c>
      <c r="H26" s="295">
        <v>15.483333333333333</v>
      </c>
    </row>
    <row r="27" spans="1:12">
      <c r="A27" s="297" t="s">
        <v>625</v>
      </c>
      <c r="B27" s="297" t="s">
        <v>623</v>
      </c>
      <c r="C27" s="295">
        <v>9.9666666666666668</v>
      </c>
      <c r="D27" s="298">
        <v>3.1</v>
      </c>
      <c r="G27" s="295">
        <v>9.9666666666666668</v>
      </c>
      <c r="H27" s="295">
        <v>15.883333333333333</v>
      </c>
    </row>
    <row r="28" spans="1:12">
      <c r="A28" s="297" t="s">
        <v>625</v>
      </c>
      <c r="B28" s="297" t="s">
        <v>623</v>
      </c>
      <c r="C28" s="295">
        <v>11.383333333333333</v>
      </c>
      <c r="D28" s="298">
        <v>3.5</v>
      </c>
      <c r="G28" s="295">
        <v>11.383333333333333</v>
      </c>
      <c r="H28" s="295">
        <v>10.216666666666667</v>
      </c>
    </row>
    <row r="29" spans="1:12">
      <c r="A29" s="297" t="s">
        <v>625</v>
      </c>
      <c r="B29" s="297" t="s">
        <v>623</v>
      </c>
      <c r="C29" s="295">
        <v>10.15</v>
      </c>
      <c r="D29" s="298">
        <v>3</v>
      </c>
      <c r="G29" s="295">
        <v>10.15</v>
      </c>
      <c r="H29" s="295">
        <v>10.199999999999999</v>
      </c>
    </row>
    <row r="30" spans="1:12">
      <c r="A30" s="297" t="s">
        <v>625</v>
      </c>
      <c r="B30" s="297" t="s">
        <v>623</v>
      </c>
      <c r="C30" s="295">
        <v>10.183333333333334</v>
      </c>
      <c r="D30" s="298">
        <v>4.05</v>
      </c>
      <c r="G30" s="295">
        <v>10.183333333333334</v>
      </c>
      <c r="H30" s="295">
        <v>11.066666666666666</v>
      </c>
    </row>
    <row r="31" spans="1:12">
      <c r="A31" s="297" t="s">
        <v>625</v>
      </c>
      <c r="B31" s="297" t="s">
        <v>623</v>
      </c>
      <c r="C31" s="295">
        <v>11.366666666666667</v>
      </c>
      <c r="D31" s="298">
        <v>3.45</v>
      </c>
      <c r="G31" s="295">
        <v>11.366666666666667</v>
      </c>
      <c r="H31" s="295">
        <v>10.683333333333334</v>
      </c>
    </row>
    <row r="32" spans="1:12">
      <c r="A32" s="297" t="s">
        <v>625</v>
      </c>
      <c r="B32" s="297" t="s">
        <v>623</v>
      </c>
      <c r="C32" s="295">
        <v>10.8</v>
      </c>
      <c r="D32" s="298">
        <v>3.5500000000000003</v>
      </c>
      <c r="G32" s="295">
        <v>10.8</v>
      </c>
      <c r="H32" s="295">
        <v>9.3000000000000007</v>
      </c>
    </row>
    <row r="33" spans="1:8">
      <c r="A33" s="297" t="s">
        <v>625</v>
      </c>
      <c r="B33" s="297" t="s">
        <v>623</v>
      </c>
      <c r="C33" s="295">
        <v>9.6166666666666671</v>
      </c>
      <c r="D33" s="298">
        <v>3.7</v>
      </c>
      <c r="G33" s="295">
        <v>9.6166666666666671</v>
      </c>
      <c r="H33" s="295">
        <v>9.2833333333333332</v>
      </c>
    </row>
    <row r="34" spans="1:8">
      <c r="A34" s="297" t="s">
        <v>625</v>
      </c>
      <c r="B34" s="297" t="s">
        <v>623</v>
      </c>
      <c r="C34" s="295">
        <v>9.4166666666666661</v>
      </c>
      <c r="D34" s="298">
        <v>3.6</v>
      </c>
      <c r="G34" s="295">
        <v>9.4166666666666661</v>
      </c>
    </row>
    <row r="35" spans="1:8">
      <c r="A35" s="297" t="s">
        <v>625</v>
      </c>
      <c r="B35" s="297" t="s">
        <v>623</v>
      </c>
      <c r="C35" s="295">
        <v>10.85</v>
      </c>
      <c r="D35" s="298">
        <v>3.55</v>
      </c>
      <c r="G35" s="295">
        <v>10.85</v>
      </c>
    </row>
    <row r="36" spans="1:8">
      <c r="A36" s="294" t="s">
        <v>291</v>
      </c>
      <c r="B36" s="294" t="s">
        <v>624</v>
      </c>
      <c r="C36" s="295">
        <v>10.050000000000001</v>
      </c>
      <c r="D36" s="296">
        <v>1.55</v>
      </c>
    </row>
    <row r="37" spans="1:8">
      <c r="A37" s="294" t="s">
        <v>291</v>
      </c>
      <c r="B37" s="294" t="s">
        <v>624</v>
      </c>
      <c r="C37" s="295">
        <v>10.416666666666666</v>
      </c>
      <c r="D37" s="296">
        <v>1.4</v>
      </c>
    </row>
    <row r="38" spans="1:8">
      <c r="A38" s="294" t="s">
        <v>291</v>
      </c>
      <c r="B38" s="294" t="s">
        <v>624</v>
      </c>
      <c r="C38" s="295">
        <v>10.7</v>
      </c>
      <c r="D38" s="296">
        <v>1.95</v>
      </c>
    </row>
    <row r="39" spans="1:8">
      <c r="A39" s="294" t="s">
        <v>291</v>
      </c>
      <c r="B39" s="294" t="s">
        <v>624</v>
      </c>
      <c r="C39" s="295">
        <v>10.783333333333333</v>
      </c>
      <c r="D39" s="296">
        <v>1.95</v>
      </c>
    </row>
    <row r="40" spans="1:8">
      <c r="A40" s="294" t="s">
        <v>291</v>
      </c>
      <c r="B40" s="294" t="s">
        <v>624</v>
      </c>
      <c r="C40" s="295">
        <v>10.8</v>
      </c>
      <c r="D40" s="296">
        <v>1.95</v>
      </c>
    </row>
    <row r="41" spans="1:8">
      <c r="A41" s="294" t="s">
        <v>291</v>
      </c>
      <c r="B41" s="294" t="s">
        <v>624</v>
      </c>
      <c r="C41" s="295">
        <v>11.366666666666667</v>
      </c>
      <c r="D41" s="296">
        <v>1.95</v>
      </c>
    </row>
    <row r="42" spans="1:8">
      <c r="A42" s="294" t="s">
        <v>291</v>
      </c>
      <c r="B42" s="294" t="s">
        <v>624</v>
      </c>
      <c r="C42" s="295">
        <v>12.383333333333333</v>
      </c>
      <c r="D42" s="296">
        <v>1.95</v>
      </c>
    </row>
    <row r="43" spans="1:8">
      <c r="A43" s="294" t="s">
        <v>291</v>
      </c>
      <c r="B43" s="294" t="s">
        <v>624</v>
      </c>
      <c r="C43" s="295">
        <v>13.283333333333333</v>
      </c>
      <c r="D43" s="296">
        <v>1.95</v>
      </c>
    </row>
    <row r="44" spans="1:8">
      <c r="A44" s="294" t="s">
        <v>291</v>
      </c>
      <c r="B44" s="294" t="s">
        <v>624</v>
      </c>
      <c r="C44" s="295">
        <v>13.466666666666667</v>
      </c>
      <c r="D44" s="296">
        <v>1.95</v>
      </c>
    </row>
    <row r="45" spans="1:8">
      <c r="A45" s="294" t="s">
        <v>291</v>
      </c>
      <c r="B45" s="294" t="s">
        <v>624</v>
      </c>
      <c r="C45" s="295">
        <v>13.516666666666667</v>
      </c>
      <c r="D45" s="296">
        <v>1.9</v>
      </c>
    </row>
    <row r="46" spans="1:8">
      <c r="A46" s="294" t="s">
        <v>291</v>
      </c>
      <c r="B46" s="294" t="s">
        <v>624</v>
      </c>
      <c r="C46" s="295">
        <v>13.516666666666667</v>
      </c>
      <c r="D46" s="296">
        <v>1.95</v>
      </c>
    </row>
    <row r="47" spans="1:8">
      <c r="A47" s="294" t="s">
        <v>291</v>
      </c>
      <c r="B47" s="294" t="s">
        <v>624</v>
      </c>
      <c r="C47" s="295">
        <v>13.75</v>
      </c>
      <c r="D47" s="296">
        <v>1.95</v>
      </c>
    </row>
    <row r="48" spans="1:8">
      <c r="A48" s="297" t="s">
        <v>292</v>
      </c>
      <c r="B48" s="297" t="s">
        <v>624</v>
      </c>
      <c r="C48" s="295">
        <v>11.1</v>
      </c>
      <c r="D48" s="298">
        <v>1</v>
      </c>
    </row>
    <row r="49" spans="1:4">
      <c r="A49" s="297" t="s">
        <v>292</v>
      </c>
      <c r="B49" s="297" t="s">
        <v>624</v>
      </c>
      <c r="C49" s="295">
        <v>11.25</v>
      </c>
      <c r="D49" s="298">
        <v>1</v>
      </c>
    </row>
    <row r="50" spans="1:4">
      <c r="A50" s="297" t="s">
        <v>292</v>
      </c>
      <c r="B50" s="297" t="s">
        <v>624</v>
      </c>
      <c r="C50" s="295">
        <v>11.4</v>
      </c>
      <c r="D50" s="298">
        <v>2.2000000000000002</v>
      </c>
    </row>
    <row r="51" spans="1:4">
      <c r="A51" s="297" t="s">
        <v>292</v>
      </c>
      <c r="B51" s="297" t="s">
        <v>624</v>
      </c>
      <c r="C51" s="295">
        <v>11.633333333333333</v>
      </c>
      <c r="D51" s="298">
        <v>1.5</v>
      </c>
    </row>
    <row r="52" spans="1:4">
      <c r="A52" s="297" t="s">
        <v>292</v>
      </c>
      <c r="B52" s="297" t="s">
        <v>624</v>
      </c>
      <c r="C52" s="295">
        <v>12</v>
      </c>
      <c r="D52" s="298">
        <v>3.5</v>
      </c>
    </row>
    <row r="53" spans="1:4">
      <c r="A53" s="297" t="s">
        <v>292</v>
      </c>
      <c r="B53" s="297" t="s">
        <v>624</v>
      </c>
      <c r="C53" s="295">
        <v>12.05</v>
      </c>
      <c r="D53" s="298">
        <v>3.5</v>
      </c>
    </row>
    <row r="54" spans="1:4">
      <c r="A54" s="297" t="s">
        <v>292</v>
      </c>
      <c r="B54" s="297" t="s">
        <v>624</v>
      </c>
      <c r="C54" s="295">
        <v>12.316666666666666</v>
      </c>
      <c r="D54" s="298">
        <v>3.5</v>
      </c>
    </row>
    <row r="55" spans="1:4">
      <c r="A55" s="297" t="s">
        <v>292</v>
      </c>
      <c r="B55" s="297" t="s">
        <v>624</v>
      </c>
      <c r="C55" s="295">
        <v>12.4</v>
      </c>
      <c r="D55" s="298">
        <v>1</v>
      </c>
    </row>
    <row r="56" spans="1:4">
      <c r="A56" s="297" t="s">
        <v>292</v>
      </c>
      <c r="B56" s="297" t="s">
        <v>624</v>
      </c>
      <c r="C56" s="295">
        <v>12.483333333333333</v>
      </c>
      <c r="D56" s="298">
        <v>3.6</v>
      </c>
    </row>
    <row r="57" spans="1:4">
      <c r="A57" s="297" t="s">
        <v>292</v>
      </c>
      <c r="B57" s="297" t="s">
        <v>624</v>
      </c>
      <c r="C57" s="295">
        <v>12.6</v>
      </c>
      <c r="D57" s="298">
        <v>1.3</v>
      </c>
    </row>
    <row r="58" spans="1:4">
      <c r="A58" s="297" t="s">
        <v>292</v>
      </c>
      <c r="B58" s="297" t="s">
        <v>624</v>
      </c>
      <c r="C58" s="295">
        <v>12.8</v>
      </c>
      <c r="D58" s="298">
        <v>3</v>
      </c>
    </row>
    <row r="59" spans="1:4">
      <c r="A59" s="297" t="s">
        <v>292</v>
      </c>
      <c r="B59" s="297" t="s">
        <v>624</v>
      </c>
      <c r="C59" s="295">
        <v>15.233333333333333</v>
      </c>
      <c r="D59" s="298">
        <v>0.8</v>
      </c>
    </row>
    <row r="60" spans="1:4">
      <c r="A60" s="297" t="s">
        <v>292</v>
      </c>
      <c r="B60" s="297" t="s">
        <v>624</v>
      </c>
      <c r="C60" s="295">
        <v>15.483333333333333</v>
      </c>
      <c r="D60" s="298">
        <v>1</v>
      </c>
    </row>
    <row r="61" spans="1:4">
      <c r="A61" s="297" t="s">
        <v>292</v>
      </c>
      <c r="B61" s="297" t="s">
        <v>624</v>
      </c>
      <c r="C61" s="295">
        <v>15.883333333333333</v>
      </c>
      <c r="D61" s="298">
        <v>3</v>
      </c>
    </row>
    <row r="62" spans="1:4">
      <c r="A62" s="297" t="s">
        <v>625</v>
      </c>
      <c r="B62" s="297" t="s">
        <v>624</v>
      </c>
      <c r="C62" s="295">
        <v>10.216666666666667</v>
      </c>
      <c r="D62" s="298">
        <v>0.65</v>
      </c>
    </row>
    <row r="63" spans="1:4">
      <c r="A63" s="297" t="s">
        <v>625</v>
      </c>
      <c r="B63" s="297" t="s">
        <v>624</v>
      </c>
      <c r="C63" s="295">
        <v>10.199999999999999</v>
      </c>
      <c r="D63" s="298">
        <v>3.6999999999999997</v>
      </c>
    </row>
    <row r="64" spans="1:4">
      <c r="A64" s="297" t="s">
        <v>625</v>
      </c>
      <c r="B64" s="297" t="s">
        <v>624</v>
      </c>
      <c r="C64" s="295">
        <v>11.066666666666666</v>
      </c>
      <c r="D64" s="298">
        <v>3.6</v>
      </c>
    </row>
    <row r="65" spans="1:4">
      <c r="A65" s="297" t="s">
        <v>625</v>
      </c>
      <c r="B65" s="297" t="s">
        <v>624</v>
      </c>
      <c r="C65" s="295">
        <v>10.683333333333334</v>
      </c>
      <c r="D65" s="298">
        <v>4.4000000000000004</v>
      </c>
    </row>
    <row r="66" spans="1:4">
      <c r="A66" s="297" t="s">
        <v>625</v>
      </c>
      <c r="B66" s="297" t="s">
        <v>624</v>
      </c>
      <c r="C66" s="295">
        <v>9.3000000000000007</v>
      </c>
      <c r="D66" s="298">
        <v>3.2</v>
      </c>
    </row>
    <row r="67" spans="1:4">
      <c r="A67" s="297" t="s">
        <v>625</v>
      </c>
      <c r="B67" s="297" t="s">
        <v>624</v>
      </c>
      <c r="C67" s="295">
        <v>9.2833333333333332</v>
      </c>
      <c r="D67" s="298">
        <v>3.1</v>
      </c>
    </row>
  </sheetData>
  <autoFilter ref="A1:D67" xr:uid="{425168E0-706E-4CEB-A6EB-F14FCC858519}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43FD-D0C0-41DF-AEAC-01BACBE4082F}">
  <sheetPr>
    <tabColor theme="1"/>
  </sheetPr>
  <dimension ref="A1:Z67"/>
  <sheetViews>
    <sheetView topLeftCell="N7" workbookViewId="0">
      <selection activeCell="X1" sqref="X1:Z14"/>
    </sheetView>
  </sheetViews>
  <sheetFormatPr defaultColWidth="8.90625" defaultRowHeight="14.5"/>
  <cols>
    <col min="1" max="1" width="7.81640625" style="293" bestFit="1" customWidth="1"/>
    <col min="2" max="2" width="8.1796875" style="293" bestFit="1" customWidth="1"/>
    <col min="3" max="3" width="10.90625" style="293" bestFit="1" customWidth="1"/>
    <col min="4" max="4" width="11.08984375" style="293" bestFit="1" customWidth="1"/>
    <col min="5" max="6" width="8.90625" style="293"/>
    <col min="7" max="7" width="15.81640625" style="293" bestFit="1" customWidth="1"/>
    <col min="8" max="8" width="15.1796875" style="293" bestFit="1" customWidth="1"/>
    <col min="9" max="9" width="8.90625" style="293"/>
    <col min="10" max="10" width="22.90625" style="293" bestFit="1" customWidth="1"/>
    <col min="11" max="11" width="15.453125" style="293" bestFit="1" customWidth="1"/>
    <col min="12" max="12" width="21.90625" style="293" bestFit="1" customWidth="1"/>
    <col min="13" max="13" width="12.6328125" style="293" bestFit="1" customWidth="1"/>
    <col min="14" max="14" width="8.90625" style="293"/>
    <col min="15" max="15" width="28.81640625" style="293" bestFit="1" customWidth="1"/>
    <col min="16" max="16" width="15.453125" style="293" bestFit="1" customWidth="1"/>
    <col min="17" max="17" width="15.6328125" style="293" bestFit="1" customWidth="1"/>
    <col min="18" max="18" width="10" style="293" bestFit="1" customWidth="1"/>
    <col min="19" max="23" width="8.90625" style="293"/>
    <col min="24" max="24" width="39.81640625" style="293" bestFit="1" customWidth="1"/>
    <col min="25" max="25" width="15.453125" style="293" bestFit="1" customWidth="1"/>
    <col min="26" max="26" width="15.6328125" style="293" bestFit="1" customWidth="1"/>
    <col min="27" max="16384" width="8.90625" style="293"/>
  </cols>
  <sheetData>
    <row r="1" spans="1:26" ht="15" thickBot="1">
      <c r="A1" s="291" t="s">
        <v>620</v>
      </c>
      <c r="B1" s="291" t="s">
        <v>621</v>
      </c>
      <c r="C1" s="292" t="s">
        <v>622</v>
      </c>
      <c r="D1" s="292" t="s">
        <v>559</v>
      </c>
      <c r="G1" s="299" t="s">
        <v>627</v>
      </c>
      <c r="H1" s="300" t="s">
        <v>626</v>
      </c>
      <c r="K1" s="12"/>
      <c r="M1" s="12"/>
      <c r="X1" s="23" t="s">
        <v>638</v>
      </c>
      <c r="Y1" s="23"/>
      <c r="Z1" s="23" t="s">
        <v>636</v>
      </c>
    </row>
    <row r="2" spans="1:26" ht="15" thickBot="1">
      <c r="A2" s="294" t="s">
        <v>291</v>
      </c>
      <c r="B2" s="294" t="s">
        <v>623</v>
      </c>
      <c r="C2" s="295">
        <v>8.4333333333333336</v>
      </c>
      <c r="D2" s="296">
        <v>2</v>
      </c>
      <c r="G2" s="296">
        <v>2</v>
      </c>
      <c r="H2" s="296">
        <v>1.55</v>
      </c>
      <c r="J2" s="8"/>
      <c r="K2" s="12" t="s">
        <v>627</v>
      </c>
      <c r="L2" s="12" t="s">
        <v>626</v>
      </c>
      <c r="M2" s="304" t="s">
        <v>628</v>
      </c>
      <c r="O2" s="23" t="s">
        <v>629</v>
      </c>
      <c r="P2" s="23"/>
      <c r="Q2" s="23" t="s">
        <v>636</v>
      </c>
      <c r="X2"/>
      <c r="Y2"/>
      <c r="Z2"/>
    </row>
    <row r="3" spans="1:26" ht="15" thickBot="1">
      <c r="A3" s="294" t="s">
        <v>291</v>
      </c>
      <c r="B3" s="294" t="s">
        <v>623</v>
      </c>
      <c r="C3" s="295">
        <v>9.1166666666666671</v>
      </c>
      <c r="D3" s="296">
        <v>2.4</v>
      </c>
      <c r="G3" s="296">
        <v>2.4</v>
      </c>
      <c r="H3" s="296">
        <v>1.4</v>
      </c>
      <c r="J3" s="220" t="s">
        <v>2</v>
      </c>
      <c r="K3" s="220">
        <v>2.4044117647058818</v>
      </c>
      <c r="L3" s="220">
        <v>2.2171874999999996</v>
      </c>
      <c r="M3" s="293">
        <f>K3-L3</f>
        <v>0.18722426470588216</v>
      </c>
      <c r="O3"/>
      <c r="P3"/>
      <c r="Q3"/>
      <c r="X3" s="12"/>
      <c r="Y3" s="12" t="s">
        <v>627</v>
      </c>
      <c r="Z3" s="12" t="s">
        <v>626</v>
      </c>
    </row>
    <row r="4" spans="1:26">
      <c r="A4" s="294" t="s">
        <v>291</v>
      </c>
      <c r="B4" s="294" t="s">
        <v>623</v>
      </c>
      <c r="C4" s="295">
        <v>9.5166666666666675</v>
      </c>
      <c r="D4" s="296">
        <v>1.4</v>
      </c>
      <c r="G4" s="296">
        <v>1.4</v>
      </c>
      <c r="H4" s="296">
        <v>1.95</v>
      </c>
      <c r="J4" s="8" t="s">
        <v>3</v>
      </c>
      <c r="K4" s="8">
        <v>0.17778052882906917</v>
      </c>
      <c r="L4" s="8">
        <v>0.180439782184971</v>
      </c>
      <c r="O4" s="12"/>
      <c r="P4" s="12" t="s">
        <v>627</v>
      </c>
      <c r="Q4" s="12" t="s">
        <v>626</v>
      </c>
      <c r="X4" s="8" t="s">
        <v>2</v>
      </c>
      <c r="Y4" s="8">
        <v>2.4044117647058818</v>
      </c>
      <c r="Z4" s="8">
        <v>2.2171874999999996</v>
      </c>
    </row>
    <row r="5" spans="1:26">
      <c r="A5" s="294" t="s">
        <v>291</v>
      </c>
      <c r="B5" s="294" t="s">
        <v>623</v>
      </c>
      <c r="C5" s="295">
        <v>9.5666666666666664</v>
      </c>
      <c r="D5" s="296">
        <v>1.4</v>
      </c>
      <c r="G5" s="296">
        <v>1.4</v>
      </c>
      <c r="H5" s="296">
        <v>1.95</v>
      </c>
      <c r="J5" s="301" t="s">
        <v>4</v>
      </c>
      <c r="K5" s="301">
        <v>2.2000000000000002</v>
      </c>
      <c r="L5" s="301">
        <v>1.95</v>
      </c>
      <c r="O5" s="220" t="s">
        <v>2</v>
      </c>
      <c r="P5" s="220">
        <v>2.4044117647058818</v>
      </c>
      <c r="Q5" s="220">
        <v>2.2171874999999996</v>
      </c>
      <c r="X5" s="8" t="s">
        <v>630</v>
      </c>
      <c r="Y5" s="8">
        <v>1.0746011586452791</v>
      </c>
      <c r="Z5" s="8">
        <v>1.0418724798387129</v>
      </c>
    </row>
    <row r="6" spans="1:26">
      <c r="A6" s="294" t="s">
        <v>291</v>
      </c>
      <c r="B6" s="294" t="s">
        <v>623</v>
      </c>
      <c r="C6" s="295">
        <v>9.75</v>
      </c>
      <c r="D6" s="296">
        <v>1.4</v>
      </c>
      <c r="G6" s="296">
        <v>1.4</v>
      </c>
      <c r="H6" s="296">
        <v>1.95</v>
      </c>
      <c r="J6" s="8" t="s">
        <v>5</v>
      </c>
      <c r="K6" s="8">
        <v>1.4</v>
      </c>
      <c r="L6" s="8">
        <v>1.95</v>
      </c>
      <c r="O6" s="302" t="s">
        <v>630</v>
      </c>
      <c r="P6" s="302">
        <v>1.0746011586452791</v>
      </c>
      <c r="Q6" s="302">
        <v>1.0418724798387129</v>
      </c>
      <c r="X6" s="8" t="s">
        <v>631</v>
      </c>
      <c r="Y6" s="8">
        <v>34</v>
      </c>
      <c r="Z6" s="8">
        <v>32</v>
      </c>
    </row>
    <row r="7" spans="1:26">
      <c r="A7" s="294" t="s">
        <v>291</v>
      </c>
      <c r="B7" s="294" t="s">
        <v>623</v>
      </c>
      <c r="C7" s="295">
        <v>10</v>
      </c>
      <c r="D7" s="296">
        <v>1.4</v>
      </c>
      <c r="G7" s="296">
        <v>1.4</v>
      </c>
      <c r="H7" s="296">
        <v>1.95</v>
      </c>
      <c r="J7" s="302" t="s">
        <v>6</v>
      </c>
      <c r="K7" s="302">
        <v>1.0366297114424605</v>
      </c>
      <c r="L7" s="302">
        <v>1.0207215486305328</v>
      </c>
      <c r="O7" s="8" t="s">
        <v>631</v>
      </c>
      <c r="P7" s="8">
        <v>34</v>
      </c>
      <c r="Q7" s="8">
        <v>32</v>
      </c>
      <c r="X7" s="8" t="s">
        <v>639</v>
      </c>
      <c r="Y7" s="8">
        <v>1.0587482048483485</v>
      </c>
      <c r="Z7" s="8"/>
    </row>
    <row r="8" spans="1:26">
      <c r="A8" s="294" t="s">
        <v>291</v>
      </c>
      <c r="B8" s="294" t="s">
        <v>623</v>
      </c>
      <c r="C8" s="295">
        <v>10.366666666666667</v>
      </c>
      <c r="D8" s="296">
        <v>1.4</v>
      </c>
      <c r="G8" s="296">
        <v>1.4</v>
      </c>
      <c r="H8" s="296">
        <v>1.95</v>
      </c>
      <c r="J8" s="302" t="s">
        <v>7</v>
      </c>
      <c r="K8" s="302">
        <v>1.0746011586452791</v>
      </c>
      <c r="L8" s="302">
        <v>1.0418724798387129</v>
      </c>
      <c r="O8" s="8" t="s">
        <v>632</v>
      </c>
      <c r="P8" s="8">
        <v>33</v>
      </c>
      <c r="Q8" s="8">
        <v>31</v>
      </c>
      <c r="R8" s="307" t="s">
        <v>637</v>
      </c>
      <c r="X8" s="8" t="s">
        <v>640</v>
      </c>
      <c r="Y8" s="8">
        <v>0</v>
      </c>
      <c r="Z8" s="8"/>
    </row>
    <row r="9" spans="1:26">
      <c r="A9" s="294" t="s">
        <v>291</v>
      </c>
      <c r="B9" s="294" t="s">
        <v>623</v>
      </c>
      <c r="C9" s="295">
        <v>10.45</v>
      </c>
      <c r="D9" s="296">
        <v>1.2</v>
      </c>
      <c r="G9" s="296">
        <v>1.2</v>
      </c>
      <c r="H9" s="296">
        <v>1.95</v>
      </c>
      <c r="J9" s="8" t="s">
        <v>8</v>
      </c>
      <c r="K9" s="8">
        <v>-1.4023737747190617</v>
      </c>
      <c r="L9" s="8">
        <v>-0.94095413307362819</v>
      </c>
      <c r="O9" s="305" t="s">
        <v>633</v>
      </c>
      <c r="P9" s="305">
        <v>1.0314133249892854</v>
      </c>
      <c r="Q9" s="8"/>
      <c r="R9" s="293">
        <f>P6/Q6</f>
        <v>1.0314133249892854</v>
      </c>
      <c r="X9" s="8" t="s">
        <v>632</v>
      </c>
      <c r="Y9" s="8">
        <v>64</v>
      </c>
      <c r="Z9" s="8"/>
    </row>
    <row r="10" spans="1:26">
      <c r="A10" s="294" t="s">
        <v>291</v>
      </c>
      <c r="B10" s="294" t="s">
        <v>623</v>
      </c>
      <c r="C10" s="295">
        <v>11</v>
      </c>
      <c r="D10" s="296">
        <v>2.75</v>
      </c>
      <c r="G10" s="296">
        <v>2.75</v>
      </c>
      <c r="H10" s="296">
        <v>1.95</v>
      </c>
      <c r="J10" s="8" t="s">
        <v>9</v>
      </c>
      <c r="K10" s="8">
        <v>6.7778409743414147E-2</v>
      </c>
      <c r="L10" s="8">
        <v>0.38125342519893157</v>
      </c>
      <c r="O10" s="8" t="s">
        <v>634</v>
      </c>
      <c r="P10" s="306">
        <v>0.46690865655271324</v>
      </c>
      <c r="Q10" s="8"/>
      <c r="X10" s="305" t="s">
        <v>641</v>
      </c>
      <c r="Y10" s="305">
        <v>0.73876833086918869</v>
      </c>
      <c r="Z10" s="8"/>
    </row>
    <row r="11" spans="1:26" ht="15" thickBot="1">
      <c r="A11" s="294" t="s">
        <v>291</v>
      </c>
      <c r="B11" s="294" t="s">
        <v>623</v>
      </c>
      <c r="C11" s="295">
        <v>11.45</v>
      </c>
      <c r="D11" s="296">
        <v>1.4</v>
      </c>
      <c r="G11" s="296">
        <v>1.4</v>
      </c>
      <c r="H11" s="296">
        <v>1.9</v>
      </c>
      <c r="J11" s="8" t="s">
        <v>10</v>
      </c>
      <c r="K11" s="8">
        <v>3.55</v>
      </c>
      <c r="L11" s="8">
        <v>3.7500000000000004</v>
      </c>
      <c r="O11" s="10" t="s">
        <v>635</v>
      </c>
      <c r="P11" s="308">
        <v>1.8107208253911964</v>
      </c>
      <c r="Q11" s="10"/>
      <c r="X11" s="8" t="s">
        <v>642</v>
      </c>
      <c r="Y11" s="8">
        <v>0.23137423375917116</v>
      </c>
      <c r="Z11" s="8"/>
    </row>
    <row r="12" spans="1:26">
      <c r="A12" s="294" t="s">
        <v>291</v>
      </c>
      <c r="B12" s="294" t="s">
        <v>623</v>
      </c>
      <c r="C12" s="295">
        <v>11.966666666666667</v>
      </c>
      <c r="D12" s="296">
        <v>1.95</v>
      </c>
      <c r="G12" s="296">
        <v>1.95</v>
      </c>
      <c r="H12" s="296">
        <v>1.95</v>
      </c>
      <c r="J12" s="8" t="s">
        <v>11</v>
      </c>
      <c r="K12" s="8">
        <v>0.5</v>
      </c>
      <c r="L12" s="8">
        <v>0.65</v>
      </c>
      <c r="X12" s="8" t="s">
        <v>643</v>
      </c>
      <c r="Y12" s="8">
        <v>1.6690130250240895</v>
      </c>
      <c r="Z12" s="8"/>
    </row>
    <row r="13" spans="1:26">
      <c r="A13" s="294" t="s">
        <v>291</v>
      </c>
      <c r="B13" s="294" t="s">
        <v>623</v>
      </c>
      <c r="C13" s="295">
        <v>11.983333333333333</v>
      </c>
      <c r="D13" s="296">
        <v>1.95</v>
      </c>
      <c r="G13" s="296">
        <v>1.95</v>
      </c>
      <c r="H13" s="296">
        <v>1.95</v>
      </c>
      <c r="J13" s="8" t="s">
        <v>12</v>
      </c>
      <c r="K13" s="8">
        <v>4.05</v>
      </c>
      <c r="L13" s="8">
        <v>4.4000000000000004</v>
      </c>
      <c r="X13" s="8" t="s">
        <v>644</v>
      </c>
      <c r="Y13" s="306">
        <v>0.46274846751834231</v>
      </c>
      <c r="Z13" s="8"/>
    </row>
    <row r="14" spans="1:26" ht="15" thickBot="1">
      <c r="A14" s="294" t="s">
        <v>291</v>
      </c>
      <c r="B14" s="294" t="s">
        <v>623</v>
      </c>
      <c r="C14" s="295">
        <v>12.266666666666667</v>
      </c>
      <c r="D14" s="296">
        <v>1.95</v>
      </c>
      <c r="G14" s="296">
        <v>1.95</v>
      </c>
      <c r="H14" s="298">
        <v>1</v>
      </c>
      <c r="J14" s="8" t="s">
        <v>13</v>
      </c>
      <c r="K14" s="8">
        <v>81.749999999999986</v>
      </c>
      <c r="L14" s="8">
        <v>70.949999999999989</v>
      </c>
      <c r="X14" s="10" t="s">
        <v>645</v>
      </c>
      <c r="Y14" s="308">
        <v>1.9977296543176954</v>
      </c>
      <c r="Z14" s="10"/>
    </row>
    <row r="15" spans="1:26">
      <c r="A15" s="294" t="s">
        <v>291</v>
      </c>
      <c r="B15" s="294" t="s">
        <v>623</v>
      </c>
      <c r="C15" s="295">
        <v>12.383333333333333</v>
      </c>
      <c r="D15" s="296">
        <v>1.4</v>
      </c>
      <c r="G15" s="296">
        <v>1.4</v>
      </c>
      <c r="H15" s="298">
        <v>1</v>
      </c>
      <c r="J15" s="8" t="s">
        <v>14</v>
      </c>
      <c r="K15" s="8">
        <v>34</v>
      </c>
      <c r="L15" s="8">
        <v>32</v>
      </c>
    </row>
    <row r="16" spans="1:26" ht="15" thickBot="1">
      <c r="A16" s="297" t="s">
        <v>292</v>
      </c>
      <c r="B16" s="297" t="s">
        <v>623</v>
      </c>
      <c r="C16" s="295">
        <v>11.683333333333334</v>
      </c>
      <c r="D16" s="298">
        <v>2.5</v>
      </c>
      <c r="G16" s="298">
        <v>2.5</v>
      </c>
      <c r="H16" s="298">
        <v>2.2000000000000002</v>
      </c>
      <c r="J16" s="303" t="s">
        <v>15</v>
      </c>
      <c r="K16" s="303">
        <v>0.36169720549137424</v>
      </c>
      <c r="L16" s="303">
        <v>0.36800936203108742</v>
      </c>
    </row>
    <row r="17" spans="1:12">
      <c r="A17" s="297" t="s">
        <v>292</v>
      </c>
      <c r="B17" s="297" t="s">
        <v>623</v>
      </c>
      <c r="C17" s="295">
        <v>11.833333333333334</v>
      </c>
      <c r="D17" s="298">
        <v>3</v>
      </c>
      <c r="G17" s="298">
        <v>3</v>
      </c>
      <c r="H17" s="298">
        <v>1.5</v>
      </c>
      <c r="J17" s="293" t="s">
        <v>16</v>
      </c>
      <c r="K17" s="293">
        <f>K3-K16</f>
        <v>2.0427145592145077</v>
      </c>
      <c r="L17" s="293">
        <f>L3-L16</f>
        <v>1.8491781379689123</v>
      </c>
    </row>
    <row r="18" spans="1:12">
      <c r="A18" s="297" t="s">
        <v>292</v>
      </c>
      <c r="B18" s="297" t="s">
        <v>623</v>
      </c>
      <c r="C18" s="295">
        <v>12.033333333333333</v>
      </c>
      <c r="D18" s="298">
        <v>1.5</v>
      </c>
      <c r="G18" s="298">
        <v>1.5</v>
      </c>
      <c r="H18" s="298">
        <v>3.5</v>
      </c>
      <c r="J18" s="293" t="s">
        <v>17</v>
      </c>
      <c r="K18" s="293">
        <f>K3+K16</f>
        <v>2.7661089701972559</v>
      </c>
      <c r="L18" s="293">
        <f>L3+L16</f>
        <v>2.5851968620310872</v>
      </c>
    </row>
    <row r="19" spans="1:12">
      <c r="A19" s="297" t="s">
        <v>292</v>
      </c>
      <c r="B19" s="297" t="s">
        <v>623</v>
      </c>
      <c r="C19" s="295">
        <v>12.15</v>
      </c>
      <c r="D19" s="298">
        <v>1.3</v>
      </c>
      <c r="G19" s="298">
        <v>1.3</v>
      </c>
      <c r="H19" s="298">
        <v>3.5</v>
      </c>
    </row>
    <row r="20" spans="1:12">
      <c r="A20" s="297" t="s">
        <v>292</v>
      </c>
      <c r="B20" s="297" t="s">
        <v>623</v>
      </c>
      <c r="C20" s="295">
        <v>12.25</v>
      </c>
      <c r="D20" s="298">
        <v>3.2</v>
      </c>
      <c r="G20" s="298">
        <v>3.2</v>
      </c>
      <c r="H20" s="298">
        <v>3.5</v>
      </c>
    </row>
    <row r="21" spans="1:12">
      <c r="A21" s="297" t="s">
        <v>292</v>
      </c>
      <c r="B21" s="297" t="s">
        <v>623</v>
      </c>
      <c r="C21" s="295">
        <v>12.316666666666666</v>
      </c>
      <c r="D21" s="298">
        <v>1</v>
      </c>
      <c r="G21" s="298">
        <v>1</v>
      </c>
      <c r="H21" s="298">
        <v>1</v>
      </c>
    </row>
    <row r="22" spans="1:12">
      <c r="A22" s="297" t="s">
        <v>292</v>
      </c>
      <c r="B22" s="297" t="s">
        <v>623</v>
      </c>
      <c r="C22" s="295">
        <v>12.633333333333333</v>
      </c>
      <c r="D22" s="298">
        <v>2</v>
      </c>
      <c r="G22" s="298">
        <v>2</v>
      </c>
      <c r="H22" s="298">
        <v>3.6</v>
      </c>
    </row>
    <row r="23" spans="1:12">
      <c r="A23" s="297" t="s">
        <v>292</v>
      </c>
      <c r="B23" s="297" t="s">
        <v>623</v>
      </c>
      <c r="C23" s="295">
        <v>15.85</v>
      </c>
      <c r="D23" s="298">
        <v>0.5</v>
      </c>
      <c r="G23" s="298">
        <v>0.5</v>
      </c>
      <c r="H23" s="298">
        <v>1.3</v>
      </c>
    </row>
    <row r="24" spans="1:12">
      <c r="A24" s="297" t="s">
        <v>292</v>
      </c>
      <c r="B24" s="297" t="s">
        <v>623</v>
      </c>
      <c r="C24" s="295">
        <v>17.066666666666666</v>
      </c>
      <c r="D24" s="298">
        <v>4</v>
      </c>
      <c r="G24" s="298">
        <v>4</v>
      </c>
      <c r="H24" s="298">
        <v>3</v>
      </c>
    </row>
    <row r="25" spans="1:12">
      <c r="A25" s="297" t="s">
        <v>625</v>
      </c>
      <c r="B25" s="297" t="s">
        <v>623</v>
      </c>
      <c r="C25" s="295">
        <v>9.7833333333333297</v>
      </c>
      <c r="D25" s="298">
        <v>3.35</v>
      </c>
      <c r="G25" s="298">
        <v>3.35</v>
      </c>
      <c r="H25" s="298">
        <v>0.8</v>
      </c>
    </row>
    <row r="26" spans="1:12">
      <c r="A26" s="297" t="s">
        <v>625</v>
      </c>
      <c r="B26" s="297" t="s">
        <v>623</v>
      </c>
      <c r="C26" s="295">
        <v>12.133333333333333</v>
      </c>
      <c r="D26" s="298">
        <v>3.9</v>
      </c>
      <c r="G26" s="298">
        <v>3.9</v>
      </c>
      <c r="H26" s="298">
        <v>1</v>
      </c>
    </row>
    <row r="27" spans="1:12">
      <c r="A27" s="297" t="s">
        <v>625</v>
      </c>
      <c r="B27" s="297" t="s">
        <v>623</v>
      </c>
      <c r="C27" s="295">
        <v>9.9666666666666668</v>
      </c>
      <c r="D27" s="298">
        <v>3.1</v>
      </c>
      <c r="G27" s="298">
        <v>3.1</v>
      </c>
      <c r="H27" s="298">
        <v>3</v>
      </c>
    </row>
    <row r="28" spans="1:12">
      <c r="A28" s="297" t="s">
        <v>625</v>
      </c>
      <c r="B28" s="297" t="s">
        <v>623</v>
      </c>
      <c r="C28" s="295">
        <v>11.383333333333333</v>
      </c>
      <c r="D28" s="298">
        <v>3.5</v>
      </c>
      <c r="G28" s="298">
        <v>3.5</v>
      </c>
      <c r="H28" s="298">
        <v>0.65</v>
      </c>
    </row>
    <row r="29" spans="1:12">
      <c r="A29" s="297" t="s">
        <v>625</v>
      </c>
      <c r="B29" s="297" t="s">
        <v>623</v>
      </c>
      <c r="C29" s="295">
        <v>10.15</v>
      </c>
      <c r="D29" s="298">
        <v>3</v>
      </c>
      <c r="G29" s="298">
        <v>3</v>
      </c>
      <c r="H29" s="298">
        <v>3.6999999999999997</v>
      </c>
    </row>
    <row r="30" spans="1:12">
      <c r="A30" s="297" t="s">
        <v>625</v>
      </c>
      <c r="B30" s="297" t="s">
        <v>623</v>
      </c>
      <c r="C30" s="295">
        <v>10.183333333333334</v>
      </c>
      <c r="D30" s="298">
        <v>4.05</v>
      </c>
      <c r="G30" s="298">
        <v>4.05</v>
      </c>
      <c r="H30" s="298">
        <v>3.6</v>
      </c>
    </row>
    <row r="31" spans="1:12">
      <c r="A31" s="297" t="s">
        <v>625</v>
      </c>
      <c r="B31" s="297" t="s">
        <v>623</v>
      </c>
      <c r="C31" s="295">
        <v>11.366666666666667</v>
      </c>
      <c r="D31" s="298">
        <v>3.45</v>
      </c>
      <c r="G31" s="298">
        <v>3.45</v>
      </c>
      <c r="H31" s="298">
        <v>4.4000000000000004</v>
      </c>
    </row>
    <row r="32" spans="1:12">
      <c r="A32" s="297" t="s">
        <v>625</v>
      </c>
      <c r="B32" s="297" t="s">
        <v>623</v>
      </c>
      <c r="C32" s="295">
        <v>10.8</v>
      </c>
      <c r="D32" s="298">
        <v>3.5500000000000003</v>
      </c>
      <c r="G32" s="298">
        <v>3.5500000000000003</v>
      </c>
      <c r="H32" s="298">
        <v>3.2</v>
      </c>
    </row>
    <row r="33" spans="1:8">
      <c r="A33" s="297" t="s">
        <v>625</v>
      </c>
      <c r="B33" s="297" t="s">
        <v>623</v>
      </c>
      <c r="C33" s="295">
        <v>9.6166666666666671</v>
      </c>
      <c r="D33" s="298">
        <v>3.7</v>
      </c>
      <c r="G33" s="298">
        <v>3.7</v>
      </c>
      <c r="H33" s="298">
        <v>3.1</v>
      </c>
    </row>
    <row r="34" spans="1:8">
      <c r="A34" s="297" t="s">
        <v>625</v>
      </c>
      <c r="B34" s="297" t="s">
        <v>623</v>
      </c>
      <c r="C34" s="295">
        <v>9.4166666666666661</v>
      </c>
      <c r="D34" s="298">
        <v>3.6</v>
      </c>
      <c r="G34" s="298">
        <v>3.6</v>
      </c>
    </row>
    <row r="35" spans="1:8">
      <c r="A35" s="297" t="s">
        <v>625</v>
      </c>
      <c r="B35" s="297" t="s">
        <v>623</v>
      </c>
      <c r="C35" s="295">
        <v>10.85</v>
      </c>
      <c r="D35" s="298">
        <v>3.55</v>
      </c>
      <c r="G35" s="298">
        <v>3.55</v>
      </c>
    </row>
    <row r="36" spans="1:8">
      <c r="A36" s="294" t="s">
        <v>291</v>
      </c>
      <c r="B36" s="294" t="s">
        <v>624</v>
      </c>
      <c r="C36" s="295">
        <v>10.050000000000001</v>
      </c>
      <c r="D36" s="296">
        <v>1.55</v>
      </c>
    </row>
    <row r="37" spans="1:8">
      <c r="A37" s="294" t="s">
        <v>291</v>
      </c>
      <c r="B37" s="294" t="s">
        <v>624</v>
      </c>
      <c r="C37" s="295">
        <v>10.416666666666666</v>
      </c>
      <c r="D37" s="296">
        <v>1.4</v>
      </c>
    </row>
    <row r="38" spans="1:8">
      <c r="A38" s="294" t="s">
        <v>291</v>
      </c>
      <c r="B38" s="294" t="s">
        <v>624</v>
      </c>
      <c r="C38" s="295">
        <v>10.7</v>
      </c>
      <c r="D38" s="296">
        <v>1.95</v>
      </c>
    </row>
    <row r="39" spans="1:8">
      <c r="A39" s="294" t="s">
        <v>291</v>
      </c>
      <c r="B39" s="294" t="s">
        <v>624</v>
      </c>
      <c r="C39" s="295">
        <v>10.783333333333333</v>
      </c>
      <c r="D39" s="296">
        <v>1.95</v>
      </c>
    </row>
    <row r="40" spans="1:8">
      <c r="A40" s="294" t="s">
        <v>291</v>
      </c>
      <c r="B40" s="294" t="s">
        <v>624</v>
      </c>
      <c r="C40" s="295">
        <v>10.8</v>
      </c>
      <c r="D40" s="296">
        <v>1.95</v>
      </c>
    </row>
    <row r="41" spans="1:8">
      <c r="A41" s="294" t="s">
        <v>291</v>
      </c>
      <c r="B41" s="294" t="s">
        <v>624</v>
      </c>
      <c r="C41" s="295">
        <v>11.366666666666667</v>
      </c>
      <c r="D41" s="296">
        <v>1.95</v>
      </c>
    </row>
    <row r="42" spans="1:8">
      <c r="A42" s="294" t="s">
        <v>291</v>
      </c>
      <c r="B42" s="294" t="s">
        <v>624</v>
      </c>
      <c r="C42" s="295">
        <v>12.383333333333333</v>
      </c>
      <c r="D42" s="296">
        <v>1.95</v>
      </c>
    </row>
    <row r="43" spans="1:8">
      <c r="A43" s="294" t="s">
        <v>291</v>
      </c>
      <c r="B43" s="294" t="s">
        <v>624</v>
      </c>
      <c r="C43" s="295">
        <v>13.283333333333333</v>
      </c>
      <c r="D43" s="296">
        <v>1.95</v>
      </c>
    </row>
    <row r="44" spans="1:8">
      <c r="A44" s="294" t="s">
        <v>291</v>
      </c>
      <c r="B44" s="294" t="s">
        <v>624</v>
      </c>
      <c r="C44" s="295">
        <v>13.466666666666667</v>
      </c>
      <c r="D44" s="296">
        <v>1.95</v>
      </c>
    </row>
    <row r="45" spans="1:8">
      <c r="A45" s="294" t="s">
        <v>291</v>
      </c>
      <c r="B45" s="294" t="s">
        <v>624</v>
      </c>
      <c r="C45" s="295">
        <v>13.516666666666667</v>
      </c>
      <c r="D45" s="296">
        <v>1.9</v>
      </c>
    </row>
    <row r="46" spans="1:8">
      <c r="A46" s="294" t="s">
        <v>291</v>
      </c>
      <c r="B46" s="294" t="s">
        <v>624</v>
      </c>
      <c r="C46" s="295">
        <v>13.516666666666667</v>
      </c>
      <c r="D46" s="296">
        <v>1.95</v>
      </c>
    </row>
    <row r="47" spans="1:8">
      <c r="A47" s="294" t="s">
        <v>291</v>
      </c>
      <c r="B47" s="294" t="s">
        <v>624</v>
      </c>
      <c r="C47" s="295">
        <v>13.75</v>
      </c>
      <c r="D47" s="296">
        <v>1.95</v>
      </c>
    </row>
    <row r="48" spans="1:8">
      <c r="A48" s="297" t="s">
        <v>292</v>
      </c>
      <c r="B48" s="297" t="s">
        <v>624</v>
      </c>
      <c r="C48" s="295">
        <v>11.1</v>
      </c>
      <c r="D48" s="298">
        <v>1</v>
      </c>
    </row>
    <row r="49" spans="1:4">
      <c r="A49" s="297" t="s">
        <v>292</v>
      </c>
      <c r="B49" s="297" t="s">
        <v>624</v>
      </c>
      <c r="C49" s="295">
        <v>11.25</v>
      </c>
      <c r="D49" s="298">
        <v>1</v>
      </c>
    </row>
    <row r="50" spans="1:4">
      <c r="A50" s="297" t="s">
        <v>292</v>
      </c>
      <c r="B50" s="297" t="s">
        <v>624</v>
      </c>
      <c r="C50" s="295">
        <v>11.4</v>
      </c>
      <c r="D50" s="298">
        <v>2.2000000000000002</v>
      </c>
    </row>
    <row r="51" spans="1:4">
      <c r="A51" s="297" t="s">
        <v>292</v>
      </c>
      <c r="B51" s="297" t="s">
        <v>624</v>
      </c>
      <c r="C51" s="295">
        <v>11.633333333333333</v>
      </c>
      <c r="D51" s="298">
        <v>1.5</v>
      </c>
    </row>
    <row r="52" spans="1:4">
      <c r="A52" s="297" t="s">
        <v>292</v>
      </c>
      <c r="B52" s="297" t="s">
        <v>624</v>
      </c>
      <c r="C52" s="295">
        <v>12</v>
      </c>
      <c r="D52" s="298">
        <v>3.5</v>
      </c>
    </row>
    <row r="53" spans="1:4">
      <c r="A53" s="297" t="s">
        <v>292</v>
      </c>
      <c r="B53" s="297" t="s">
        <v>624</v>
      </c>
      <c r="C53" s="295">
        <v>12.05</v>
      </c>
      <c r="D53" s="298">
        <v>3.5</v>
      </c>
    </row>
    <row r="54" spans="1:4">
      <c r="A54" s="297" t="s">
        <v>292</v>
      </c>
      <c r="B54" s="297" t="s">
        <v>624</v>
      </c>
      <c r="C54" s="295">
        <v>12.316666666666666</v>
      </c>
      <c r="D54" s="298">
        <v>3.5</v>
      </c>
    </row>
    <row r="55" spans="1:4">
      <c r="A55" s="297" t="s">
        <v>292</v>
      </c>
      <c r="B55" s="297" t="s">
        <v>624</v>
      </c>
      <c r="C55" s="295">
        <v>12.4</v>
      </c>
      <c r="D55" s="298">
        <v>1</v>
      </c>
    </row>
    <row r="56" spans="1:4">
      <c r="A56" s="297" t="s">
        <v>292</v>
      </c>
      <c r="B56" s="297" t="s">
        <v>624</v>
      </c>
      <c r="C56" s="295">
        <v>12.483333333333333</v>
      </c>
      <c r="D56" s="298">
        <v>3.6</v>
      </c>
    </row>
    <row r="57" spans="1:4">
      <c r="A57" s="297" t="s">
        <v>292</v>
      </c>
      <c r="B57" s="297" t="s">
        <v>624</v>
      </c>
      <c r="C57" s="295">
        <v>12.6</v>
      </c>
      <c r="D57" s="298">
        <v>1.3</v>
      </c>
    </row>
    <row r="58" spans="1:4">
      <c r="A58" s="297" t="s">
        <v>292</v>
      </c>
      <c r="B58" s="297" t="s">
        <v>624</v>
      </c>
      <c r="C58" s="295">
        <v>12.8</v>
      </c>
      <c r="D58" s="298">
        <v>3</v>
      </c>
    </row>
    <row r="59" spans="1:4">
      <c r="A59" s="297" t="s">
        <v>292</v>
      </c>
      <c r="B59" s="297" t="s">
        <v>624</v>
      </c>
      <c r="C59" s="295">
        <v>15.233333333333333</v>
      </c>
      <c r="D59" s="298">
        <v>0.8</v>
      </c>
    </row>
    <row r="60" spans="1:4">
      <c r="A60" s="297" t="s">
        <v>292</v>
      </c>
      <c r="B60" s="297" t="s">
        <v>624</v>
      </c>
      <c r="C60" s="295">
        <v>15.483333333333333</v>
      </c>
      <c r="D60" s="298">
        <v>1</v>
      </c>
    </row>
    <row r="61" spans="1:4">
      <c r="A61" s="297" t="s">
        <v>292</v>
      </c>
      <c r="B61" s="297" t="s">
        <v>624</v>
      </c>
      <c r="C61" s="295">
        <v>15.883333333333333</v>
      </c>
      <c r="D61" s="298">
        <v>3</v>
      </c>
    </row>
    <row r="62" spans="1:4">
      <c r="A62" s="297" t="s">
        <v>625</v>
      </c>
      <c r="B62" s="297" t="s">
        <v>624</v>
      </c>
      <c r="C62" s="295">
        <v>10.216666666666667</v>
      </c>
      <c r="D62" s="298">
        <v>0.65</v>
      </c>
    </row>
    <row r="63" spans="1:4">
      <c r="A63" s="297" t="s">
        <v>625</v>
      </c>
      <c r="B63" s="297" t="s">
        <v>624</v>
      </c>
      <c r="C63" s="295">
        <v>10.199999999999999</v>
      </c>
      <c r="D63" s="298">
        <v>3.6999999999999997</v>
      </c>
    </row>
    <row r="64" spans="1:4">
      <c r="A64" s="297" t="s">
        <v>625</v>
      </c>
      <c r="B64" s="297" t="s">
        <v>624</v>
      </c>
      <c r="C64" s="295">
        <v>11.066666666666666</v>
      </c>
      <c r="D64" s="298">
        <v>3.6</v>
      </c>
    </row>
    <row r="65" spans="1:4">
      <c r="A65" s="297" t="s">
        <v>625</v>
      </c>
      <c r="B65" s="297" t="s">
        <v>624</v>
      </c>
      <c r="C65" s="295">
        <v>10.683333333333334</v>
      </c>
      <c r="D65" s="298">
        <v>4.4000000000000004</v>
      </c>
    </row>
    <row r="66" spans="1:4">
      <c r="A66" s="297" t="s">
        <v>625</v>
      </c>
      <c r="B66" s="297" t="s">
        <v>624</v>
      </c>
      <c r="C66" s="295">
        <v>9.3000000000000007</v>
      </c>
      <c r="D66" s="298">
        <v>3.2</v>
      </c>
    </row>
    <row r="67" spans="1:4">
      <c r="A67" s="297" t="s">
        <v>625</v>
      </c>
      <c r="B67" s="297" t="s">
        <v>624</v>
      </c>
      <c r="C67" s="295">
        <v>9.2833333333333332</v>
      </c>
      <c r="D67" s="298">
        <v>3.1</v>
      </c>
    </row>
  </sheetData>
  <autoFilter ref="A1:D67" xr:uid="{425168E0-706E-4CEB-A6EB-F14FCC858519}"/>
  <sortState xmlns:xlrd2="http://schemas.microsoft.com/office/spreadsheetml/2017/richdata2" ref="A2:D67">
    <sortCondition ref="B3:B67"/>
  </sortState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C289B-FB08-4696-9EC3-DEF954F7F151}">
  <sheetPr>
    <tabColor theme="5"/>
  </sheetPr>
  <dimension ref="A1:L15"/>
  <sheetViews>
    <sheetView zoomScale="115" zoomScaleNormal="115" workbookViewId="0">
      <selection activeCell="K4" sqref="K4"/>
    </sheetView>
  </sheetViews>
  <sheetFormatPr defaultRowHeight="12.5"/>
  <cols>
    <col min="7" max="7" width="15.08984375" bestFit="1" customWidth="1"/>
    <col min="8" max="8" width="12.6328125" bestFit="1" customWidth="1"/>
  </cols>
  <sheetData>
    <row r="1" spans="1:12" ht="14.5">
      <c r="A1" s="271" t="s">
        <v>608</v>
      </c>
      <c r="B1" s="144" t="s">
        <v>26</v>
      </c>
      <c r="C1" s="144" t="s">
        <v>106</v>
      </c>
      <c r="D1" s="144" t="s">
        <v>595</v>
      </c>
      <c r="E1" s="144" t="s">
        <v>599</v>
      </c>
      <c r="G1" s="264" t="s">
        <v>563</v>
      </c>
      <c r="H1" s="264">
        <v>0.05</v>
      </c>
      <c r="I1" s="265">
        <f>H1</f>
        <v>0.05</v>
      </c>
      <c r="K1" s="22" t="s">
        <v>602</v>
      </c>
      <c r="L1">
        <f>1-H1/2</f>
        <v>0.97499999999999998</v>
      </c>
    </row>
    <row r="2" spans="1:12" ht="14.5">
      <c r="A2" s="272">
        <f>ROW(A2)-1</f>
        <v>1</v>
      </c>
      <c r="B2">
        <v>1</v>
      </c>
      <c r="C2">
        <v>1</v>
      </c>
      <c r="D2">
        <v>1</v>
      </c>
      <c r="E2">
        <f>D2-1.5</f>
        <v>-0.5</v>
      </c>
      <c r="G2" s="115" t="s">
        <v>596</v>
      </c>
      <c r="H2" s="115" t="s">
        <v>597</v>
      </c>
    </row>
    <row r="3" spans="1:12" ht="14.5">
      <c r="A3" s="272">
        <f t="shared" ref="A3:A10" si="0">ROW(A3)-1</f>
        <v>2</v>
      </c>
      <c r="B3">
        <v>2</v>
      </c>
      <c r="C3">
        <v>2</v>
      </c>
      <c r="D3">
        <v>1</v>
      </c>
      <c r="E3">
        <f t="shared" ref="E3:E10" si="1">D3-1.5</f>
        <v>-0.5</v>
      </c>
      <c r="G3" s="115" t="s">
        <v>598</v>
      </c>
      <c r="H3" s="115" t="s">
        <v>609</v>
      </c>
    </row>
    <row r="4" spans="1:12" ht="14.5">
      <c r="A4" s="272">
        <f t="shared" si="0"/>
        <v>3</v>
      </c>
      <c r="B4">
        <v>3</v>
      </c>
      <c r="C4">
        <v>1</v>
      </c>
      <c r="D4">
        <v>1</v>
      </c>
      <c r="E4">
        <f t="shared" si="1"/>
        <v>-0.5</v>
      </c>
    </row>
    <row r="5" spans="1:12" ht="14.5">
      <c r="A5" s="272">
        <f t="shared" si="0"/>
        <v>4</v>
      </c>
      <c r="B5">
        <v>4</v>
      </c>
      <c r="C5">
        <v>3</v>
      </c>
      <c r="D5">
        <v>1</v>
      </c>
      <c r="E5">
        <f t="shared" si="1"/>
        <v>-0.5</v>
      </c>
      <c r="G5" s="258" t="s">
        <v>601</v>
      </c>
      <c r="H5" s="258">
        <f>(2*E12-E15)/SQRT(E15)</f>
        <v>0.33333333333333331</v>
      </c>
    </row>
    <row r="6" spans="1:12" ht="14.5">
      <c r="A6" s="272">
        <f t="shared" si="0"/>
        <v>5</v>
      </c>
      <c r="B6">
        <v>5</v>
      </c>
      <c r="C6">
        <v>2</v>
      </c>
      <c r="D6">
        <v>2</v>
      </c>
      <c r="E6" s="23">
        <f t="shared" si="1"/>
        <v>0.5</v>
      </c>
      <c r="G6" s="144" t="s">
        <v>603</v>
      </c>
      <c r="H6" s="263">
        <f>_xlfn.NORM.S.INV(0.025)</f>
        <v>-1.9599639845400538</v>
      </c>
      <c r="I6" s="263">
        <f>_xlfn.NORM.S.INV(L1)</f>
        <v>1.9599639845400536</v>
      </c>
    </row>
    <row r="7" spans="1:12" ht="14.5">
      <c r="A7" s="272">
        <f t="shared" si="0"/>
        <v>6</v>
      </c>
      <c r="B7">
        <v>6</v>
      </c>
      <c r="C7">
        <v>1</v>
      </c>
      <c r="D7">
        <v>2</v>
      </c>
      <c r="E7" s="23">
        <f t="shared" si="1"/>
        <v>0.5</v>
      </c>
      <c r="G7" s="258" t="s">
        <v>604</v>
      </c>
      <c r="H7" s="258">
        <f>1-_xlfn.NORM.S.DIST(H5,1)</f>
        <v>0.36944134018176356</v>
      </c>
    </row>
    <row r="8" spans="1:12" ht="14.5">
      <c r="A8" s="272">
        <f t="shared" si="0"/>
        <v>7</v>
      </c>
      <c r="B8">
        <v>7</v>
      </c>
      <c r="C8">
        <v>4</v>
      </c>
      <c r="D8">
        <v>3</v>
      </c>
      <c r="E8" s="23">
        <f t="shared" si="1"/>
        <v>1.5</v>
      </c>
      <c r="G8" s="22" t="s">
        <v>605</v>
      </c>
      <c r="H8">
        <f>H7*2</f>
        <v>0.73888268036352711</v>
      </c>
    </row>
    <row r="9" spans="1:12" ht="14.5">
      <c r="A9" s="272">
        <f t="shared" si="0"/>
        <v>8</v>
      </c>
      <c r="B9">
        <v>8</v>
      </c>
      <c r="C9">
        <v>3</v>
      </c>
      <c r="D9">
        <v>3</v>
      </c>
      <c r="E9" s="23">
        <f t="shared" si="1"/>
        <v>1.5</v>
      </c>
    </row>
    <row r="10" spans="1:12" ht="14.5">
      <c r="A10" s="272">
        <f t="shared" si="0"/>
        <v>9</v>
      </c>
      <c r="B10">
        <v>9</v>
      </c>
      <c r="C10">
        <v>1</v>
      </c>
      <c r="D10">
        <v>4</v>
      </c>
      <c r="E10" s="23">
        <f t="shared" si="1"/>
        <v>2.5</v>
      </c>
      <c r="G10" s="271" t="s">
        <v>606</v>
      </c>
      <c r="H10" s="271" t="s">
        <v>607</v>
      </c>
    </row>
    <row r="12" spans="1:12" ht="13">
      <c r="D12" s="258" t="s">
        <v>600</v>
      </c>
      <c r="E12" s="258">
        <f>COUNT(E6:E10)</f>
        <v>5</v>
      </c>
    </row>
    <row r="13" spans="1:12">
      <c r="D13" s="22" t="s">
        <v>600</v>
      </c>
      <c r="E13">
        <f>COUNTIF(E2:E10,"&gt;0")</f>
        <v>5</v>
      </c>
    </row>
    <row r="15" spans="1:12" ht="13">
      <c r="D15" s="23" t="s">
        <v>54</v>
      </c>
      <c r="E15" s="23">
        <f>COUNT(E2:E10)</f>
        <v>9</v>
      </c>
    </row>
  </sheetData>
  <sortState xmlns:xlrd2="http://schemas.microsoft.com/office/spreadsheetml/2017/richdata2" ref="D2:D10">
    <sortCondition ref="D2:D10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4A779-2F3D-4FF9-B3D8-CE1C55095982}">
  <sheetPr>
    <tabColor rgb="FF7030A0"/>
  </sheetPr>
  <dimension ref="A1:T52"/>
  <sheetViews>
    <sheetView zoomScale="85" zoomScaleNormal="85" workbookViewId="0">
      <selection activeCell="L39" sqref="L39"/>
    </sheetView>
  </sheetViews>
  <sheetFormatPr defaultRowHeight="12.5"/>
  <cols>
    <col min="1" max="1" width="15.6328125" customWidth="1"/>
    <col min="2" max="2" width="19.1796875" customWidth="1"/>
    <col min="4" max="4" width="11.81640625" customWidth="1"/>
    <col min="5" max="5" width="15.1796875" customWidth="1"/>
    <col min="6" max="8" width="11.81640625" customWidth="1"/>
    <col min="10" max="10" width="19.54296875" customWidth="1"/>
    <col min="11" max="11" width="12" bestFit="1" customWidth="1"/>
    <col min="12" max="12" width="19" bestFit="1" customWidth="1"/>
    <col min="14" max="14" width="14.81640625" bestFit="1" customWidth="1"/>
    <col min="17" max="17" width="15.90625" customWidth="1"/>
    <col min="19" max="19" width="9.54296875" bestFit="1" customWidth="1"/>
    <col min="20" max="20" width="28.81640625" bestFit="1" customWidth="1"/>
  </cols>
  <sheetData>
    <row r="1" spans="1:13" ht="13" thickBot="1"/>
    <row r="2" spans="1:13" ht="13">
      <c r="A2" s="309" t="s">
        <v>559</v>
      </c>
      <c r="B2" s="309"/>
      <c r="D2" s="267" t="s">
        <v>0</v>
      </c>
      <c r="E2" s="267"/>
      <c r="G2" s="267" t="s">
        <v>1</v>
      </c>
      <c r="H2" s="267"/>
      <c r="J2" s="22" t="s">
        <v>563</v>
      </c>
      <c r="K2">
        <v>0.05</v>
      </c>
      <c r="L2" s="18">
        <f>K2</f>
        <v>0.05</v>
      </c>
    </row>
    <row r="3" spans="1:13">
      <c r="A3" t="s">
        <v>2</v>
      </c>
      <c r="B3">
        <v>2.3136363640000002</v>
      </c>
      <c r="D3" s="8"/>
      <c r="E3" s="8"/>
      <c r="G3" s="8"/>
      <c r="H3" s="8"/>
      <c r="J3" s="22" t="s">
        <v>53</v>
      </c>
      <c r="K3">
        <f>1-K2/2</f>
        <v>0.97499999999999998</v>
      </c>
    </row>
    <row r="4" spans="1:13" ht="13">
      <c r="A4" t="s">
        <v>3</v>
      </c>
      <c r="B4">
        <v>0.12621228200000001</v>
      </c>
      <c r="D4" s="26" t="s">
        <v>2</v>
      </c>
      <c r="E4" s="252">
        <v>343160.2</v>
      </c>
      <c r="G4" s="266" t="s">
        <v>2</v>
      </c>
      <c r="H4" s="266">
        <v>343.16020000000003</v>
      </c>
      <c r="J4" s="22" t="s">
        <v>52</v>
      </c>
      <c r="K4">
        <f>K2/2</f>
        <v>2.5000000000000001E-2</v>
      </c>
    </row>
    <row r="5" spans="1:13">
      <c r="A5" t="s">
        <v>4</v>
      </c>
      <c r="B5">
        <v>1.95</v>
      </c>
      <c r="D5" s="8" t="s">
        <v>3</v>
      </c>
      <c r="E5" s="253">
        <v>21578.318005775316</v>
      </c>
      <c r="G5" s="8" t="s">
        <v>3</v>
      </c>
      <c r="H5" s="8">
        <v>21.578318005775305</v>
      </c>
    </row>
    <row r="6" spans="1:13" ht="13">
      <c r="A6" t="s">
        <v>5</v>
      </c>
      <c r="B6">
        <v>1.95</v>
      </c>
      <c r="D6" s="8" t="s">
        <v>4</v>
      </c>
      <c r="E6" s="253">
        <v>309497.5</v>
      </c>
      <c r="G6" s="8" t="s">
        <v>4</v>
      </c>
      <c r="H6" s="8">
        <v>309.4975</v>
      </c>
      <c r="J6" s="268" t="s">
        <v>565</v>
      </c>
      <c r="K6" s="269" t="s">
        <v>570</v>
      </c>
      <c r="L6" s="310" t="s">
        <v>571</v>
      </c>
      <c r="M6" s="310"/>
    </row>
    <row r="7" spans="1:13">
      <c r="A7" t="s">
        <v>6</v>
      </c>
      <c r="B7">
        <v>1.025353427</v>
      </c>
      <c r="D7" s="8" t="s">
        <v>5</v>
      </c>
      <c r="E7" s="253">
        <v>375000</v>
      </c>
      <c r="G7" s="8" t="s">
        <v>5</v>
      </c>
      <c r="H7" s="8">
        <v>375</v>
      </c>
      <c r="J7" s="22" t="s">
        <v>564</v>
      </c>
      <c r="K7">
        <f>_xlfn.CHISQ.INV($K$3,B15-1)</f>
        <v>89.177144996756169</v>
      </c>
      <c r="L7">
        <v>83.3</v>
      </c>
      <c r="M7">
        <v>95.02</v>
      </c>
    </row>
    <row r="8" spans="1:13" ht="13">
      <c r="A8" s="196" t="s">
        <v>7</v>
      </c>
      <c r="B8" s="196">
        <v>1.0513496499999999</v>
      </c>
      <c r="D8" s="114" t="s">
        <v>6</v>
      </c>
      <c r="E8" s="254">
        <v>152581.74988483507</v>
      </c>
      <c r="G8" s="114" t="s">
        <v>6</v>
      </c>
      <c r="H8" s="114">
        <v>152.58174988483498</v>
      </c>
      <c r="J8" s="22" t="s">
        <v>567</v>
      </c>
      <c r="K8">
        <f>_xlfn.CHISQ.INV($K$4,B15-1)</f>
        <v>44.602992520329281</v>
      </c>
      <c r="L8">
        <v>40.479999999999997</v>
      </c>
      <c r="M8">
        <v>48.76</v>
      </c>
    </row>
    <row r="9" spans="1:13">
      <c r="A9" t="s">
        <v>8</v>
      </c>
      <c r="B9">
        <v>-1.2245161550000001</v>
      </c>
      <c r="D9" s="8" t="s">
        <v>7</v>
      </c>
      <c r="E9" s="253">
        <v>23281190397.918365</v>
      </c>
      <c r="G9" s="8" t="s">
        <v>7</v>
      </c>
      <c r="H9" s="8">
        <v>23281.190397918337</v>
      </c>
    </row>
    <row r="10" spans="1:13" ht="13" thickBot="1">
      <c r="A10" t="s">
        <v>9</v>
      </c>
      <c r="B10">
        <v>0.212473732</v>
      </c>
      <c r="D10" s="8" t="s">
        <v>8</v>
      </c>
      <c r="E10" s="8">
        <v>1.7589661813043422</v>
      </c>
      <c r="G10" s="8" t="s">
        <v>8</v>
      </c>
      <c r="H10" s="8">
        <v>1.7589661813043422</v>
      </c>
    </row>
    <row r="11" spans="1:13" ht="13">
      <c r="A11" t="s">
        <v>10</v>
      </c>
      <c r="B11">
        <v>3.9</v>
      </c>
      <c r="D11" s="8" t="s">
        <v>9</v>
      </c>
      <c r="E11" s="8">
        <v>1.2155383284748322</v>
      </c>
      <c r="G11" s="8" t="s">
        <v>9</v>
      </c>
      <c r="H11" s="8">
        <v>1.2155383284748316</v>
      </c>
      <c r="J11" s="267" t="s">
        <v>566</v>
      </c>
      <c r="K11" s="269" t="s">
        <v>570</v>
      </c>
      <c r="L11" s="310" t="s">
        <v>571</v>
      </c>
      <c r="M11" s="310"/>
    </row>
    <row r="12" spans="1:13">
      <c r="A12" t="s">
        <v>11</v>
      </c>
      <c r="B12">
        <v>0.5</v>
      </c>
      <c r="D12" s="8" t="s">
        <v>10</v>
      </c>
      <c r="E12" s="8">
        <v>715000</v>
      </c>
      <c r="G12" s="8" t="s">
        <v>10</v>
      </c>
      <c r="H12" s="8">
        <v>715</v>
      </c>
      <c r="J12" s="22" t="s">
        <v>568</v>
      </c>
      <c r="K12">
        <f>_xlfn.CHISQ.INV($K$3,E16-1)</f>
        <v>70.22241356643454</v>
      </c>
      <c r="L12">
        <v>59.35</v>
      </c>
      <c r="M12">
        <v>71.42</v>
      </c>
    </row>
    <row r="13" spans="1:13">
      <c r="A13" t="s">
        <v>12</v>
      </c>
      <c r="B13">
        <v>4.4000000000000004</v>
      </c>
      <c r="D13" s="8" t="s">
        <v>11</v>
      </c>
      <c r="E13" s="8">
        <v>135000</v>
      </c>
      <c r="G13" s="8" t="s">
        <v>11</v>
      </c>
      <c r="H13" s="8">
        <v>135</v>
      </c>
      <c r="J13" s="22" t="s">
        <v>569</v>
      </c>
      <c r="K13">
        <f>_xlfn.CHISQ.INV($K$4,E16-1)</f>
        <v>31.554916462667123</v>
      </c>
      <c r="L13">
        <v>24.43</v>
      </c>
      <c r="M13">
        <v>32.36</v>
      </c>
    </row>
    <row r="14" spans="1:13" ht="13" thickBot="1">
      <c r="A14" t="s">
        <v>13</v>
      </c>
      <c r="B14">
        <v>152.69999999999999</v>
      </c>
      <c r="D14" s="8" t="s">
        <v>12</v>
      </c>
      <c r="E14" s="8">
        <v>850000</v>
      </c>
      <c r="G14" s="8" t="s">
        <v>12</v>
      </c>
      <c r="H14" s="8">
        <v>850</v>
      </c>
    </row>
    <row r="15" spans="1:13" ht="13">
      <c r="A15" s="196" t="s">
        <v>14</v>
      </c>
      <c r="B15" s="196">
        <v>66</v>
      </c>
      <c r="D15" s="8" t="s">
        <v>13</v>
      </c>
      <c r="E15" s="8">
        <v>17158010</v>
      </c>
      <c r="G15" s="8" t="s">
        <v>13</v>
      </c>
      <c r="H15" s="8">
        <v>17158.010000000002</v>
      </c>
      <c r="J15" s="22" t="s">
        <v>572</v>
      </c>
      <c r="K15" s="267" t="s">
        <v>566</v>
      </c>
      <c r="L15" s="268" t="s">
        <v>565</v>
      </c>
    </row>
    <row r="16" spans="1:13">
      <c r="A16" t="s">
        <v>78</v>
      </c>
      <c r="B16">
        <v>3.7</v>
      </c>
      <c r="D16" s="114" t="s">
        <v>14</v>
      </c>
      <c r="E16" s="114">
        <v>50</v>
      </c>
      <c r="G16" s="114" t="s">
        <v>14</v>
      </c>
      <c r="H16" s="114">
        <v>50</v>
      </c>
      <c r="J16" s="22" t="s">
        <v>573</v>
      </c>
      <c r="K16">
        <f>(H16-1)*H9/K12</f>
        <v>16245.216755740745</v>
      </c>
      <c r="L16">
        <f>(B15-1)*B8/K7</f>
        <v>0.76631436510426287</v>
      </c>
    </row>
    <row r="17" spans="1:20" ht="13" thickBot="1">
      <c r="A17" t="s">
        <v>79</v>
      </c>
      <c r="B17">
        <v>1</v>
      </c>
      <c r="D17" s="251" t="s">
        <v>15</v>
      </c>
      <c r="E17" s="251">
        <v>43363.253523306055</v>
      </c>
      <c r="G17" s="251" t="s">
        <v>15</v>
      </c>
      <c r="H17" s="251">
        <v>43.363253523306035</v>
      </c>
      <c r="J17" s="22" t="s">
        <v>574</v>
      </c>
      <c r="K17">
        <f>(H16-1)*H9/K13</f>
        <v>36152.15812241692</v>
      </c>
      <c r="L17">
        <f>(B15-1)*B8/K8</f>
        <v>1.5321332356534785</v>
      </c>
    </row>
    <row r="18" spans="1:20">
      <c r="A18" t="s">
        <v>560</v>
      </c>
      <c r="B18">
        <v>0.252063333</v>
      </c>
      <c r="D18" s="22" t="s">
        <v>16</v>
      </c>
      <c r="E18" s="255">
        <f>E4-E17</f>
        <v>299796.94647669396</v>
      </c>
      <c r="G18" s="22" t="s">
        <v>16</v>
      </c>
      <c r="H18" s="256">
        <f>H4-H17</f>
        <v>299.79694647669402</v>
      </c>
    </row>
    <row r="19" spans="1:20">
      <c r="A19" t="s">
        <v>561</v>
      </c>
      <c r="B19">
        <v>2.061573031</v>
      </c>
      <c r="D19" s="22" t="s">
        <v>17</v>
      </c>
      <c r="E19" s="255">
        <f>E4+E17</f>
        <v>386523.45352330606</v>
      </c>
      <c r="G19" s="22" t="s">
        <v>17</v>
      </c>
      <c r="H19" s="256">
        <f>H4+H17</f>
        <v>386.52345352330605</v>
      </c>
      <c r="J19" s="22" t="s">
        <v>575</v>
      </c>
      <c r="K19">
        <f>SQRT(K16)</f>
        <v>127.45672503144252</v>
      </c>
      <c r="L19">
        <f>SQRT(L16)</f>
        <v>0.87539383428503936</v>
      </c>
    </row>
    <row r="20" spans="1:20">
      <c r="A20" t="s">
        <v>562</v>
      </c>
      <c r="B20">
        <v>2.5656996969999999</v>
      </c>
      <c r="D20" s="22" t="s">
        <v>18</v>
      </c>
      <c r="E20" s="32">
        <f>E8/E4</f>
        <v>0.44463708170363303</v>
      </c>
      <c r="G20" s="22" t="s">
        <v>18</v>
      </c>
      <c r="H20" s="32">
        <f>H8/H4</f>
        <v>0.44463708170363275</v>
      </c>
      <c r="J20" s="22" t="s">
        <v>576</v>
      </c>
      <c r="K20">
        <f>SQRT(K17)</f>
        <v>190.1372086742017</v>
      </c>
      <c r="L20">
        <f>SQRT(L17)</f>
        <v>1.2377936967255401</v>
      </c>
    </row>
    <row r="22" spans="1:20" ht="13">
      <c r="J22" s="23" t="s">
        <v>577</v>
      </c>
      <c r="K22" s="30"/>
      <c r="L22" s="30"/>
    </row>
    <row r="24" spans="1:20" ht="13">
      <c r="J24" s="264" t="s">
        <v>533</v>
      </c>
      <c r="K24" s="264" t="s">
        <v>546</v>
      </c>
      <c r="L24" s="264">
        <v>0.05</v>
      </c>
      <c r="M24" s="265">
        <f>L24</f>
        <v>0.05</v>
      </c>
      <c r="O24" s="264">
        <v>0.02</v>
      </c>
      <c r="P24" s="265">
        <f>O24</f>
        <v>0.02</v>
      </c>
      <c r="S24" s="264">
        <v>0.01</v>
      </c>
      <c r="T24" s="265">
        <f>S24</f>
        <v>0.01</v>
      </c>
    </row>
    <row r="25" spans="1:20" ht="13">
      <c r="J25" s="22" t="s">
        <v>534</v>
      </c>
      <c r="K25" s="22" t="s">
        <v>578</v>
      </c>
      <c r="L25" s="196">
        <v>1</v>
      </c>
    </row>
    <row r="26" spans="1:20" ht="13">
      <c r="J26" s="22" t="s">
        <v>535</v>
      </c>
      <c r="K26" s="22" t="s">
        <v>579</v>
      </c>
      <c r="L26">
        <v>1</v>
      </c>
    </row>
    <row r="28" spans="1:20" ht="13">
      <c r="J28" s="258" t="s">
        <v>538</v>
      </c>
      <c r="K28" s="22" t="s">
        <v>580</v>
      </c>
      <c r="L28" s="262">
        <f>($B$15-1)*$B$8/$L$25</f>
        <v>68.33772725</v>
      </c>
      <c r="M28" s="37"/>
      <c r="N28" s="37"/>
      <c r="O28" s="262">
        <f>($B$15-1)*$B$8/$L$25</f>
        <v>68.33772725</v>
      </c>
      <c r="S28" s="262">
        <f>($B$15-1)*$B$8/$L$25</f>
        <v>68.33772725</v>
      </c>
    </row>
    <row r="29" spans="1:20" ht="13">
      <c r="J29" s="144" t="s">
        <v>539</v>
      </c>
      <c r="K29" s="22" t="s">
        <v>580</v>
      </c>
      <c r="L29" s="263">
        <f>_xlfn.CHISQ.INV(L24/2,$B$15-1)</f>
        <v>44.602992520329281</v>
      </c>
      <c r="M29" s="263">
        <f>_xlfn.CHISQ.INV(1-L24/2,$B$15-1)</f>
        <v>89.177144996756169</v>
      </c>
      <c r="N29" s="270" t="s">
        <v>581</v>
      </c>
      <c r="O29" s="263">
        <f>_xlfn.CHISQ.INV(O24/2,$B$15-1)</f>
        <v>41.443609131472812</v>
      </c>
      <c r="P29" s="263">
        <f>_xlfn.CHISQ.INV(1-O24/2,$B$15-1)</f>
        <v>94.422079007885074</v>
      </c>
      <c r="S29" s="263">
        <f>_xlfn.CHISQ.INV(S24/2,$B$15-1)</f>
        <v>39.383140825916485</v>
      </c>
      <c r="T29" s="263">
        <f>_xlfn.CHISQ.INV(1-S24/2,$B$15-1)</f>
        <v>98.105143811009455</v>
      </c>
    </row>
    <row r="30" spans="1:20">
      <c r="M30" s="37"/>
      <c r="N30" s="37"/>
      <c r="O30" s="37"/>
    </row>
    <row r="31" spans="1:20" ht="13">
      <c r="J31" s="237" t="s">
        <v>544</v>
      </c>
      <c r="K31" s="237" t="s">
        <v>582</v>
      </c>
      <c r="L31" s="237"/>
      <c r="M31" s="237"/>
      <c r="O31" s="237" t="s">
        <v>544</v>
      </c>
      <c r="P31" s="237" t="s">
        <v>542</v>
      </c>
      <c r="Q31" s="237"/>
      <c r="S31" s="237" t="s">
        <v>544</v>
      </c>
      <c r="T31" s="237" t="s">
        <v>542</v>
      </c>
    </row>
    <row r="32" spans="1:20" ht="13">
      <c r="J32" s="237" t="s">
        <v>543</v>
      </c>
      <c r="K32" s="237" t="s">
        <v>589</v>
      </c>
      <c r="L32" s="237"/>
      <c r="M32" s="237"/>
      <c r="O32" s="237" t="s">
        <v>543</v>
      </c>
      <c r="P32" s="237" t="s">
        <v>590</v>
      </c>
      <c r="Q32" s="237"/>
      <c r="S32" s="237" t="s">
        <v>543</v>
      </c>
      <c r="T32" s="237" t="s">
        <v>591</v>
      </c>
    </row>
    <row r="34" spans="10:20" ht="13">
      <c r="J34" s="264" t="s">
        <v>549</v>
      </c>
      <c r="K34" s="264" t="s">
        <v>546</v>
      </c>
      <c r="L34" s="264">
        <v>0.05</v>
      </c>
      <c r="M34" s="265">
        <f>L34</f>
        <v>0.05</v>
      </c>
      <c r="O34" s="264">
        <v>0.02</v>
      </c>
      <c r="P34" s="265">
        <f>O34</f>
        <v>0.02</v>
      </c>
      <c r="S34" s="264">
        <v>0.01</v>
      </c>
      <c r="T34" s="265">
        <f>S34</f>
        <v>0.01</v>
      </c>
    </row>
    <row r="35" spans="10:20">
      <c r="J35" s="22" t="s">
        <v>534</v>
      </c>
      <c r="K35" s="22" t="s">
        <v>592</v>
      </c>
      <c r="L35">
        <v>1</v>
      </c>
    </row>
    <row r="36" spans="10:20" ht="13">
      <c r="J36" s="22" t="s">
        <v>535</v>
      </c>
      <c r="K36" s="194" t="s">
        <v>593</v>
      </c>
      <c r="L36" s="194">
        <v>1</v>
      </c>
    </row>
    <row r="38" spans="10:20" ht="13">
      <c r="J38" s="258" t="s">
        <v>538</v>
      </c>
      <c r="K38" s="22" t="s">
        <v>580</v>
      </c>
      <c r="L38" s="262">
        <f>($B$15-1)*$B$8/$L$25</f>
        <v>68.33772725</v>
      </c>
      <c r="M38" s="37"/>
      <c r="N38" s="37"/>
      <c r="O38" s="262">
        <f>($B$15-1)*$B$8/$L$25</f>
        <v>68.33772725</v>
      </c>
      <c r="S38" s="262">
        <f>($B$15-1)*$B$8/$L$25</f>
        <v>68.33772725</v>
      </c>
    </row>
    <row r="39" spans="10:20" ht="15.5">
      <c r="J39" s="144" t="s">
        <v>539</v>
      </c>
      <c r="K39" s="22" t="s">
        <v>541</v>
      </c>
      <c r="L39" s="263">
        <f>_xlfn.CHISQ.INV(1-L34,$E$15-1)</f>
        <v>17167645.668944146</v>
      </c>
      <c r="N39" s="37"/>
      <c r="O39" s="263">
        <f>-_xlfn.T.INV(1-O34,$E$15-1)</f>
        <v>-2.0537490671843783</v>
      </c>
      <c r="S39" s="263">
        <f>-_xlfn.T.INV(1-S34,$E$15-1)</f>
        <v>-2.3263480911961332</v>
      </c>
    </row>
    <row r="40" spans="10:20" ht="13">
      <c r="L40" s="263">
        <f>_xlfn.T.INV(0.05,$E$15-1)</f>
        <v>-1.644853715066626</v>
      </c>
      <c r="M40" s="37"/>
      <c r="N40" s="37"/>
      <c r="O40" s="263">
        <f>_xlfn.T.INV(0.02,$E$15-1)</f>
        <v>-2.0537490671843783</v>
      </c>
      <c r="S40" s="263">
        <f>_xlfn.T.INV(0.01,$E$15-1)</f>
        <v>-2.3263480911961332</v>
      </c>
    </row>
    <row r="41" spans="10:20" ht="13">
      <c r="J41" s="237" t="s">
        <v>544</v>
      </c>
      <c r="K41" s="237" t="s">
        <v>542</v>
      </c>
      <c r="L41" s="237"/>
      <c r="M41" s="237"/>
      <c r="O41" s="237" t="s">
        <v>544</v>
      </c>
      <c r="P41" s="237" t="s">
        <v>542</v>
      </c>
      <c r="Q41" s="237"/>
      <c r="S41" s="237" t="s">
        <v>544</v>
      </c>
      <c r="T41" s="237" t="s">
        <v>542</v>
      </c>
    </row>
    <row r="42" spans="10:20" ht="13">
      <c r="J42" s="237" t="s">
        <v>543</v>
      </c>
      <c r="K42" s="237" t="s">
        <v>583</v>
      </c>
      <c r="L42" s="237"/>
      <c r="M42" s="237"/>
      <c r="O42" s="237" t="s">
        <v>543</v>
      </c>
      <c r="P42" s="237" t="s">
        <v>584</v>
      </c>
      <c r="Q42" s="237"/>
      <c r="S42" s="237" t="s">
        <v>543</v>
      </c>
      <c r="T42" s="237" t="s">
        <v>585</v>
      </c>
    </row>
    <row r="44" spans="10:20" ht="13">
      <c r="J44" s="264" t="s">
        <v>552</v>
      </c>
      <c r="K44" s="264" t="s">
        <v>546</v>
      </c>
      <c r="L44" s="264">
        <v>0.05</v>
      </c>
      <c r="M44" s="265">
        <f>L44</f>
        <v>0.05</v>
      </c>
      <c r="O44" s="264">
        <v>0.02</v>
      </c>
      <c r="P44" s="265">
        <f>O44</f>
        <v>0.02</v>
      </c>
      <c r="S44" s="264">
        <v>0.01</v>
      </c>
      <c r="T44" s="265">
        <f>S44</f>
        <v>0.01</v>
      </c>
    </row>
    <row r="45" spans="10:20">
      <c r="J45" s="22" t="s">
        <v>534</v>
      </c>
      <c r="K45" s="22" t="s">
        <v>592</v>
      </c>
      <c r="L45">
        <v>1</v>
      </c>
    </row>
    <row r="46" spans="10:20" ht="13">
      <c r="J46" s="22" t="s">
        <v>535</v>
      </c>
      <c r="K46" s="194" t="s">
        <v>594</v>
      </c>
      <c r="L46" s="194">
        <v>1</v>
      </c>
    </row>
    <row r="48" spans="10:20" ht="13">
      <c r="J48" s="258" t="s">
        <v>538</v>
      </c>
      <c r="K48" s="22" t="s">
        <v>580</v>
      </c>
      <c r="L48" s="262">
        <f>($E$3-$I$4)/$E$4</f>
        <v>0</v>
      </c>
      <c r="M48" s="37"/>
      <c r="N48" s="37"/>
      <c r="O48" s="262">
        <f>($E$3-$I$4)/$E$4</f>
        <v>0</v>
      </c>
      <c r="S48" s="262">
        <f>($E$3-$I$4)/$E$4</f>
        <v>0</v>
      </c>
    </row>
    <row r="49" spans="10:20" ht="15.5">
      <c r="J49" s="144" t="s">
        <v>539</v>
      </c>
      <c r="K49" s="22" t="s">
        <v>541</v>
      </c>
      <c r="L49" s="263">
        <f>_xlfn.T.INV(1-L44,$E$15-1)</f>
        <v>1.644853715066626</v>
      </c>
      <c r="N49" s="37"/>
      <c r="O49" s="263">
        <f>_xlfn.T.INV(1-O44,$E$15-1)</f>
        <v>2.0537490671843783</v>
      </c>
      <c r="S49" s="263">
        <f>_xlfn.T.INV(1-S44,$E$15-1)</f>
        <v>2.3263480911961332</v>
      </c>
    </row>
    <row r="50" spans="10:20" ht="13">
      <c r="L50" s="263">
        <f>-_xlfn.T.INV(0.05,$E$15-1)</f>
        <v>1.644853715066626</v>
      </c>
      <c r="M50" s="37"/>
      <c r="N50" s="37"/>
      <c r="O50" s="263">
        <f>-_xlfn.T.INV(0.02,$E$15-1)</f>
        <v>2.0537490671843783</v>
      </c>
      <c r="S50" s="263">
        <f>-_xlfn.T.INV(0.01,$E$15-1)</f>
        <v>2.3263480911961332</v>
      </c>
    </row>
    <row r="51" spans="10:20" ht="13">
      <c r="J51" s="237" t="s">
        <v>544</v>
      </c>
      <c r="K51" s="237" t="s">
        <v>542</v>
      </c>
      <c r="L51" s="237"/>
      <c r="M51" s="237"/>
      <c r="O51" s="237" t="s">
        <v>544</v>
      </c>
      <c r="P51" s="237" t="s">
        <v>542</v>
      </c>
      <c r="Q51" s="237"/>
      <c r="S51" s="237" t="s">
        <v>544</v>
      </c>
      <c r="T51" s="237" t="s">
        <v>542</v>
      </c>
    </row>
    <row r="52" spans="10:20" ht="13">
      <c r="J52" s="237" t="s">
        <v>543</v>
      </c>
      <c r="K52" s="237" t="s">
        <v>586</v>
      </c>
      <c r="L52" s="237"/>
      <c r="M52" s="237"/>
      <c r="O52" s="237" t="s">
        <v>543</v>
      </c>
      <c r="P52" s="237" t="s">
        <v>587</v>
      </c>
      <c r="Q52" s="237"/>
      <c r="S52" s="237" t="s">
        <v>543</v>
      </c>
      <c r="T52" s="237" t="s">
        <v>588</v>
      </c>
    </row>
  </sheetData>
  <mergeCells count="3">
    <mergeCell ref="A2:B2"/>
    <mergeCell ref="L6:M6"/>
    <mergeCell ref="L11:M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5C1A-C18A-4123-B2E6-3220292C7D75}">
  <sheetPr>
    <tabColor rgb="FFFF0000"/>
  </sheetPr>
  <dimension ref="A1:L31"/>
  <sheetViews>
    <sheetView topLeftCell="W26" zoomScale="85" zoomScaleNormal="85" workbookViewId="0">
      <selection activeCell="Y29" sqref="Y29"/>
    </sheetView>
  </sheetViews>
  <sheetFormatPr defaultColWidth="8.90625" defaultRowHeight="12.5"/>
  <cols>
    <col min="1" max="1" width="21.1796875" style="40" bestFit="1" customWidth="1"/>
    <col min="2" max="2" width="17.453125" style="40" bestFit="1" customWidth="1"/>
    <col min="3" max="3" width="8.90625" style="40"/>
    <col min="4" max="4" width="21.1796875" style="40" bestFit="1" customWidth="1"/>
    <col min="5" max="5" width="11.81640625" style="40" bestFit="1" customWidth="1"/>
    <col min="6" max="6" width="8.90625" style="40"/>
    <col min="7" max="7" width="29.81640625" style="40" bestFit="1" customWidth="1"/>
    <col min="8" max="8" width="8.90625" style="40"/>
    <col min="9" max="9" width="17.36328125" style="40" bestFit="1" customWidth="1"/>
    <col min="10" max="16384" width="8.90625" style="40"/>
  </cols>
  <sheetData>
    <row r="1" spans="1:11" ht="13">
      <c r="A1" s="273" t="s">
        <v>0</v>
      </c>
      <c r="B1" s="273"/>
      <c r="D1" s="273" t="s">
        <v>1</v>
      </c>
      <c r="E1" s="273"/>
      <c r="G1" s="40" t="s">
        <v>610</v>
      </c>
    </row>
    <row r="3" spans="1:11" ht="13">
      <c r="A3" s="274" t="s">
        <v>2</v>
      </c>
      <c r="B3" s="275">
        <v>343160.2</v>
      </c>
      <c r="D3" s="274" t="s">
        <v>2</v>
      </c>
      <c r="E3" s="274">
        <v>343.16020000000003</v>
      </c>
      <c r="G3" s="276" t="s">
        <v>611</v>
      </c>
      <c r="H3" s="276" t="s">
        <v>563</v>
      </c>
      <c r="I3" s="276">
        <v>0.05</v>
      </c>
      <c r="J3" s="277">
        <f>I3</f>
        <v>0.05</v>
      </c>
    </row>
    <row r="4" spans="1:11">
      <c r="A4" s="40" t="s">
        <v>3</v>
      </c>
      <c r="B4" s="278">
        <v>21578.318005775316</v>
      </c>
      <c r="D4" s="40" t="s">
        <v>3</v>
      </c>
      <c r="E4" s="40">
        <v>21.578318005775305</v>
      </c>
      <c r="G4" s="40" t="s">
        <v>534</v>
      </c>
      <c r="H4" s="40" t="s">
        <v>612</v>
      </c>
      <c r="I4" s="40">
        <v>390</v>
      </c>
    </row>
    <row r="5" spans="1:11" ht="13">
      <c r="A5" s="40" t="s">
        <v>4</v>
      </c>
      <c r="B5" s="278">
        <v>309497.5</v>
      </c>
      <c r="D5" s="40" t="s">
        <v>4</v>
      </c>
      <c r="E5" s="40">
        <v>309.4975</v>
      </c>
      <c r="G5" s="40" t="s">
        <v>535</v>
      </c>
      <c r="H5" s="40" t="s">
        <v>613</v>
      </c>
      <c r="I5" s="40">
        <v>390</v>
      </c>
    </row>
    <row r="6" spans="1:11">
      <c r="A6" s="40" t="s">
        <v>5</v>
      </c>
      <c r="B6" s="278">
        <v>375000</v>
      </c>
      <c r="D6" s="40" t="s">
        <v>5</v>
      </c>
      <c r="E6" s="40">
        <v>375</v>
      </c>
    </row>
    <row r="7" spans="1:11" ht="15.5">
      <c r="A7" s="98" t="s">
        <v>6</v>
      </c>
      <c r="B7" s="279">
        <v>152581.74988483507</v>
      </c>
      <c r="D7" s="98" t="s">
        <v>6</v>
      </c>
      <c r="E7" s="98">
        <v>152.58174988483498</v>
      </c>
      <c r="G7" s="280" t="s">
        <v>538</v>
      </c>
      <c r="H7" s="40" t="s">
        <v>540</v>
      </c>
      <c r="I7" s="281">
        <f>(E3-I4)/E4</f>
        <v>-2.1706881874418378</v>
      </c>
    </row>
    <row r="8" spans="1:11" ht="15.5">
      <c r="A8" s="40" t="s">
        <v>7</v>
      </c>
      <c r="B8" s="278">
        <v>23281190397.918365</v>
      </c>
      <c r="D8" s="40" t="s">
        <v>7</v>
      </c>
      <c r="E8" s="40">
        <v>23281.190397918337</v>
      </c>
      <c r="G8" s="282" t="s">
        <v>539</v>
      </c>
      <c r="H8" s="40" t="s">
        <v>541</v>
      </c>
      <c r="I8" s="283">
        <f>-_xlfn.T.INV(1-I3/2,$B$15-1)</f>
        <v>-2.0095752371292388</v>
      </c>
      <c r="J8" s="283">
        <f>_xlfn.T.INV(1-J3/2,$B$15-1)</f>
        <v>2.0095752371292388</v>
      </c>
    </row>
    <row r="9" spans="1:11" ht="13">
      <c r="A9" s="40" t="s">
        <v>8</v>
      </c>
      <c r="B9" s="40">
        <v>1.7589661813043422</v>
      </c>
      <c r="D9" s="40" t="s">
        <v>8</v>
      </c>
      <c r="E9" s="40">
        <v>1.7589661813043422</v>
      </c>
      <c r="I9" s="283">
        <f>_xlfn.T.INV(0.025,$B$15-1)</f>
        <v>-2.0095752371292388</v>
      </c>
    </row>
    <row r="10" spans="1:11" ht="13">
      <c r="A10" s="40" t="s">
        <v>9</v>
      </c>
      <c r="B10" s="40">
        <v>1.2155383284748322</v>
      </c>
      <c r="D10" s="40" t="s">
        <v>9</v>
      </c>
      <c r="E10" s="40">
        <v>1.2155383284748316</v>
      </c>
      <c r="G10" s="284" t="s">
        <v>544</v>
      </c>
      <c r="H10" s="88" t="s">
        <v>614</v>
      </c>
      <c r="I10" s="284"/>
    </row>
    <row r="11" spans="1:11" ht="13">
      <c r="A11" s="40" t="s">
        <v>10</v>
      </c>
      <c r="B11" s="40">
        <v>715000</v>
      </c>
      <c r="D11" s="40" t="s">
        <v>10</v>
      </c>
      <c r="E11" s="40">
        <v>715</v>
      </c>
      <c r="G11" s="284" t="s">
        <v>543</v>
      </c>
      <c r="H11" s="88" t="s">
        <v>615</v>
      </c>
      <c r="I11" s="284"/>
      <c r="J11" s="284"/>
      <c r="K11" s="284"/>
    </row>
    <row r="12" spans="1:11">
      <c r="A12" s="40" t="s">
        <v>11</v>
      </c>
      <c r="B12" s="40">
        <v>135000</v>
      </c>
      <c r="D12" s="40" t="s">
        <v>11</v>
      </c>
      <c r="E12" s="40">
        <v>135</v>
      </c>
    </row>
    <row r="13" spans="1:11" ht="13">
      <c r="A13" s="40" t="s">
        <v>12</v>
      </c>
      <c r="B13" s="40">
        <v>850000</v>
      </c>
      <c r="D13" s="40" t="s">
        <v>12</v>
      </c>
      <c r="E13" s="40">
        <v>850</v>
      </c>
      <c r="G13" s="276" t="s">
        <v>549</v>
      </c>
      <c r="H13" s="276" t="s">
        <v>563</v>
      </c>
      <c r="I13" s="276">
        <v>0.05</v>
      </c>
      <c r="J13" s="277">
        <f>I13</f>
        <v>0.05</v>
      </c>
    </row>
    <row r="14" spans="1:11">
      <c r="A14" s="40" t="s">
        <v>13</v>
      </c>
      <c r="B14" s="40">
        <v>17158010</v>
      </c>
      <c r="D14" s="40" t="s">
        <v>13</v>
      </c>
      <c r="E14" s="40">
        <v>17158.010000000002</v>
      </c>
      <c r="G14" s="40" t="s">
        <v>534</v>
      </c>
      <c r="H14" s="40" t="s">
        <v>612</v>
      </c>
      <c r="I14" s="40">
        <v>390</v>
      </c>
    </row>
    <row r="15" spans="1:11">
      <c r="A15" s="98" t="s">
        <v>14</v>
      </c>
      <c r="B15" s="98">
        <v>50</v>
      </c>
      <c r="D15" s="98" t="s">
        <v>14</v>
      </c>
      <c r="E15" s="98">
        <v>50</v>
      </c>
      <c r="G15" s="40" t="s">
        <v>535</v>
      </c>
      <c r="H15" s="40" t="s">
        <v>616</v>
      </c>
      <c r="I15" s="40">
        <v>390</v>
      </c>
    </row>
    <row r="16" spans="1:11" ht="13" thickBot="1">
      <c r="A16" s="285" t="s">
        <v>15</v>
      </c>
      <c r="B16" s="285">
        <v>43363.253523306055</v>
      </c>
      <c r="D16" s="285" t="s">
        <v>15</v>
      </c>
      <c r="E16" s="285">
        <v>43.363253523306035</v>
      </c>
    </row>
    <row r="17" spans="1:12" ht="15.5">
      <c r="A17" s="40" t="s">
        <v>16</v>
      </c>
      <c r="B17" s="286">
        <f>B3-B16</f>
        <v>299796.94647669396</v>
      </c>
      <c r="D17" s="40" t="s">
        <v>16</v>
      </c>
      <c r="E17" s="287">
        <f>E3-E16</f>
        <v>299.79694647669402</v>
      </c>
      <c r="G17" s="280" t="s">
        <v>538</v>
      </c>
      <c r="H17" s="40" t="s">
        <v>540</v>
      </c>
      <c r="I17" s="281">
        <f>(E3-I4)/E4</f>
        <v>-2.1706881874418378</v>
      </c>
    </row>
    <row r="18" spans="1:12" ht="15.5">
      <c r="A18" s="40" t="s">
        <v>17</v>
      </c>
      <c r="B18" s="286">
        <f>B3+B16</f>
        <v>386523.45352330606</v>
      </c>
      <c r="D18" s="40" t="s">
        <v>17</v>
      </c>
      <c r="E18" s="287">
        <f>E3+E16</f>
        <v>386.52345352330605</v>
      </c>
      <c r="G18" s="282" t="s">
        <v>539</v>
      </c>
      <c r="H18" s="40" t="s">
        <v>541</v>
      </c>
      <c r="I18" s="283">
        <f>-_xlfn.T.INV(1-I13,B15-1)</f>
        <v>-1.6765508926168529</v>
      </c>
    </row>
    <row r="19" spans="1:12" ht="13">
      <c r="A19" s="40" t="s">
        <v>18</v>
      </c>
      <c r="B19" s="288">
        <f>B7/B3</f>
        <v>0.44463708170363303</v>
      </c>
      <c r="D19" s="40" t="s">
        <v>18</v>
      </c>
      <c r="E19" s="288">
        <f>E7/E3</f>
        <v>0.44463708170363275</v>
      </c>
      <c r="I19" s="283">
        <f>_xlfn.T.INV(0.05,$B$15-1)</f>
        <v>-1.6765508926168529</v>
      </c>
    </row>
    <row r="20" spans="1:12" ht="13">
      <c r="G20" s="284" t="s">
        <v>544</v>
      </c>
      <c r="H20" s="88" t="s">
        <v>614</v>
      </c>
      <c r="I20" s="284"/>
    </row>
    <row r="21" spans="1:12" ht="13">
      <c r="A21" s="289" t="s">
        <v>19</v>
      </c>
      <c r="B21" s="289" t="s">
        <v>20</v>
      </c>
      <c r="G21" s="284" t="s">
        <v>543</v>
      </c>
      <c r="H21" s="88" t="s">
        <v>617</v>
      </c>
      <c r="I21" s="284"/>
      <c r="J21" s="284"/>
      <c r="K21" s="284"/>
    </row>
    <row r="22" spans="1:12" ht="13">
      <c r="A22" s="40" t="s">
        <v>21</v>
      </c>
      <c r="B22" s="290" t="s">
        <v>22</v>
      </c>
    </row>
    <row r="23" spans="1:12" ht="13">
      <c r="A23" s="40" t="s">
        <v>23</v>
      </c>
      <c r="B23" s="280" t="s">
        <v>24</v>
      </c>
      <c r="G23" s="276" t="s">
        <v>552</v>
      </c>
      <c r="H23" s="276" t="s">
        <v>563</v>
      </c>
      <c r="I23" s="276">
        <v>0.05</v>
      </c>
      <c r="J23" s="277">
        <f>I23</f>
        <v>0.05</v>
      </c>
    </row>
    <row r="24" spans="1:12" ht="13">
      <c r="A24" s="40" t="s">
        <v>25</v>
      </c>
      <c r="B24" s="280" t="s">
        <v>24</v>
      </c>
      <c r="G24" s="40" t="s">
        <v>534</v>
      </c>
      <c r="H24" s="40" t="s">
        <v>612</v>
      </c>
      <c r="I24" s="40">
        <v>390</v>
      </c>
    </row>
    <row r="25" spans="1:12">
      <c r="G25" s="40" t="s">
        <v>535</v>
      </c>
      <c r="H25" s="40" t="s">
        <v>618</v>
      </c>
      <c r="I25" s="40">
        <v>390</v>
      </c>
    </row>
    <row r="27" spans="1:12" ht="15.5">
      <c r="G27" s="280" t="s">
        <v>538</v>
      </c>
      <c r="H27" s="40" t="s">
        <v>540</v>
      </c>
      <c r="I27" s="281">
        <f>(E3-I24)/E4</f>
        <v>-2.1706881874418378</v>
      </c>
    </row>
    <row r="28" spans="1:12" ht="15.5">
      <c r="G28" s="282" t="s">
        <v>539</v>
      </c>
      <c r="H28" s="40" t="s">
        <v>541</v>
      </c>
      <c r="I28" s="283">
        <f>_xlfn.T.INV(1-I23,B15-1)</f>
        <v>1.6765508926168529</v>
      </c>
    </row>
    <row r="29" spans="1:12" ht="13">
      <c r="I29" s="283">
        <f>-_xlfn.T.INV(0.05,B15-1)</f>
        <v>1.6765508926168529</v>
      </c>
    </row>
    <row r="30" spans="1:12" ht="13">
      <c r="G30" s="284" t="s">
        <v>544</v>
      </c>
      <c r="H30" s="88" t="s">
        <v>606</v>
      </c>
      <c r="I30" s="284"/>
    </row>
    <row r="31" spans="1:12" ht="13">
      <c r="G31" s="284" t="s">
        <v>543</v>
      </c>
      <c r="H31" s="88" t="s">
        <v>619</v>
      </c>
      <c r="I31" s="284"/>
      <c r="J31" s="284"/>
      <c r="K31" s="284"/>
      <c r="L31" s="284"/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50B02-EA02-4E68-954D-B96BF3E2FA3F}">
  <sheetPr>
    <tabColor rgb="FF00B050"/>
  </sheetPr>
  <dimension ref="A1:Q31"/>
  <sheetViews>
    <sheetView topLeftCell="O28" zoomScale="70" zoomScaleNormal="70" workbookViewId="0">
      <selection activeCell="N78" sqref="N78"/>
    </sheetView>
  </sheetViews>
  <sheetFormatPr defaultRowHeight="12.5"/>
  <cols>
    <col min="1" max="1" width="21.08984375" bestFit="1" customWidth="1"/>
    <col min="2" max="2" width="17.453125" bestFit="1" customWidth="1"/>
    <col min="3" max="3" width="13.36328125" customWidth="1"/>
    <col min="4" max="4" width="21.08984375" bestFit="1" customWidth="1"/>
    <col min="5" max="5" width="11.90625" bestFit="1" customWidth="1"/>
    <col min="7" max="7" width="31.90625" customWidth="1"/>
    <col min="8" max="8" width="11.6328125" bestFit="1" customWidth="1"/>
    <col min="9" max="9" width="13.36328125" bestFit="1" customWidth="1"/>
    <col min="10" max="10" width="12.6328125" bestFit="1" customWidth="1"/>
    <col min="12" max="12" width="13.36328125" bestFit="1" customWidth="1"/>
    <col min="13" max="13" width="10.36328125" customWidth="1"/>
    <col min="14" max="14" width="18" customWidth="1"/>
    <col min="17" max="17" width="29.453125" customWidth="1"/>
  </cols>
  <sheetData>
    <row r="1" spans="1:17" ht="13">
      <c r="A1" s="229" t="s">
        <v>0</v>
      </c>
      <c r="B1" s="229"/>
      <c r="D1" s="229" t="s">
        <v>1</v>
      </c>
      <c r="E1" s="229"/>
      <c r="G1" s="23" t="s">
        <v>532</v>
      </c>
    </row>
    <row r="2" spans="1:17">
      <c r="A2" s="8"/>
      <c r="B2" s="8"/>
      <c r="D2" s="8"/>
      <c r="E2" s="8"/>
    </row>
    <row r="3" spans="1:17" ht="13">
      <c r="A3" s="26" t="s">
        <v>2</v>
      </c>
      <c r="B3" s="252">
        <v>343160.2</v>
      </c>
      <c r="D3" s="266" t="s">
        <v>2</v>
      </c>
      <c r="E3" s="266">
        <v>343.16020000000003</v>
      </c>
      <c r="G3" s="264" t="s">
        <v>533</v>
      </c>
      <c r="H3" s="264" t="s">
        <v>546</v>
      </c>
      <c r="I3" s="264">
        <v>0.05</v>
      </c>
      <c r="J3" s="265">
        <f>I3</f>
        <v>0.05</v>
      </c>
      <c r="L3" s="264">
        <v>0.02</v>
      </c>
      <c r="M3" s="265">
        <f>L3</f>
        <v>0.02</v>
      </c>
      <c r="P3" s="264">
        <v>0.01</v>
      </c>
      <c r="Q3" s="265">
        <f>P3</f>
        <v>0.01</v>
      </c>
    </row>
    <row r="4" spans="1:17">
      <c r="A4" s="8" t="s">
        <v>3</v>
      </c>
      <c r="B4" s="253">
        <v>21578.318005775316</v>
      </c>
      <c r="D4" s="8" t="s">
        <v>3</v>
      </c>
      <c r="E4" s="8">
        <v>21.578318005775305</v>
      </c>
      <c r="G4" s="22" t="s">
        <v>534</v>
      </c>
      <c r="H4" s="22" t="s">
        <v>536</v>
      </c>
      <c r="I4">
        <v>350</v>
      </c>
    </row>
    <row r="5" spans="1:17" ht="13">
      <c r="A5" s="8" t="s">
        <v>4</v>
      </c>
      <c r="B5" s="253">
        <v>309497.5</v>
      </c>
      <c r="D5" s="8" t="s">
        <v>4</v>
      </c>
      <c r="E5" s="8">
        <v>309.4975</v>
      </c>
      <c r="G5" s="22" t="s">
        <v>535</v>
      </c>
      <c r="H5" s="22" t="s">
        <v>537</v>
      </c>
      <c r="I5">
        <v>350</v>
      </c>
    </row>
    <row r="6" spans="1:17">
      <c r="A6" s="8" t="s">
        <v>5</v>
      </c>
      <c r="B6" s="253">
        <v>375000</v>
      </c>
      <c r="D6" s="8" t="s">
        <v>5</v>
      </c>
      <c r="E6" s="8">
        <v>375</v>
      </c>
    </row>
    <row r="7" spans="1:17" ht="15.5">
      <c r="A7" s="114" t="s">
        <v>6</v>
      </c>
      <c r="B7" s="254">
        <v>152581.74988483507</v>
      </c>
      <c r="D7" s="114" t="s">
        <v>6</v>
      </c>
      <c r="E7" s="114">
        <v>152.58174988483498</v>
      </c>
      <c r="G7" s="258" t="s">
        <v>538</v>
      </c>
      <c r="H7" s="22" t="s">
        <v>540</v>
      </c>
      <c r="I7" s="262">
        <f>($E$3-$I$4)/$E$4</f>
        <v>-0.31697558624214073</v>
      </c>
      <c r="J7" s="37"/>
      <c r="K7" s="37"/>
      <c r="L7" s="262">
        <f>($E$3-$I$4)/$E$4</f>
        <v>-0.31697558624214073</v>
      </c>
      <c r="P7" s="262">
        <f>($E$3-$I$4)/$E$4</f>
        <v>-0.31697558624214073</v>
      </c>
    </row>
    <row r="8" spans="1:17" ht="15.5">
      <c r="A8" s="8" t="s">
        <v>7</v>
      </c>
      <c r="B8" s="253">
        <v>23281190397.918365</v>
      </c>
      <c r="D8" s="8" t="s">
        <v>7</v>
      </c>
      <c r="E8" s="8">
        <v>23281.190397918337</v>
      </c>
      <c r="G8" s="144" t="s">
        <v>539</v>
      </c>
      <c r="H8" s="22" t="s">
        <v>541</v>
      </c>
      <c r="I8" s="263">
        <f>-_xlfn.T.INV(1-I3/2,$E$15-1)</f>
        <v>-2.0095752371292388</v>
      </c>
      <c r="J8" s="263">
        <f>_xlfn.T.INV(1-I3/2,$E$15-1)</f>
        <v>2.0095752371292388</v>
      </c>
      <c r="K8" s="37"/>
      <c r="L8" s="263">
        <f>-_xlfn.T.INV(1-L3/2,$E$15-1)</f>
        <v>-2.4048917595376684</v>
      </c>
      <c r="M8" s="263">
        <f>_xlfn.T.INV(1-L3/2,$E$15-1)</f>
        <v>2.4048917595376684</v>
      </c>
      <c r="P8" s="263">
        <f>-_xlfn.T.INV(1-P3/2,$E$15-1)</f>
        <v>-2.6799519736315514</v>
      </c>
      <c r="Q8" s="263">
        <f>_xlfn.T.INV(1-P3/2,$E$15-1)</f>
        <v>2.6799519736315514</v>
      </c>
    </row>
    <row r="9" spans="1:17" ht="13">
      <c r="A9" s="8" t="s">
        <v>8</v>
      </c>
      <c r="B9" s="8">
        <v>1.7589661813043422</v>
      </c>
      <c r="D9" s="8" t="s">
        <v>8</v>
      </c>
      <c r="E9" s="8">
        <v>1.7589661813043422</v>
      </c>
      <c r="I9" s="263">
        <f>_xlfn.T.INV(0.025,E15-1)</f>
        <v>-2.0095752371292388</v>
      </c>
      <c r="J9" s="37"/>
      <c r="K9" s="37"/>
      <c r="L9" s="37"/>
    </row>
    <row r="10" spans="1:17" ht="13">
      <c r="A10" s="8" t="s">
        <v>9</v>
      </c>
      <c r="B10" s="8">
        <v>1.2155383284748322</v>
      </c>
      <c r="D10" s="8" t="s">
        <v>9</v>
      </c>
      <c r="E10" s="8">
        <v>1.2155383284748316</v>
      </c>
      <c r="G10" s="237" t="s">
        <v>544</v>
      </c>
      <c r="H10" s="237" t="s">
        <v>542</v>
      </c>
      <c r="I10" s="237"/>
      <c r="J10" s="237"/>
      <c r="L10" s="237" t="s">
        <v>544</v>
      </c>
      <c r="M10" s="237" t="s">
        <v>542</v>
      </c>
      <c r="N10" s="237"/>
      <c r="P10" s="237" t="s">
        <v>544</v>
      </c>
      <c r="Q10" s="237" t="s">
        <v>542</v>
      </c>
    </row>
    <row r="11" spans="1:17" ht="13">
      <c r="A11" s="8" t="s">
        <v>10</v>
      </c>
      <c r="B11" s="8">
        <v>715000</v>
      </c>
      <c r="D11" s="8" t="s">
        <v>10</v>
      </c>
      <c r="E11" s="8">
        <v>715</v>
      </c>
      <c r="G11" s="237" t="s">
        <v>543</v>
      </c>
      <c r="H11" s="237" t="s">
        <v>545</v>
      </c>
      <c r="I11" s="237"/>
      <c r="J11" s="237"/>
      <c r="L11" s="237" t="s">
        <v>543</v>
      </c>
      <c r="M11" s="237" t="s">
        <v>547</v>
      </c>
      <c r="N11" s="237"/>
      <c r="P11" s="237" t="s">
        <v>543</v>
      </c>
      <c r="Q11" s="237" t="s">
        <v>548</v>
      </c>
    </row>
    <row r="12" spans="1:17">
      <c r="A12" s="8" t="s">
        <v>11</v>
      </c>
      <c r="B12" s="8">
        <v>135000</v>
      </c>
      <c r="D12" s="8" t="s">
        <v>11</v>
      </c>
      <c r="E12" s="8">
        <v>135</v>
      </c>
    </row>
    <row r="13" spans="1:17" ht="13">
      <c r="A13" s="8" t="s">
        <v>12</v>
      </c>
      <c r="B13" s="8">
        <v>850000</v>
      </c>
      <c r="D13" s="8" t="s">
        <v>12</v>
      </c>
      <c r="E13" s="8">
        <v>850</v>
      </c>
      <c r="G13" s="264" t="s">
        <v>549</v>
      </c>
      <c r="H13" s="264" t="s">
        <v>546</v>
      </c>
      <c r="I13" s="264">
        <v>0.05</v>
      </c>
      <c r="J13" s="265">
        <f>I13</f>
        <v>0.05</v>
      </c>
      <c r="L13" s="264">
        <v>0.02</v>
      </c>
      <c r="M13" s="265">
        <f>L13</f>
        <v>0.02</v>
      </c>
      <c r="P13" s="264">
        <v>0.01</v>
      </c>
      <c r="Q13" s="265">
        <f>P13</f>
        <v>0.01</v>
      </c>
    </row>
    <row r="14" spans="1:17">
      <c r="A14" s="8" t="s">
        <v>13</v>
      </c>
      <c r="B14" s="8">
        <v>17158010</v>
      </c>
      <c r="D14" s="8" t="s">
        <v>13</v>
      </c>
      <c r="E14" s="8">
        <v>17158.010000000002</v>
      </c>
      <c r="G14" s="22" t="s">
        <v>534</v>
      </c>
      <c r="H14" s="22" t="s">
        <v>536</v>
      </c>
      <c r="I14">
        <v>350</v>
      </c>
    </row>
    <row r="15" spans="1:17" ht="13">
      <c r="A15" s="114" t="s">
        <v>14</v>
      </c>
      <c r="B15" s="114">
        <v>50</v>
      </c>
      <c r="D15" s="114" t="s">
        <v>14</v>
      </c>
      <c r="E15" s="114">
        <v>50</v>
      </c>
      <c r="G15" s="22" t="s">
        <v>535</v>
      </c>
      <c r="H15" s="194" t="s">
        <v>550</v>
      </c>
      <c r="I15" s="194">
        <v>350</v>
      </c>
    </row>
    <row r="16" spans="1:17" ht="13" thickBot="1">
      <c r="A16" s="251" t="s">
        <v>15</v>
      </c>
      <c r="B16" s="251">
        <v>43363.253523306055</v>
      </c>
      <c r="D16" s="251" t="s">
        <v>15</v>
      </c>
      <c r="E16" s="251">
        <v>43.363253523306035</v>
      </c>
    </row>
    <row r="17" spans="1:17" ht="15.5">
      <c r="A17" s="22" t="s">
        <v>16</v>
      </c>
      <c r="B17" s="255">
        <f>B3-B16</f>
        <v>299796.94647669396</v>
      </c>
      <c r="D17" s="22" t="s">
        <v>16</v>
      </c>
      <c r="E17" s="256">
        <f>E3-E16</f>
        <v>299.79694647669402</v>
      </c>
      <c r="G17" s="258" t="s">
        <v>538</v>
      </c>
      <c r="H17" s="22" t="s">
        <v>540</v>
      </c>
      <c r="I17" s="262">
        <f>($E$3-$I$4)/$E$4</f>
        <v>-0.31697558624214073</v>
      </c>
      <c r="J17" s="37"/>
      <c r="K17" s="37"/>
      <c r="L17" s="262">
        <f>($E$3-$I$4)/$E$4</f>
        <v>-0.31697558624214073</v>
      </c>
      <c r="P17" s="262">
        <f>($E$3-$I$4)/$E$4</f>
        <v>-0.31697558624214073</v>
      </c>
    </row>
    <row r="18" spans="1:17" ht="15.5">
      <c r="A18" s="22" t="s">
        <v>17</v>
      </c>
      <c r="B18" s="255">
        <f>B3+B16</f>
        <v>386523.45352330606</v>
      </c>
      <c r="D18" s="22" t="s">
        <v>17</v>
      </c>
      <c r="E18" s="256">
        <f>E3+E16</f>
        <v>386.52345352330605</v>
      </c>
      <c r="G18" s="144" t="s">
        <v>539</v>
      </c>
      <c r="H18" s="22" t="s">
        <v>541</v>
      </c>
      <c r="I18" s="263">
        <f>-_xlfn.T.INV(1-I13,$E$15-1)</f>
        <v>-1.6765508926168529</v>
      </c>
      <c r="K18" s="37"/>
      <c r="L18" s="263">
        <f>-_xlfn.T.INV(1-L13,$E$15-1)</f>
        <v>-2.1098727184534054</v>
      </c>
      <c r="P18" s="263">
        <f>-_xlfn.T.INV(1-P13,$E$15-1)</f>
        <v>-2.4048917595376684</v>
      </c>
    </row>
    <row r="19" spans="1:17" ht="13">
      <c r="A19" s="22" t="s">
        <v>18</v>
      </c>
      <c r="B19" s="32">
        <f>B7/B3</f>
        <v>0.44463708170363303</v>
      </c>
      <c r="D19" s="22" t="s">
        <v>18</v>
      </c>
      <c r="E19" s="32">
        <f>E7/E3</f>
        <v>0.44463708170363275</v>
      </c>
      <c r="I19" s="263">
        <f>_xlfn.T.INV(0.05,$E$15-1)</f>
        <v>-1.6765508926168529</v>
      </c>
      <c r="J19" s="37"/>
      <c r="K19" s="37"/>
      <c r="L19" s="263">
        <f>_xlfn.T.INV(0.02,$E$15-1)</f>
        <v>-2.1098727184534081</v>
      </c>
      <c r="P19" s="263">
        <f>_xlfn.T.INV(0.01,$E$15-1)</f>
        <v>-2.4048917595376684</v>
      </c>
    </row>
    <row r="20" spans="1:17" ht="13">
      <c r="G20" s="237" t="s">
        <v>544</v>
      </c>
      <c r="H20" s="237" t="s">
        <v>542</v>
      </c>
      <c r="I20" s="237"/>
      <c r="J20" s="237"/>
      <c r="L20" s="237" t="s">
        <v>544</v>
      </c>
      <c r="M20" s="237" t="s">
        <v>542</v>
      </c>
      <c r="N20" s="237"/>
      <c r="P20" s="237" t="s">
        <v>544</v>
      </c>
      <c r="Q20" s="237" t="s">
        <v>542</v>
      </c>
    </row>
    <row r="21" spans="1:17" ht="13">
      <c r="A21" s="261" t="s">
        <v>19</v>
      </c>
      <c r="B21" s="261" t="s">
        <v>20</v>
      </c>
      <c r="G21" s="237" t="s">
        <v>543</v>
      </c>
      <c r="H21" s="237" t="s">
        <v>551</v>
      </c>
      <c r="I21" s="237"/>
      <c r="J21" s="237"/>
      <c r="L21" s="237" t="s">
        <v>543</v>
      </c>
      <c r="M21" s="237" t="s">
        <v>557</v>
      </c>
      <c r="N21" s="237"/>
      <c r="P21" s="237" t="s">
        <v>543</v>
      </c>
      <c r="Q21" s="237" t="s">
        <v>558</v>
      </c>
    </row>
    <row r="22" spans="1:17" ht="13">
      <c r="A22" s="22" t="s">
        <v>21</v>
      </c>
      <c r="B22" s="257" t="s">
        <v>22</v>
      </c>
      <c r="C22" t="s">
        <v>530</v>
      </c>
    </row>
    <row r="23" spans="1:17" ht="13">
      <c r="A23" s="22" t="s">
        <v>23</v>
      </c>
      <c r="B23" s="258" t="s">
        <v>24</v>
      </c>
      <c r="C23" t="s">
        <v>531</v>
      </c>
      <c r="G23" s="264" t="s">
        <v>552</v>
      </c>
      <c r="H23" s="264" t="s">
        <v>546</v>
      </c>
      <c r="I23" s="264">
        <v>0.05</v>
      </c>
      <c r="J23" s="265">
        <f>I23</f>
        <v>0.05</v>
      </c>
      <c r="L23" s="264">
        <v>0.02</v>
      </c>
      <c r="M23" s="265">
        <f>L23</f>
        <v>0.02</v>
      </c>
      <c r="P23" s="264">
        <v>0.01</v>
      </c>
      <c r="Q23" s="265">
        <f>P23</f>
        <v>0.01</v>
      </c>
    </row>
    <row r="24" spans="1:17" ht="13">
      <c r="A24" s="22" t="s">
        <v>25</v>
      </c>
      <c r="B24" s="258" t="s">
        <v>24</v>
      </c>
      <c r="C24" t="s">
        <v>531</v>
      </c>
      <c r="G24" s="22" t="s">
        <v>534</v>
      </c>
      <c r="H24" s="22" t="s">
        <v>536</v>
      </c>
      <c r="I24">
        <v>350</v>
      </c>
    </row>
    <row r="25" spans="1:17" ht="13">
      <c r="G25" s="22" t="s">
        <v>535</v>
      </c>
      <c r="H25" s="194" t="s">
        <v>553</v>
      </c>
      <c r="I25" s="194">
        <v>350</v>
      </c>
    </row>
    <row r="27" spans="1:17" ht="15.5">
      <c r="G27" s="258" t="s">
        <v>538</v>
      </c>
      <c r="H27" s="22" t="s">
        <v>540</v>
      </c>
      <c r="I27" s="262">
        <f>($E$3-$I$4)/$E$4</f>
        <v>-0.31697558624214073</v>
      </c>
      <c r="J27" s="37"/>
      <c r="K27" s="37"/>
      <c r="L27" s="262">
        <f>($E$3-$I$4)/$E$4</f>
        <v>-0.31697558624214073</v>
      </c>
      <c r="P27" s="262">
        <f>($E$3-$I$4)/$E$4</f>
        <v>-0.31697558624214073</v>
      </c>
    </row>
    <row r="28" spans="1:17" ht="15.5">
      <c r="G28" s="144" t="s">
        <v>539</v>
      </c>
      <c r="H28" s="22" t="s">
        <v>541</v>
      </c>
      <c r="I28" s="263">
        <f>_xlfn.T.INV(1-I23,$E$15-1)</f>
        <v>1.6765508926168529</v>
      </c>
      <c r="K28" s="37"/>
      <c r="L28" s="263">
        <f>_xlfn.T.INV(1-L23,$E$15-1)</f>
        <v>2.1098727184534054</v>
      </c>
      <c r="P28" s="263">
        <f>_xlfn.T.INV(1-P23,$E$15-1)</f>
        <v>2.4048917595376684</v>
      </c>
    </row>
    <row r="29" spans="1:17" ht="13">
      <c r="I29" s="263">
        <f>-_xlfn.T.INV(0.05,$E$15-1)</f>
        <v>1.6765508926168529</v>
      </c>
      <c r="J29" s="37"/>
      <c r="K29" s="37"/>
      <c r="L29" s="263">
        <f>-_xlfn.T.INV(0.02,$E$15-1)</f>
        <v>2.1098727184534081</v>
      </c>
      <c r="P29" s="263">
        <f>-_xlfn.T.INV(0.01,$E$15-1)</f>
        <v>2.4048917595376684</v>
      </c>
    </row>
    <row r="30" spans="1:17" ht="13">
      <c r="G30" s="237" t="s">
        <v>544</v>
      </c>
      <c r="H30" s="237" t="s">
        <v>542</v>
      </c>
      <c r="I30" s="237"/>
      <c r="J30" s="237"/>
      <c r="L30" s="237" t="s">
        <v>544</v>
      </c>
      <c r="M30" s="237" t="s">
        <v>542</v>
      </c>
      <c r="N30" s="237"/>
      <c r="P30" s="237" t="s">
        <v>544</v>
      </c>
      <c r="Q30" s="237" t="s">
        <v>542</v>
      </c>
    </row>
    <row r="31" spans="1:17" ht="13">
      <c r="G31" s="237" t="s">
        <v>543</v>
      </c>
      <c r="H31" s="237" t="s">
        <v>554</v>
      </c>
      <c r="I31" s="237"/>
      <c r="J31" s="237"/>
      <c r="L31" s="237" t="s">
        <v>543</v>
      </c>
      <c r="M31" s="237" t="s">
        <v>555</v>
      </c>
      <c r="N31" s="237"/>
      <c r="P31" s="237" t="s">
        <v>543</v>
      </c>
      <c r="Q31" s="237" t="s">
        <v>556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C8B1A-D5E8-42D3-8EA1-2C2F79DD6372}">
  <sheetPr>
    <tabColor rgb="FFFF0000"/>
  </sheetPr>
  <dimension ref="A1:S51"/>
  <sheetViews>
    <sheetView zoomScale="85" zoomScaleNormal="85" workbookViewId="0">
      <selection activeCell="F13" sqref="F13"/>
    </sheetView>
  </sheetViews>
  <sheetFormatPr defaultRowHeight="12.5"/>
  <cols>
    <col min="2" max="2" width="11.90625" bestFit="1" customWidth="1"/>
    <col min="5" max="5" width="10.453125" bestFit="1" customWidth="1"/>
    <col min="6" max="6" width="13.08984375" bestFit="1" customWidth="1"/>
    <col min="10" max="10" width="21.08984375" bestFit="1" customWidth="1"/>
    <col min="11" max="11" width="14" bestFit="1" customWidth="1"/>
    <col min="17" max="17" width="6" bestFit="1" customWidth="1"/>
    <col min="18" max="18" width="10.453125" bestFit="1" customWidth="1"/>
    <col min="19" max="19" width="13.08984375" bestFit="1" customWidth="1"/>
  </cols>
  <sheetData>
    <row r="1" spans="1:11" ht="13">
      <c r="A1" s="223" t="s">
        <v>26</v>
      </c>
      <c r="B1" s="193" t="s">
        <v>27</v>
      </c>
      <c r="D1" s="223" t="s">
        <v>28</v>
      </c>
      <c r="E1" s="22"/>
      <c r="F1" s="223" t="s">
        <v>29</v>
      </c>
      <c r="J1" s="311" t="s">
        <v>27</v>
      </c>
      <c r="K1" s="311"/>
    </row>
    <row r="2" spans="1:11">
      <c r="A2">
        <v>1</v>
      </c>
      <c r="B2">
        <v>175.75792240750161</v>
      </c>
      <c r="D2">
        <v>171</v>
      </c>
      <c r="F2">
        <v>172.5</v>
      </c>
      <c r="J2" s="8"/>
      <c r="K2" s="8"/>
    </row>
    <row r="3" spans="1:11" ht="13">
      <c r="A3">
        <v>2</v>
      </c>
      <c r="B3">
        <v>176.68694532476366</v>
      </c>
      <c r="D3">
        <v>172</v>
      </c>
      <c r="F3">
        <v>173.5</v>
      </c>
      <c r="J3" s="220" t="s">
        <v>2</v>
      </c>
      <c r="K3" s="220">
        <v>175.46160756369318</v>
      </c>
    </row>
    <row r="4" spans="1:11">
      <c r="A4">
        <v>3</v>
      </c>
      <c r="B4">
        <v>177.30818687896317</v>
      </c>
      <c r="D4">
        <v>173</v>
      </c>
      <c r="F4">
        <v>174.5</v>
      </c>
      <c r="J4" s="8" t="s">
        <v>3</v>
      </c>
      <c r="K4" s="8">
        <v>0.22576323023926093</v>
      </c>
    </row>
    <row r="5" spans="1:11">
      <c r="A5">
        <v>4</v>
      </c>
      <c r="B5">
        <v>177.16418294485266</v>
      </c>
      <c r="D5">
        <v>174</v>
      </c>
      <c r="F5">
        <v>175.5</v>
      </c>
      <c r="J5" s="8" t="s">
        <v>4</v>
      </c>
      <c r="K5" s="8">
        <v>175.33038250535355</v>
      </c>
    </row>
    <row r="6" spans="1:11">
      <c r="A6">
        <v>5</v>
      </c>
      <c r="B6">
        <v>174.48456564879962</v>
      </c>
      <c r="D6">
        <v>175</v>
      </c>
      <c r="F6">
        <v>176.5</v>
      </c>
      <c r="J6" s="8" t="s">
        <v>5</v>
      </c>
      <c r="K6" s="8" t="e">
        <v>#N/A</v>
      </c>
    </row>
    <row r="7" spans="1:11" ht="13">
      <c r="A7">
        <v>6</v>
      </c>
      <c r="B7">
        <v>176.10714313450444</v>
      </c>
      <c r="D7">
        <v>176</v>
      </c>
      <c r="F7">
        <v>177.5</v>
      </c>
      <c r="J7" s="220" t="s">
        <v>6</v>
      </c>
      <c r="K7" s="220">
        <v>1.5963871104476124</v>
      </c>
    </row>
    <row r="8" spans="1:11">
      <c r="A8">
        <v>7</v>
      </c>
      <c r="B8">
        <v>175.18281167513123</v>
      </c>
      <c r="D8">
        <v>177</v>
      </c>
      <c r="F8">
        <v>178.5</v>
      </c>
      <c r="J8" s="8" t="s">
        <v>7</v>
      </c>
      <c r="K8" s="8">
        <v>2.5484518064032771</v>
      </c>
    </row>
    <row r="9" spans="1:11">
      <c r="A9">
        <v>8</v>
      </c>
      <c r="B9">
        <v>173.52286572377125</v>
      </c>
      <c r="D9">
        <v>178</v>
      </c>
      <c r="F9">
        <v>179.5</v>
      </c>
      <c r="J9" s="8" t="s">
        <v>8</v>
      </c>
      <c r="K9" s="8">
        <v>-0.22554238944847116</v>
      </c>
    </row>
    <row r="10" spans="1:11">
      <c r="A10">
        <v>9</v>
      </c>
      <c r="B10">
        <v>174.42078426329317</v>
      </c>
      <c r="J10" s="8" t="s">
        <v>9</v>
      </c>
      <c r="K10" s="8">
        <v>-0.12028817806762911</v>
      </c>
    </row>
    <row r="11" spans="1:11">
      <c r="A11">
        <v>10</v>
      </c>
      <c r="B11">
        <v>176.68330518590665</v>
      </c>
      <c r="J11" s="8" t="s">
        <v>10</v>
      </c>
      <c r="K11" s="8">
        <v>7.3496067898304318</v>
      </c>
    </row>
    <row r="12" spans="1:11" ht="13">
      <c r="A12">
        <v>11</v>
      </c>
      <c r="B12">
        <v>174.68209749567905</v>
      </c>
      <c r="J12" s="220" t="s">
        <v>11</v>
      </c>
      <c r="K12" s="220">
        <v>171.65262851067382</v>
      </c>
    </row>
    <row r="13" spans="1:11" ht="13">
      <c r="A13">
        <v>12</v>
      </c>
      <c r="B13">
        <v>174.68836857533461</v>
      </c>
      <c r="J13" s="220" t="s">
        <v>12</v>
      </c>
      <c r="K13" s="220">
        <v>179.00223530050425</v>
      </c>
    </row>
    <row r="14" spans="1:11">
      <c r="A14">
        <v>13</v>
      </c>
      <c r="B14">
        <v>175.25590213681426</v>
      </c>
      <c r="J14" s="8" t="s">
        <v>13</v>
      </c>
      <c r="K14" s="8">
        <v>8773.0803781846589</v>
      </c>
    </row>
    <row r="15" spans="1:11">
      <c r="A15">
        <v>14</v>
      </c>
      <c r="B15">
        <v>176.69810516581492</v>
      </c>
      <c r="J15" s="8" t="s">
        <v>14</v>
      </c>
      <c r="K15" s="8">
        <v>50</v>
      </c>
    </row>
    <row r="16" spans="1:11" ht="13" thickBot="1">
      <c r="A16">
        <v>15</v>
      </c>
      <c r="B16">
        <v>177.1310465285751</v>
      </c>
      <c r="J16" s="10" t="s">
        <v>15</v>
      </c>
      <c r="K16" s="10">
        <v>0.45368819694312573</v>
      </c>
    </row>
    <row r="17" spans="1:19">
      <c r="A17">
        <v>16</v>
      </c>
      <c r="B17">
        <v>173.89539384412274</v>
      </c>
    </row>
    <row r="18" spans="1:19" ht="13" thickBot="1">
      <c r="A18">
        <v>17</v>
      </c>
      <c r="B18">
        <v>174.30952759541469</v>
      </c>
    </row>
    <row r="19" spans="1:19" ht="13">
      <c r="A19">
        <v>18</v>
      </c>
      <c r="B19">
        <v>172.35243488885317</v>
      </c>
      <c r="D19" s="12" t="s">
        <v>28</v>
      </c>
      <c r="E19" s="12" t="s">
        <v>30</v>
      </c>
      <c r="F19" s="12" t="s">
        <v>31</v>
      </c>
      <c r="Q19" s="12" t="s">
        <v>29</v>
      </c>
      <c r="R19" s="12" t="s">
        <v>30</v>
      </c>
      <c r="S19" s="12" t="s">
        <v>31</v>
      </c>
    </row>
    <row r="20" spans="1:19">
      <c r="A20">
        <v>19</v>
      </c>
      <c r="B20">
        <v>175.61575900645039</v>
      </c>
      <c r="D20" s="221">
        <v>171</v>
      </c>
      <c r="E20" s="8">
        <v>0</v>
      </c>
      <c r="F20" s="9">
        <v>0</v>
      </c>
      <c r="Q20" s="221">
        <v>172.5</v>
      </c>
      <c r="R20" s="8">
        <v>3</v>
      </c>
      <c r="S20" s="9">
        <v>0.06</v>
      </c>
    </row>
    <row r="21" spans="1:19">
      <c r="A21">
        <v>20</v>
      </c>
      <c r="B21">
        <v>176.24401361745186</v>
      </c>
      <c r="D21" s="221">
        <v>172</v>
      </c>
      <c r="E21" s="8">
        <v>1</v>
      </c>
      <c r="F21" s="9">
        <v>0.02</v>
      </c>
      <c r="Q21" s="221">
        <v>173.5</v>
      </c>
      <c r="R21" s="8">
        <v>2</v>
      </c>
      <c r="S21" s="9">
        <v>0.1</v>
      </c>
    </row>
    <row r="22" spans="1:19">
      <c r="A22">
        <v>21</v>
      </c>
      <c r="B22">
        <v>176.54705901422858</v>
      </c>
      <c r="D22" s="221">
        <v>173</v>
      </c>
      <c r="E22" s="8">
        <v>2</v>
      </c>
      <c r="F22" s="9">
        <v>0.06</v>
      </c>
      <c r="Q22" s="221">
        <v>174.5</v>
      </c>
      <c r="R22" s="8">
        <v>10</v>
      </c>
      <c r="S22" s="9">
        <v>0.3</v>
      </c>
    </row>
    <row r="23" spans="1:19">
      <c r="A23">
        <v>22</v>
      </c>
      <c r="B23">
        <v>174.27823461121079</v>
      </c>
      <c r="D23" s="221">
        <v>174</v>
      </c>
      <c r="E23" s="8">
        <v>6</v>
      </c>
      <c r="F23" s="9">
        <v>0.18</v>
      </c>
      <c r="Q23" s="221">
        <v>175.5</v>
      </c>
      <c r="R23" s="8">
        <v>11</v>
      </c>
      <c r="S23" s="9">
        <v>0.52</v>
      </c>
    </row>
    <row r="24" spans="1:19">
      <c r="A24">
        <v>23</v>
      </c>
      <c r="B24">
        <v>171.65262851067382</v>
      </c>
      <c r="D24" s="221">
        <v>175</v>
      </c>
      <c r="E24" s="8">
        <v>10</v>
      </c>
      <c r="F24" s="9">
        <v>0.38</v>
      </c>
      <c r="Q24" s="221">
        <v>176.5</v>
      </c>
      <c r="R24" s="8">
        <v>8</v>
      </c>
      <c r="S24" s="9">
        <v>0.68</v>
      </c>
    </row>
    <row r="25" spans="1:19">
      <c r="A25">
        <v>24</v>
      </c>
      <c r="B25">
        <v>175.04945189857608</v>
      </c>
      <c r="D25" s="221">
        <v>176</v>
      </c>
      <c r="E25" s="8">
        <v>11</v>
      </c>
      <c r="F25" s="9">
        <v>0.6</v>
      </c>
      <c r="Q25" s="221">
        <v>177.5</v>
      </c>
      <c r="R25" s="8">
        <v>12</v>
      </c>
      <c r="S25" s="9">
        <v>0.92</v>
      </c>
    </row>
    <row r="26" spans="1:19">
      <c r="A26">
        <v>25</v>
      </c>
      <c r="B26">
        <v>176.02370421473097</v>
      </c>
      <c r="D26" s="221">
        <v>177</v>
      </c>
      <c r="E26" s="8">
        <v>10</v>
      </c>
      <c r="F26" s="9">
        <v>0.8</v>
      </c>
      <c r="Q26" s="221">
        <v>178.5</v>
      </c>
      <c r="R26" s="8">
        <v>3</v>
      </c>
      <c r="S26" s="9">
        <v>0.98</v>
      </c>
    </row>
    <row r="27" spans="1:19">
      <c r="A27">
        <v>26</v>
      </c>
      <c r="B27">
        <v>176.57300212322298</v>
      </c>
      <c r="D27" s="221">
        <v>178</v>
      </c>
      <c r="E27" s="8">
        <v>7</v>
      </c>
      <c r="F27" s="9">
        <v>0.94</v>
      </c>
      <c r="Q27" s="221">
        <v>179.5</v>
      </c>
      <c r="R27" s="8">
        <v>1</v>
      </c>
      <c r="S27" s="9">
        <v>1</v>
      </c>
    </row>
    <row r="28" spans="1:19" ht="13" thickBot="1">
      <c r="A28">
        <v>27</v>
      </c>
      <c r="B28">
        <v>173.92689453417916</v>
      </c>
      <c r="D28" s="10" t="s">
        <v>32</v>
      </c>
      <c r="E28" s="10">
        <v>3</v>
      </c>
      <c r="F28" s="11">
        <v>1</v>
      </c>
      <c r="Q28" s="10" t="s">
        <v>32</v>
      </c>
      <c r="R28" s="10">
        <v>0</v>
      </c>
      <c r="S28" s="11">
        <v>1</v>
      </c>
    </row>
    <row r="29" spans="1:19">
      <c r="A29">
        <v>28</v>
      </c>
      <c r="B29">
        <v>174.29918988073041</v>
      </c>
    </row>
    <row r="30" spans="1:19">
      <c r="A30">
        <v>29</v>
      </c>
      <c r="B30">
        <v>176.07579779751177</v>
      </c>
    </row>
    <row r="31" spans="1:19">
      <c r="A31">
        <v>30</v>
      </c>
      <c r="B31">
        <v>174.39261863346474</v>
      </c>
    </row>
    <row r="32" spans="1:19">
      <c r="A32">
        <v>31</v>
      </c>
      <c r="B32">
        <v>175.00365378127754</v>
      </c>
    </row>
    <row r="33" spans="1:2">
      <c r="A33">
        <v>32</v>
      </c>
      <c r="B33">
        <v>176.67149801200139</v>
      </c>
    </row>
    <row r="34" spans="1:2">
      <c r="A34">
        <v>33</v>
      </c>
      <c r="B34">
        <v>172.49568593188087</v>
      </c>
    </row>
    <row r="35" spans="1:2">
      <c r="A35">
        <v>34</v>
      </c>
      <c r="B35">
        <v>173.99164060934709</v>
      </c>
    </row>
    <row r="36" spans="1:2">
      <c r="A36">
        <v>35</v>
      </c>
      <c r="B36">
        <v>173.3827302685313</v>
      </c>
    </row>
    <row r="37" spans="1:2">
      <c r="A37">
        <v>36</v>
      </c>
      <c r="B37">
        <v>178.32804921754359</v>
      </c>
    </row>
    <row r="38" spans="1:2">
      <c r="A38">
        <v>37</v>
      </c>
      <c r="B38">
        <v>175.06251860895645</v>
      </c>
    </row>
    <row r="39" spans="1:2">
      <c r="A39">
        <v>38</v>
      </c>
      <c r="B39">
        <v>179.00223530050425</v>
      </c>
    </row>
    <row r="40" spans="1:2">
      <c r="A40">
        <v>39</v>
      </c>
      <c r="B40">
        <v>174.94826828242367</v>
      </c>
    </row>
    <row r="41" spans="1:2">
      <c r="A41">
        <v>40</v>
      </c>
      <c r="B41">
        <v>177.28835148163853</v>
      </c>
    </row>
    <row r="42" spans="1:2">
      <c r="A42">
        <v>41</v>
      </c>
      <c r="B42">
        <v>175.79905242955647</v>
      </c>
    </row>
    <row r="43" spans="1:2">
      <c r="A43">
        <v>42</v>
      </c>
      <c r="B43">
        <v>178.01071509056783</v>
      </c>
    </row>
    <row r="44" spans="1:2">
      <c r="A44">
        <v>43</v>
      </c>
      <c r="B44">
        <v>175.40486287389285</v>
      </c>
    </row>
    <row r="45" spans="1:2">
      <c r="A45">
        <v>44</v>
      </c>
      <c r="B45">
        <v>174.67345331697288</v>
      </c>
    </row>
    <row r="46" spans="1:2">
      <c r="A46">
        <v>45</v>
      </c>
      <c r="B46">
        <v>177.30361001740675</v>
      </c>
    </row>
    <row r="47" spans="1:2">
      <c r="A47">
        <v>46</v>
      </c>
      <c r="B47">
        <v>175.63690339402456</v>
      </c>
    </row>
    <row r="48" spans="1:2">
      <c r="A48">
        <v>47</v>
      </c>
      <c r="B48">
        <v>177.0754101797138</v>
      </c>
    </row>
    <row r="49" spans="1:2">
      <c r="A49">
        <v>48</v>
      </c>
      <c r="B49">
        <v>177.68432614802805</v>
      </c>
    </row>
    <row r="50" spans="1:2">
      <c r="A50">
        <v>49</v>
      </c>
      <c r="B50">
        <v>173.05367303906678</v>
      </c>
    </row>
    <row r="51" spans="1:2">
      <c r="A51">
        <v>50</v>
      </c>
      <c r="B51">
        <v>175.25379694079675</v>
      </c>
    </row>
  </sheetData>
  <sortState xmlns:xlrd2="http://schemas.microsoft.com/office/spreadsheetml/2017/richdata2" ref="Q20:Q27">
    <sortCondition ref="Q20"/>
  </sortState>
  <mergeCells count="1">
    <mergeCell ref="J1:K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ABEC8-958F-4867-A7CD-039D03ED67E0}">
  <sheetPr>
    <tabColor theme="1"/>
  </sheetPr>
  <dimension ref="A1:J145"/>
  <sheetViews>
    <sheetView topLeftCell="C1" workbookViewId="0">
      <selection activeCell="J23" sqref="J23"/>
    </sheetView>
  </sheetViews>
  <sheetFormatPr defaultRowHeight="12.5"/>
  <cols>
    <col min="1" max="1" width="4.54296875" customWidth="1"/>
    <col min="2" max="2" width="13.90625" bestFit="1" customWidth="1"/>
    <col min="6" max="6" width="5.54296875" bestFit="1" customWidth="1"/>
    <col min="7" max="7" width="18.453125" bestFit="1" customWidth="1"/>
    <col min="8" max="8" width="12.54296875" bestFit="1" customWidth="1"/>
    <col min="9" max="9" width="25.453125" bestFit="1" customWidth="1"/>
    <col min="10" max="10" width="16" bestFit="1" customWidth="1"/>
  </cols>
  <sheetData>
    <row r="1" spans="1:9" ht="13">
      <c r="A1" s="227" t="s">
        <v>26</v>
      </c>
      <c r="B1" s="227" t="s">
        <v>33</v>
      </c>
      <c r="D1" s="144" t="s">
        <v>28</v>
      </c>
      <c r="F1" s="247" t="s">
        <v>28</v>
      </c>
      <c r="G1" s="247" t="s">
        <v>30</v>
      </c>
      <c r="H1" s="247" t="s">
        <v>31</v>
      </c>
      <c r="I1" s="144" t="s">
        <v>34</v>
      </c>
    </row>
    <row r="2" spans="1:9">
      <c r="A2">
        <v>1</v>
      </c>
      <c r="B2">
        <v>187.96340315093403</v>
      </c>
      <c r="D2">
        <v>145</v>
      </c>
      <c r="F2" s="221">
        <v>145</v>
      </c>
      <c r="G2" s="8">
        <v>6</v>
      </c>
      <c r="H2" s="9">
        <v>4.1666666666666664E-2</v>
      </c>
      <c r="I2" s="22" t="s">
        <v>35</v>
      </c>
    </row>
    <row r="3" spans="1:9">
      <c r="A3">
        <v>2</v>
      </c>
      <c r="B3">
        <v>181.24294216322596</v>
      </c>
      <c r="D3">
        <v>150</v>
      </c>
      <c r="F3" s="221">
        <v>150</v>
      </c>
      <c r="G3" s="8">
        <v>4</v>
      </c>
      <c r="H3" s="9">
        <v>6.9444444444444448E-2</v>
      </c>
      <c r="I3" s="22" t="s">
        <v>36</v>
      </c>
    </row>
    <row r="4" spans="1:9">
      <c r="A4">
        <v>3</v>
      </c>
      <c r="B4">
        <v>192.2483169080806</v>
      </c>
      <c r="D4">
        <v>155</v>
      </c>
      <c r="F4" s="221">
        <v>155</v>
      </c>
      <c r="G4" s="8">
        <v>10</v>
      </c>
      <c r="H4" s="9">
        <v>0.1388888888888889</v>
      </c>
      <c r="I4" s="22" t="s">
        <v>37</v>
      </c>
    </row>
    <row r="5" spans="1:9">
      <c r="A5">
        <v>4</v>
      </c>
      <c r="B5">
        <v>173.58364390092902</v>
      </c>
      <c r="D5">
        <v>160</v>
      </c>
      <c r="F5" s="221">
        <v>160</v>
      </c>
      <c r="G5" s="8">
        <v>12</v>
      </c>
      <c r="H5" s="9">
        <v>0.22222222222222221</v>
      </c>
      <c r="I5" s="22" t="s">
        <v>38</v>
      </c>
    </row>
    <row r="6" spans="1:9">
      <c r="A6">
        <v>5</v>
      </c>
      <c r="B6">
        <v>159.41605839616386</v>
      </c>
      <c r="D6">
        <v>165</v>
      </c>
      <c r="F6" s="221">
        <v>165</v>
      </c>
      <c r="G6" s="8">
        <v>19</v>
      </c>
      <c r="H6" s="9">
        <v>0.35416666666666669</v>
      </c>
      <c r="I6" s="22" t="s">
        <v>39</v>
      </c>
    </row>
    <row r="7" spans="1:9" ht="13">
      <c r="A7">
        <v>6</v>
      </c>
      <c r="B7">
        <v>175.08893152880773</v>
      </c>
      <c r="D7">
        <v>170</v>
      </c>
      <c r="F7" s="245">
        <v>170</v>
      </c>
      <c r="G7" s="220">
        <v>16</v>
      </c>
      <c r="H7" s="246">
        <v>0.46527777777777779</v>
      </c>
      <c r="I7" s="23" t="s">
        <v>40</v>
      </c>
    </row>
    <row r="8" spans="1:9">
      <c r="A8">
        <v>7</v>
      </c>
      <c r="B8">
        <v>221.45844455808401</v>
      </c>
      <c r="D8">
        <v>175</v>
      </c>
      <c r="F8" s="221">
        <v>175</v>
      </c>
      <c r="G8" s="8">
        <v>13</v>
      </c>
      <c r="H8" s="9">
        <v>0.55555555555555558</v>
      </c>
      <c r="I8" s="22" t="s">
        <v>41</v>
      </c>
    </row>
    <row r="9" spans="1:9">
      <c r="A9">
        <v>8</v>
      </c>
      <c r="B9">
        <v>190.37678144813981</v>
      </c>
      <c r="D9">
        <v>180</v>
      </c>
      <c r="F9" s="221">
        <v>180</v>
      </c>
      <c r="G9" s="8">
        <v>13</v>
      </c>
      <c r="H9" s="9">
        <v>0.64583333333333337</v>
      </c>
      <c r="I9" s="22" t="s">
        <v>42</v>
      </c>
    </row>
    <row r="10" spans="1:9">
      <c r="A10">
        <v>9</v>
      </c>
      <c r="B10">
        <v>180.24875076735043</v>
      </c>
      <c r="D10">
        <v>185</v>
      </c>
      <c r="F10" s="221">
        <v>185</v>
      </c>
      <c r="G10" s="8">
        <v>19</v>
      </c>
      <c r="H10" s="9">
        <v>0.77777777777777779</v>
      </c>
      <c r="I10" s="22" t="s">
        <v>43</v>
      </c>
    </row>
    <row r="11" spans="1:9">
      <c r="A11">
        <v>10</v>
      </c>
      <c r="B11">
        <v>154.66938281024341</v>
      </c>
      <c r="D11">
        <v>190</v>
      </c>
      <c r="F11" s="221">
        <v>190</v>
      </c>
      <c r="G11" s="8">
        <v>14</v>
      </c>
      <c r="H11" s="9">
        <v>0.875</v>
      </c>
      <c r="I11" s="22" t="s">
        <v>44</v>
      </c>
    </row>
    <row r="12" spans="1:9" ht="13" thickBot="1">
      <c r="A12">
        <v>11</v>
      </c>
      <c r="B12">
        <v>154.97285845485749</v>
      </c>
      <c r="F12" s="10" t="s">
        <v>32</v>
      </c>
      <c r="G12" s="10">
        <v>18</v>
      </c>
      <c r="H12" s="11">
        <v>1</v>
      </c>
      <c r="I12" s="22" t="s">
        <v>45</v>
      </c>
    </row>
    <row r="13" spans="1:9" ht="13">
      <c r="A13">
        <v>12</v>
      </c>
      <c r="B13">
        <v>179.0886334318202</v>
      </c>
      <c r="F13" t="s">
        <v>46</v>
      </c>
      <c r="G13" s="23">
        <f>SUM(G2:G12)</f>
        <v>144</v>
      </c>
    </row>
    <row r="14" spans="1:9">
      <c r="A14">
        <v>13</v>
      </c>
      <c r="B14">
        <v>154.02702943974873</v>
      </c>
    </row>
    <row r="15" spans="1:9">
      <c r="A15">
        <v>14</v>
      </c>
      <c r="B15">
        <v>151.81566128449049</v>
      </c>
    </row>
    <row r="16" spans="1:9">
      <c r="A16">
        <v>15</v>
      </c>
      <c r="B16">
        <v>169.66944586856698</v>
      </c>
    </row>
    <row r="17" spans="1:10">
      <c r="A17">
        <v>16</v>
      </c>
      <c r="B17">
        <v>160.53228124364978</v>
      </c>
    </row>
    <row r="18" spans="1:10">
      <c r="A18">
        <v>17</v>
      </c>
      <c r="B18">
        <v>143.12202880391851</v>
      </c>
    </row>
    <row r="19" spans="1:10">
      <c r="A19">
        <v>18</v>
      </c>
      <c r="B19">
        <v>201.49549060151912</v>
      </c>
    </row>
    <row r="20" spans="1:10">
      <c r="A20">
        <v>19</v>
      </c>
      <c r="B20">
        <v>155.86585719647701</v>
      </c>
    </row>
    <row r="21" spans="1:10">
      <c r="A21">
        <v>20</v>
      </c>
      <c r="B21">
        <v>170.29805450038111</v>
      </c>
    </row>
    <row r="22" spans="1:10" ht="13">
      <c r="A22">
        <v>21</v>
      </c>
      <c r="B22">
        <v>180.22190930496436</v>
      </c>
      <c r="G22" s="261" t="s">
        <v>47</v>
      </c>
      <c r="H22" s="261" t="s">
        <v>48</v>
      </c>
      <c r="I22" s="261" t="s">
        <v>49</v>
      </c>
      <c r="J22" s="261" t="s">
        <v>50</v>
      </c>
    </row>
    <row r="23" spans="1:10" ht="13">
      <c r="A23">
        <v>22</v>
      </c>
      <c r="B23">
        <v>157.09514160407707</v>
      </c>
      <c r="G23" s="23" t="s">
        <v>40</v>
      </c>
      <c r="H23">
        <v>16</v>
      </c>
      <c r="I23" s="37">
        <f>H23/$G$13</f>
        <v>0.1111111111111111</v>
      </c>
      <c r="J23" s="243">
        <f>H23/$G$13</f>
        <v>0.1111111111111111</v>
      </c>
    </row>
    <row r="24" spans="1:10">
      <c r="A24">
        <v>23</v>
      </c>
      <c r="B24">
        <v>187.53687287317007</v>
      </c>
    </row>
    <row r="25" spans="1:10">
      <c r="A25">
        <v>24</v>
      </c>
      <c r="B25">
        <v>181.10679080637055</v>
      </c>
      <c r="G25" s="22" t="s">
        <v>51</v>
      </c>
      <c r="H25">
        <v>0.05</v>
      </c>
      <c r="I25" s="18">
        <v>0.05</v>
      </c>
    </row>
    <row r="26" spans="1:10">
      <c r="A26">
        <v>25</v>
      </c>
      <c r="B26">
        <v>147.48985437181545</v>
      </c>
      <c r="G26" s="22" t="s">
        <v>52</v>
      </c>
      <c r="H26">
        <f>H25/2</f>
        <v>2.5000000000000001E-2</v>
      </c>
    </row>
    <row r="27" spans="1:10">
      <c r="A27">
        <v>26</v>
      </c>
      <c r="B27">
        <v>177.02975343199796</v>
      </c>
      <c r="G27" s="22" t="s">
        <v>53</v>
      </c>
      <c r="H27">
        <f>1-H26</f>
        <v>0.97499999999999998</v>
      </c>
    </row>
    <row r="28" spans="1:10">
      <c r="A28">
        <v>27</v>
      </c>
      <c r="B28">
        <v>205.0378815154545</v>
      </c>
      <c r="G28" s="22" t="s">
        <v>54</v>
      </c>
      <c r="H28">
        <f>G13</f>
        <v>144</v>
      </c>
    </row>
    <row r="29" spans="1:10">
      <c r="A29">
        <v>28</v>
      </c>
      <c r="B29">
        <v>171.99368800065713</v>
      </c>
      <c r="G29" s="22" t="s">
        <v>55</v>
      </c>
      <c r="H29" s="244">
        <f>_xlfn.NORM.S.INV(H27)</f>
        <v>1.9599639845400536</v>
      </c>
    </row>
    <row r="30" spans="1:10">
      <c r="A30">
        <v>29</v>
      </c>
      <c r="B30">
        <v>165.88785216372344</v>
      </c>
      <c r="G30" s="22" t="s">
        <v>56</v>
      </c>
      <c r="H30" s="37">
        <f>I23</f>
        <v>0.1111111111111111</v>
      </c>
      <c r="I30" s="22" t="s">
        <v>57</v>
      </c>
    </row>
    <row r="31" spans="1:10">
      <c r="A31">
        <v>30</v>
      </c>
      <c r="B31">
        <v>156.2152736922144</v>
      </c>
      <c r="G31" s="22" t="s">
        <v>58</v>
      </c>
      <c r="H31" s="116">
        <f>1-H30</f>
        <v>0.88888888888888884</v>
      </c>
    </row>
    <row r="32" spans="1:10" ht="13">
      <c r="A32">
        <v>31</v>
      </c>
      <c r="B32">
        <v>163.86232788208872</v>
      </c>
      <c r="G32" s="237" t="s">
        <v>59</v>
      </c>
      <c r="H32" s="23">
        <f>H29*SQRT(H30*H31/H28)</f>
        <v>5.1329771272210278E-2</v>
      </c>
    </row>
    <row r="33" spans="1:9" ht="13">
      <c r="A33">
        <v>32</v>
      </c>
      <c r="B33">
        <v>189.1745090331824</v>
      </c>
      <c r="G33" s="149" t="s">
        <v>60</v>
      </c>
      <c r="H33" s="149">
        <f>H30-H32</f>
        <v>5.9781339838900827E-2</v>
      </c>
      <c r="I33" s="32">
        <f>H33</f>
        <v>5.9781339838900827E-2</v>
      </c>
    </row>
    <row r="34" spans="1:9" ht="13">
      <c r="A34">
        <v>33</v>
      </c>
      <c r="B34">
        <v>167.53268470056355</v>
      </c>
      <c r="G34" s="149" t="s">
        <v>61</v>
      </c>
      <c r="H34" s="149">
        <f>H30+H32</f>
        <v>0.16244088238332138</v>
      </c>
      <c r="I34" s="32">
        <f>H34</f>
        <v>0.16244088238332138</v>
      </c>
    </row>
    <row r="35" spans="1:9">
      <c r="A35">
        <v>34</v>
      </c>
      <c r="B35">
        <v>169.8048980513704</v>
      </c>
    </row>
    <row r="36" spans="1:9">
      <c r="A36">
        <v>35</v>
      </c>
      <c r="B36">
        <v>180.935169156146</v>
      </c>
      <c r="G36" s="22" t="s">
        <v>62</v>
      </c>
    </row>
    <row r="37" spans="1:9">
      <c r="A37">
        <v>36</v>
      </c>
      <c r="B37">
        <v>186.70656105387025</v>
      </c>
    </row>
    <row r="38" spans="1:9" ht="14.5">
      <c r="A38">
        <v>37</v>
      </c>
      <c r="B38">
        <v>183.86634552443866</v>
      </c>
      <c r="G38" s="248" t="s">
        <v>63</v>
      </c>
      <c r="H38" s="37">
        <f>3*SQRT(H28*H30*H31)</f>
        <v>11.313708498984759</v>
      </c>
    </row>
    <row r="39" spans="1:9" ht="14.5">
      <c r="A39">
        <v>38</v>
      </c>
      <c r="B39">
        <v>160.23156818919233</v>
      </c>
      <c r="G39" s="248" t="s">
        <v>64</v>
      </c>
      <c r="H39">
        <f>H28*H30</f>
        <v>16</v>
      </c>
    </row>
    <row r="40" spans="1:9">
      <c r="A40">
        <v>39</v>
      </c>
      <c r="B40">
        <v>197.89689291501418</v>
      </c>
    </row>
    <row r="41" spans="1:9" ht="13">
      <c r="A41">
        <v>40</v>
      </c>
      <c r="B41">
        <v>172.09430085204076</v>
      </c>
      <c r="G41" s="149" t="s">
        <v>65</v>
      </c>
      <c r="H41" s="250">
        <f>H39-H38</f>
        <v>4.6862915010152406</v>
      </c>
    </row>
    <row r="42" spans="1:9" ht="13">
      <c r="A42">
        <v>41</v>
      </c>
      <c r="B42">
        <v>167.2507981864328</v>
      </c>
      <c r="G42" s="149" t="s">
        <v>66</v>
      </c>
      <c r="H42" s="250">
        <f>H39+H38</f>
        <v>27.313708498984759</v>
      </c>
    </row>
    <row r="43" spans="1:9">
      <c r="A43">
        <v>42</v>
      </c>
      <c r="B43">
        <v>171.85774128010962</v>
      </c>
    </row>
    <row r="44" spans="1:9" ht="13">
      <c r="A44">
        <v>43</v>
      </c>
      <c r="B44">
        <v>164.07586586938123</v>
      </c>
      <c r="G44" s="249" t="s">
        <v>67</v>
      </c>
    </row>
    <row r="45" spans="1:9">
      <c r="A45">
        <v>44</v>
      </c>
      <c r="B45">
        <v>193.19598764996044</v>
      </c>
    </row>
    <row r="46" spans="1:9">
      <c r="A46">
        <v>45</v>
      </c>
      <c r="B46">
        <v>158.7532413948793</v>
      </c>
    </row>
    <row r="47" spans="1:9">
      <c r="A47">
        <v>46</v>
      </c>
      <c r="B47">
        <v>192.38460468914127</v>
      </c>
    </row>
    <row r="48" spans="1:9">
      <c r="A48">
        <v>47</v>
      </c>
      <c r="B48">
        <v>180.06128685628937</v>
      </c>
    </row>
    <row r="49" spans="1:2">
      <c r="A49">
        <v>48</v>
      </c>
      <c r="B49">
        <v>140.17881299951114</v>
      </c>
    </row>
    <row r="50" spans="1:2">
      <c r="A50">
        <v>49</v>
      </c>
      <c r="B50">
        <v>157.77613713071332</v>
      </c>
    </row>
    <row r="51" spans="1:2">
      <c r="A51">
        <v>50</v>
      </c>
      <c r="B51">
        <v>195.15094651142135</v>
      </c>
    </row>
    <row r="52" spans="1:2">
      <c r="A52">
        <v>51</v>
      </c>
      <c r="B52">
        <v>186.1815666059556</v>
      </c>
    </row>
    <row r="53" spans="1:2">
      <c r="A53">
        <v>52</v>
      </c>
      <c r="B53">
        <v>175.69733232521685</v>
      </c>
    </row>
    <row r="54" spans="1:2">
      <c r="A54">
        <v>53</v>
      </c>
      <c r="B54">
        <v>179.45547811978031</v>
      </c>
    </row>
    <row r="55" spans="1:2">
      <c r="A55">
        <v>54</v>
      </c>
      <c r="B55">
        <v>169.58747197422781</v>
      </c>
    </row>
    <row r="56" spans="1:2">
      <c r="A56">
        <v>55</v>
      </c>
      <c r="B56">
        <v>171.59686409358983</v>
      </c>
    </row>
    <row r="57" spans="1:2">
      <c r="A57">
        <v>56</v>
      </c>
      <c r="B57">
        <v>165.40562670415966</v>
      </c>
    </row>
    <row r="58" spans="1:2">
      <c r="A58">
        <v>57</v>
      </c>
      <c r="B58">
        <v>164.67896317481063</v>
      </c>
    </row>
    <row r="59" spans="1:2">
      <c r="A59">
        <v>58</v>
      </c>
      <c r="B59">
        <v>183.77630554896314</v>
      </c>
    </row>
    <row r="60" spans="1:2">
      <c r="A60">
        <v>59</v>
      </c>
      <c r="B60">
        <v>148.63452166609932</v>
      </c>
    </row>
    <row r="61" spans="1:2">
      <c r="A61">
        <v>60</v>
      </c>
      <c r="B61">
        <v>137.64268702361733</v>
      </c>
    </row>
    <row r="62" spans="1:2">
      <c r="A62">
        <v>61</v>
      </c>
      <c r="B62">
        <v>177.87179773295065</v>
      </c>
    </row>
    <row r="63" spans="1:2">
      <c r="A63">
        <v>62</v>
      </c>
      <c r="B63">
        <v>191.04604449312319</v>
      </c>
    </row>
    <row r="64" spans="1:2">
      <c r="A64">
        <v>63</v>
      </c>
      <c r="B64">
        <v>167.49370148390881</v>
      </c>
    </row>
    <row r="65" spans="1:2">
      <c r="A65">
        <v>64</v>
      </c>
      <c r="B65">
        <v>190.72838073116145</v>
      </c>
    </row>
    <row r="66" spans="1:2">
      <c r="A66">
        <v>65</v>
      </c>
      <c r="B66">
        <v>185.33266698868829</v>
      </c>
    </row>
    <row r="67" spans="1:2">
      <c r="A67">
        <v>66</v>
      </c>
      <c r="B67">
        <v>162.83993078177446</v>
      </c>
    </row>
    <row r="68" spans="1:2">
      <c r="A68">
        <v>67</v>
      </c>
      <c r="B68">
        <v>168.63298002208467</v>
      </c>
    </row>
    <row r="69" spans="1:2">
      <c r="A69">
        <v>68</v>
      </c>
      <c r="B69">
        <v>187.01085524371592</v>
      </c>
    </row>
    <row r="70" spans="1:2">
      <c r="A70">
        <v>69</v>
      </c>
      <c r="B70">
        <v>205.05493454111274</v>
      </c>
    </row>
    <row r="71" spans="1:2">
      <c r="A71">
        <v>70</v>
      </c>
      <c r="B71">
        <v>185.19781166178291</v>
      </c>
    </row>
    <row r="72" spans="1:2">
      <c r="A72">
        <v>71</v>
      </c>
      <c r="B72">
        <v>162.51186467416119</v>
      </c>
    </row>
    <row r="73" spans="1:2">
      <c r="A73">
        <v>72</v>
      </c>
      <c r="B73">
        <v>167.44554373944993</v>
      </c>
    </row>
    <row r="74" spans="1:2">
      <c r="A74">
        <v>73</v>
      </c>
      <c r="B74">
        <v>176.15837792691309</v>
      </c>
    </row>
    <row r="75" spans="1:2">
      <c r="A75">
        <v>74</v>
      </c>
      <c r="B75">
        <v>169.6462025945948</v>
      </c>
    </row>
    <row r="76" spans="1:2">
      <c r="A76">
        <v>75</v>
      </c>
      <c r="B76">
        <v>164.15202468197094</v>
      </c>
    </row>
    <row r="77" spans="1:2">
      <c r="A77">
        <v>76</v>
      </c>
      <c r="B77">
        <v>141.41290636034682</v>
      </c>
    </row>
    <row r="78" spans="1:2">
      <c r="A78">
        <v>77</v>
      </c>
      <c r="B78">
        <v>174.6367876065051</v>
      </c>
    </row>
    <row r="79" spans="1:2">
      <c r="A79">
        <v>78</v>
      </c>
      <c r="B79">
        <v>161.72541323685437</v>
      </c>
    </row>
    <row r="80" spans="1:2">
      <c r="A80">
        <v>79</v>
      </c>
      <c r="B80">
        <v>182.45302486393484</v>
      </c>
    </row>
    <row r="81" spans="1:2">
      <c r="A81">
        <v>80</v>
      </c>
      <c r="B81">
        <v>156.2152736922144</v>
      </c>
    </row>
    <row r="82" spans="1:2">
      <c r="A82">
        <v>81</v>
      </c>
      <c r="B82">
        <v>165.20056407061929</v>
      </c>
    </row>
    <row r="83" spans="1:2">
      <c r="A83">
        <v>82</v>
      </c>
      <c r="B83">
        <v>158.25536125776125</v>
      </c>
    </row>
    <row r="84" spans="1:2">
      <c r="A84">
        <v>83</v>
      </c>
      <c r="B84">
        <v>156.5425894666987</v>
      </c>
    </row>
    <row r="85" spans="1:2">
      <c r="A85">
        <v>84</v>
      </c>
      <c r="B85">
        <v>181.63932269162615</v>
      </c>
    </row>
    <row r="86" spans="1:2">
      <c r="A86">
        <v>85</v>
      </c>
      <c r="B86">
        <v>188.70964355373872</v>
      </c>
    </row>
    <row r="87" spans="1:2">
      <c r="A87">
        <v>86</v>
      </c>
      <c r="B87">
        <v>162.97809439565754</v>
      </c>
    </row>
    <row r="88" spans="1:2">
      <c r="A88">
        <v>87</v>
      </c>
      <c r="B88">
        <v>185.74241708920454</v>
      </c>
    </row>
    <row r="89" spans="1:2">
      <c r="A89">
        <v>88</v>
      </c>
      <c r="B89">
        <v>160.58882907673251</v>
      </c>
    </row>
    <row r="90" spans="1:2">
      <c r="A90">
        <v>89</v>
      </c>
      <c r="B90">
        <v>185.49182287715666</v>
      </c>
    </row>
    <row r="91" spans="1:2">
      <c r="A91">
        <v>90</v>
      </c>
      <c r="B91">
        <v>184.51988567976514</v>
      </c>
    </row>
    <row r="92" spans="1:2">
      <c r="A92">
        <v>91</v>
      </c>
      <c r="B92">
        <v>147.86952293507056</v>
      </c>
    </row>
    <row r="93" spans="1:2">
      <c r="A93">
        <v>92</v>
      </c>
      <c r="B93">
        <v>177.11663859772671</v>
      </c>
    </row>
    <row r="94" spans="1:2">
      <c r="A94">
        <v>93</v>
      </c>
      <c r="B94">
        <v>175.40911913856689</v>
      </c>
    </row>
    <row r="95" spans="1:2">
      <c r="A95">
        <v>94</v>
      </c>
      <c r="B95">
        <v>160.46635424645501</v>
      </c>
    </row>
    <row r="96" spans="1:2">
      <c r="A96">
        <v>95</v>
      </c>
      <c r="B96">
        <v>166.14458546500828</v>
      </c>
    </row>
    <row r="97" spans="1:2">
      <c r="A97">
        <v>96</v>
      </c>
      <c r="B97">
        <v>172.51528889646579</v>
      </c>
    </row>
    <row r="98" spans="1:2">
      <c r="A98">
        <v>97</v>
      </c>
      <c r="B98">
        <v>162.97331954847323</v>
      </c>
    </row>
    <row r="99" spans="1:2">
      <c r="A99">
        <v>98</v>
      </c>
      <c r="B99">
        <v>171.04697222821414</v>
      </c>
    </row>
    <row r="100" spans="1:2">
      <c r="A100">
        <v>99</v>
      </c>
      <c r="B100">
        <v>183.15196017356357</v>
      </c>
    </row>
    <row r="101" spans="1:2">
      <c r="A101">
        <v>100</v>
      </c>
      <c r="B101">
        <v>137.27434166939929</v>
      </c>
    </row>
    <row r="102" spans="1:2">
      <c r="A102">
        <v>101</v>
      </c>
      <c r="B102">
        <v>144.91941770829726</v>
      </c>
    </row>
    <row r="103" spans="1:2">
      <c r="A103">
        <v>102</v>
      </c>
      <c r="B103">
        <v>159.84279331023572</v>
      </c>
    </row>
    <row r="104" spans="1:2">
      <c r="A104">
        <v>103</v>
      </c>
      <c r="B104">
        <v>164.45976358299959</v>
      </c>
    </row>
    <row r="105" spans="1:2">
      <c r="A105">
        <v>104</v>
      </c>
      <c r="B105">
        <v>192.33975523166009</v>
      </c>
    </row>
    <row r="106" spans="1:2">
      <c r="A106">
        <v>105</v>
      </c>
      <c r="B106">
        <v>180.71368445889675</v>
      </c>
    </row>
    <row r="107" spans="1:2">
      <c r="A107">
        <v>106</v>
      </c>
      <c r="B107">
        <v>189.20141870767111</v>
      </c>
    </row>
    <row r="108" spans="1:2">
      <c r="A108">
        <v>107</v>
      </c>
      <c r="B108">
        <v>188.6349171953043</v>
      </c>
    </row>
    <row r="109" spans="1:2">
      <c r="A109">
        <v>108</v>
      </c>
      <c r="B109">
        <v>181.41981614535325</v>
      </c>
    </row>
    <row r="110" spans="1:2">
      <c r="A110">
        <v>109</v>
      </c>
      <c r="B110">
        <v>172.67221083857294</v>
      </c>
    </row>
    <row r="111" spans="1:2">
      <c r="A111">
        <v>110</v>
      </c>
      <c r="B111">
        <v>178.20562776323641</v>
      </c>
    </row>
    <row r="112" spans="1:2">
      <c r="A112">
        <v>111</v>
      </c>
      <c r="B112">
        <v>194.48894805536838</v>
      </c>
    </row>
    <row r="113" spans="1:2">
      <c r="A113">
        <v>112</v>
      </c>
      <c r="B113">
        <v>175.78005655268498</v>
      </c>
    </row>
    <row r="114" spans="1:2">
      <c r="A114">
        <v>113</v>
      </c>
      <c r="B114">
        <v>184.65076765169215</v>
      </c>
    </row>
    <row r="115" spans="1:2">
      <c r="A115">
        <v>114</v>
      </c>
      <c r="B115">
        <v>165.90026676640264</v>
      </c>
    </row>
    <row r="116" spans="1:2">
      <c r="A116">
        <v>115</v>
      </c>
      <c r="B116">
        <v>150.47972725442378</v>
      </c>
    </row>
    <row r="117" spans="1:2">
      <c r="A117">
        <v>116</v>
      </c>
      <c r="B117">
        <v>161.33905988754123</v>
      </c>
    </row>
    <row r="118" spans="1:2">
      <c r="A118">
        <v>117</v>
      </c>
      <c r="B118">
        <v>179.97753944728174</v>
      </c>
    </row>
    <row r="119" spans="1:2">
      <c r="A119">
        <v>118</v>
      </c>
      <c r="B119">
        <v>177.74800981969747</v>
      </c>
    </row>
    <row r="120" spans="1:2">
      <c r="A120">
        <v>119</v>
      </c>
      <c r="B120">
        <v>163.11206296522869</v>
      </c>
    </row>
    <row r="121" spans="1:2">
      <c r="A121">
        <v>120</v>
      </c>
      <c r="B121">
        <v>151.59724613185972</v>
      </c>
    </row>
    <row r="122" spans="1:2">
      <c r="A122">
        <v>121</v>
      </c>
      <c r="B122">
        <v>168.03767594938108</v>
      </c>
    </row>
    <row r="123" spans="1:2">
      <c r="A123">
        <v>122</v>
      </c>
      <c r="B123">
        <v>181.17667410551803</v>
      </c>
    </row>
    <row r="124" spans="1:2">
      <c r="A124">
        <v>123</v>
      </c>
      <c r="B124">
        <v>153.95049546059454</v>
      </c>
    </row>
    <row r="125" spans="1:2">
      <c r="A125">
        <v>124</v>
      </c>
      <c r="B125">
        <v>150.78033799072728</v>
      </c>
    </row>
    <row r="126" spans="1:2">
      <c r="A126">
        <v>125</v>
      </c>
      <c r="B126">
        <v>160.04787299680174</v>
      </c>
    </row>
    <row r="127" spans="1:2">
      <c r="A127">
        <v>126</v>
      </c>
      <c r="B127">
        <v>191.03792725290987</v>
      </c>
    </row>
    <row r="128" spans="1:2">
      <c r="A128">
        <v>127</v>
      </c>
      <c r="B128">
        <v>147.48985437181545</v>
      </c>
    </row>
    <row r="129" spans="1:2">
      <c r="A129">
        <v>128</v>
      </c>
      <c r="B129">
        <v>163.80025486869272</v>
      </c>
    </row>
    <row r="130" spans="1:2">
      <c r="A130">
        <v>129</v>
      </c>
      <c r="B130">
        <v>182.0032513121987</v>
      </c>
    </row>
    <row r="131" spans="1:2">
      <c r="A131">
        <v>130</v>
      </c>
      <c r="B131">
        <v>184.58734744926915</v>
      </c>
    </row>
    <row r="132" spans="1:2">
      <c r="A132">
        <v>131</v>
      </c>
      <c r="B132">
        <v>172.04750734963454</v>
      </c>
    </row>
    <row r="133" spans="1:2">
      <c r="A133">
        <v>132</v>
      </c>
      <c r="B133">
        <v>159.30538425964187</v>
      </c>
    </row>
    <row r="134" spans="1:2">
      <c r="A134">
        <v>133</v>
      </c>
      <c r="B134">
        <v>191.76175997999962</v>
      </c>
    </row>
    <row r="135" spans="1:2">
      <c r="A135">
        <v>134</v>
      </c>
      <c r="B135">
        <v>183.2732753980963</v>
      </c>
    </row>
    <row r="136" spans="1:2">
      <c r="A136">
        <v>135</v>
      </c>
      <c r="B136">
        <v>192.24384901535814</v>
      </c>
    </row>
    <row r="137" spans="1:2">
      <c r="A137">
        <v>136</v>
      </c>
      <c r="B137">
        <v>150.80141553044086</v>
      </c>
    </row>
    <row r="138" spans="1:2">
      <c r="A138">
        <v>137</v>
      </c>
      <c r="B138">
        <v>210.93086148612201</v>
      </c>
    </row>
    <row r="139" spans="1:2">
      <c r="A139">
        <v>138</v>
      </c>
      <c r="B139">
        <v>160.44984691761783</v>
      </c>
    </row>
    <row r="140" spans="1:2">
      <c r="A140">
        <v>139</v>
      </c>
      <c r="B140">
        <v>185.15591237774061</v>
      </c>
    </row>
    <row r="141" spans="1:2">
      <c r="A141">
        <v>140</v>
      </c>
      <c r="B141">
        <v>169.76833636435913</v>
      </c>
    </row>
    <row r="142" spans="1:2">
      <c r="A142">
        <v>141</v>
      </c>
      <c r="B142">
        <v>173.58248429518426</v>
      </c>
    </row>
    <row r="143" spans="1:2">
      <c r="A143">
        <v>142</v>
      </c>
      <c r="B143">
        <v>150.77187969000079</v>
      </c>
    </row>
    <row r="144" spans="1:2">
      <c r="A144">
        <v>143</v>
      </c>
      <c r="B144">
        <v>159.88863184320508</v>
      </c>
    </row>
    <row r="145" spans="1:2">
      <c r="A145">
        <v>144</v>
      </c>
      <c r="B145">
        <v>170.49051494796004</v>
      </c>
    </row>
  </sheetData>
  <sortState xmlns:xlrd2="http://schemas.microsoft.com/office/spreadsheetml/2017/richdata2" ref="F2:F11">
    <sortCondition ref="F2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04E1D-AC44-447E-AD43-4DAD1FE8B51C}">
  <sheetPr>
    <tabColor rgb="FF7030A0"/>
  </sheetPr>
  <dimension ref="A1:T201"/>
  <sheetViews>
    <sheetView zoomScaleNormal="100" workbookViewId="0">
      <pane ySplit="1" topLeftCell="A108" activePane="bottomLeft" state="frozen"/>
      <selection pane="bottomLeft" activeCell="F116" sqref="F116"/>
    </sheetView>
  </sheetViews>
  <sheetFormatPr defaultRowHeight="12.5"/>
  <cols>
    <col min="2" max="2" width="13.90625" bestFit="1" customWidth="1"/>
    <col min="4" max="4" width="31.08984375" bestFit="1" customWidth="1"/>
    <col min="5" max="5" width="12.453125" bestFit="1" customWidth="1"/>
    <col min="6" max="6" width="12.90625" bestFit="1" customWidth="1"/>
    <col min="9" max="9" width="31.08984375" bestFit="1" customWidth="1"/>
    <col min="10" max="10" width="12.90625" bestFit="1" customWidth="1"/>
    <col min="16" max="16" width="13.90625" bestFit="1" customWidth="1"/>
  </cols>
  <sheetData>
    <row r="1" spans="1:16" ht="13">
      <c r="A1" s="227" t="s">
        <v>26</v>
      </c>
      <c r="B1" s="227" t="s">
        <v>68</v>
      </c>
      <c r="K1" s="261" t="s">
        <v>28</v>
      </c>
      <c r="L1" s="261" t="s">
        <v>29</v>
      </c>
      <c r="O1" s="227" t="s">
        <v>26</v>
      </c>
      <c r="P1" s="227" t="s">
        <v>33</v>
      </c>
    </row>
    <row r="2" spans="1:16">
      <c r="A2">
        <v>1</v>
      </c>
      <c r="B2">
        <v>161.31470816690126</v>
      </c>
      <c r="K2">
        <v>145</v>
      </c>
      <c r="L2">
        <v>150</v>
      </c>
      <c r="O2">
        <v>1</v>
      </c>
      <c r="P2">
        <v>187.96340315093403</v>
      </c>
    </row>
    <row r="3" spans="1:16">
      <c r="A3">
        <v>2</v>
      </c>
      <c r="B3">
        <v>188.21189984082594</v>
      </c>
      <c r="K3">
        <v>150</v>
      </c>
      <c r="L3">
        <v>155</v>
      </c>
      <c r="O3">
        <v>2</v>
      </c>
      <c r="P3">
        <v>181.24294216322596</v>
      </c>
    </row>
    <row r="4" spans="1:16">
      <c r="A4">
        <v>3</v>
      </c>
      <c r="B4">
        <v>161.63008682342479</v>
      </c>
      <c r="K4">
        <v>155</v>
      </c>
      <c r="L4">
        <v>160</v>
      </c>
      <c r="O4">
        <v>3</v>
      </c>
      <c r="P4">
        <v>192.2483169080806</v>
      </c>
    </row>
    <row r="5" spans="1:16">
      <c r="A5">
        <v>4</v>
      </c>
      <c r="B5">
        <v>173.18427909303864</v>
      </c>
      <c r="K5">
        <v>160</v>
      </c>
      <c r="L5">
        <v>165</v>
      </c>
      <c r="O5">
        <v>4</v>
      </c>
      <c r="P5">
        <v>173.58364390092902</v>
      </c>
    </row>
    <row r="6" spans="1:16">
      <c r="A6">
        <v>5</v>
      </c>
      <c r="B6">
        <v>167.83382408066245</v>
      </c>
      <c r="K6">
        <v>165</v>
      </c>
      <c r="L6">
        <v>170</v>
      </c>
      <c r="O6">
        <v>5</v>
      </c>
      <c r="P6">
        <v>159.41605839616386</v>
      </c>
    </row>
    <row r="7" spans="1:16">
      <c r="A7">
        <v>6</v>
      </c>
      <c r="B7">
        <v>193.30424025683897</v>
      </c>
      <c r="K7">
        <v>170</v>
      </c>
      <c r="L7">
        <v>175</v>
      </c>
      <c r="O7">
        <v>6</v>
      </c>
      <c r="P7">
        <v>175.08893152880773</v>
      </c>
    </row>
    <row r="8" spans="1:16">
      <c r="A8">
        <v>7</v>
      </c>
      <c r="B8">
        <v>135.48063621856272</v>
      </c>
      <c r="K8">
        <v>175</v>
      </c>
      <c r="L8">
        <v>180</v>
      </c>
      <c r="O8">
        <v>7</v>
      </c>
      <c r="P8">
        <v>221.45844455808401</v>
      </c>
    </row>
    <row r="9" spans="1:16">
      <c r="A9">
        <v>8</v>
      </c>
      <c r="B9">
        <v>187.75296881431132</v>
      </c>
      <c r="K9">
        <v>180</v>
      </c>
      <c r="L9">
        <v>185</v>
      </c>
      <c r="O9">
        <v>8</v>
      </c>
      <c r="P9">
        <v>190.37678144813981</v>
      </c>
    </row>
    <row r="10" spans="1:16">
      <c r="A10">
        <v>9</v>
      </c>
      <c r="B10">
        <v>197.58898348372895</v>
      </c>
      <c r="K10">
        <v>185</v>
      </c>
      <c r="L10">
        <v>190</v>
      </c>
      <c r="O10">
        <v>9</v>
      </c>
      <c r="P10">
        <v>180.24875076735043</v>
      </c>
    </row>
    <row r="11" spans="1:16">
      <c r="A11">
        <v>10</v>
      </c>
      <c r="B11">
        <v>174.66204313750495</v>
      </c>
      <c r="K11">
        <v>190</v>
      </c>
      <c r="L11">
        <v>195</v>
      </c>
      <c r="O11">
        <v>10</v>
      </c>
      <c r="P11">
        <v>154.66938281024341</v>
      </c>
    </row>
    <row r="12" spans="1:16">
      <c r="A12">
        <v>11</v>
      </c>
      <c r="B12">
        <v>178.96847781303222</v>
      </c>
      <c r="O12">
        <v>11</v>
      </c>
      <c r="P12">
        <v>154.97285845485749</v>
      </c>
    </row>
    <row r="13" spans="1:16">
      <c r="A13">
        <v>12</v>
      </c>
      <c r="B13">
        <v>188.60718897558399</v>
      </c>
      <c r="O13">
        <v>12</v>
      </c>
      <c r="P13">
        <v>179.0886334318202</v>
      </c>
    </row>
    <row r="14" spans="1:16">
      <c r="A14">
        <v>13</v>
      </c>
      <c r="B14">
        <v>179.48306991529535</v>
      </c>
      <c r="O14">
        <v>13</v>
      </c>
      <c r="P14">
        <v>154.02702943974873</v>
      </c>
    </row>
    <row r="15" spans="1:16">
      <c r="A15">
        <v>14</v>
      </c>
      <c r="B15">
        <v>143.16595739801414</v>
      </c>
      <c r="O15">
        <v>14</v>
      </c>
      <c r="P15">
        <v>151.81566128449049</v>
      </c>
    </row>
    <row r="16" spans="1:16">
      <c r="A16">
        <v>15</v>
      </c>
      <c r="B16">
        <v>202.17774805205408</v>
      </c>
      <c r="O16">
        <v>15</v>
      </c>
      <c r="P16">
        <v>169.66944586856698</v>
      </c>
    </row>
    <row r="17" spans="1:20">
      <c r="A17">
        <v>16</v>
      </c>
      <c r="B17">
        <v>205.00377546413802</v>
      </c>
      <c r="O17">
        <v>16</v>
      </c>
      <c r="P17">
        <v>160.53228124364978</v>
      </c>
    </row>
    <row r="18" spans="1:20">
      <c r="A18">
        <v>17</v>
      </c>
      <c r="B18">
        <v>184.12043560674647</v>
      </c>
      <c r="O18">
        <v>17</v>
      </c>
      <c r="P18">
        <v>143.12202880391851</v>
      </c>
    </row>
    <row r="19" spans="1:20" ht="13" thickBot="1">
      <c r="A19">
        <v>18</v>
      </c>
      <c r="B19">
        <v>166.2658665834897</v>
      </c>
      <c r="O19">
        <v>18</v>
      </c>
      <c r="P19">
        <v>201.49549060151912</v>
      </c>
    </row>
    <row r="20" spans="1:20" ht="13">
      <c r="A20">
        <v>19</v>
      </c>
      <c r="B20">
        <v>173.23859297976014</v>
      </c>
      <c r="D20" s="12" t="s">
        <v>28</v>
      </c>
      <c r="E20" s="12" t="s">
        <v>30</v>
      </c>
      <c r="F20" s="12" t="s">
        <v>31</v>
      </c>
      <c r="O20">
        <v>19</v>
      </c>
      <c r="P20">
        <v>155.86585719647701</v>
      </c>
      <c r="R20" s="12" t="s">
        <v>28</v>
      </c>
      <c r="S20" s="12" t="s">
        <v>30</v>
      </c>
      <c r="T20" s="12" t="s">
        <v>31</v>
      </c>
    </row>
    <row r="21" spans="1:20">
      <c r="A21">
        <v>20</v>
      </c>
      <c r="B21">
        <v>176.20672325465421</v>
      </c>
      <c r="D21" s="221">
        <v>145</v>
      </c>
      <c r="E21" s="8">
        <v>5</v>
      </c>
      <c r="F21" s="9">
        <v>2.5000000000000001E-2</v>
      </c>
      <c r="O21">
        <v>20</v>
      </c>
      <c r="P21">
        <v>170.29805450038111</v>
      </c>
      <c r="R21" s="221">
        <v>145</v>
      </c>
      <c r="S21" s="8">
        <v>6</v>
      </c>
      <c r="T21" s="9">
        <v>4.1666666666666664E-2</v>
      </c>
    </row>
    <row r="22" spans="1:20">
      <c r="A22">
        <v>21</v>
      </c>
      <c r="B22">
        <v>162.60736161784735</v>
      </c>
      <c r="D22" s="221">
        <v>150</v>
      </c>
      <c r="E22" s="8">
        <v>4</v>
      </c>
      <c r="F22" s="9">
        <v>4.4999999999999998E-2</v>
      </c>
      <c r="O22">
        <v>21</v>
      </c>
      <c r="P22">
        <v>180.22190930496436</v>
      </c>
      <c r="R22" s="221">
        <v>150</v>
      </c>
      <c r="S22" s="8">
        <v>4</v>
      </c>
      <c r="T22" s="9">
        <v>6.9444444444444448E-2</v>
      </c>
    </row>
    <row r="23" spans="1:20">
      <c r="A23">
        <v>22</v>
      </c>
      <c r="B23">
        <v>166.59681465243921</v>
      </c>
      <c r="D23" s="221">
        <v>155</v>
      </c>
      <c r="E23" s="8">
        <v>5</v>
      </c>
      <c r="F23" s="9">
        <v>7.0000000000000007E-2</v>
      </c>
      <c r="O23">
        <v>22</v>
      </c>
      <c r="P23">
        <v>157.09514160407707</v>
      </c>
      <c r="R23" s="221">
        <v>155</v>
      </c>
      <c r="S23" s="8">
        <v>10</v>
      </c>
      <c r="T23" s="9">
        <v>0.1388888888888889</v>
      </c>
    </row>
    <row r="24" spans="1:20">
      <c r="A24">
        <v>23</v>
      </c>
      <c r="B24">
        <v>170.48572304775007</v>
      </c>
      <c r="D24" s="221">
        <v>160</v>
      </c>
      <c r="E24" s="8">
        <v>14</v>
      </c>
      <c r="F24" s="9">
        <v>0.14000000000000001</v>
      </c>
      <c r="O24">
        <v>23</v>
      </c>
      <c r="P24">
        <v>187.53687287317007</v>
      </c>
      <c r="R24" s="221">
        <v>160</v>
      </c>
      <c r="S24" s="8">
        <v>12</v>
      </c>
      <c r="T24" s="9">
        <v>0.22222222222222221</v>
      </c>
    </row>
    <row r="25" spans="1:20">
      <c r="A25">
        <v>24</v>
      </c>
      <c r="B25">
        <v>164.7978568696999</v>
      </c>
      <c r="D25" s="221">
        <v>165</v>
      </c>
      <c r="E25" s="8">
        <v>16</v>
      </c>
      <c r="F25" s="9">
        <v>0.22</v>
      </c>
      <c r="O25">
        <v>24</v>
      </c>
      <c r="P25">
        <v>181.10679080637055</v>
      </c>
      <c r="R25" s="221">
        <v>165</v>
      </c>
      <c r="S25" s="8">
        <v>19</v>
      </c>
      <c r="T25" s="9">
        <v>0.35416666666666669</v>
      </c>
    </row>
    <row r="26" spans="1:20">
      <c r="A26">
        <v>25</v>
      </c>
      <c r="B26">
        <v>166.040562008493</v>
      </c>
      <c r="D26" s="221">
        <v>170</v>
      </c>
      <c r="E26" s="8">
        <v>25</v>
      </c>
      <c r="F26" s="9">
        <v>0.34499999999999997</v>
      </c>
      <c r="O26">
        <v>25</v>
      </c>
      <c r="P26">
        <v>147.48985437181545</v>
      </c>
      <c r="R26" s="221">
        <v>170</v>
      </c>
      <c r="S26" s="8">
        <v>16</v>
      </c>
      <c r="T26" s="9">
        <v>0.46527777777777779</v>
      </c>
    </row>
    <row r="27" spans="1:20">
      <c r="A27">
        <v>26</v>
      </c>
      <c r="B27">
        <v>174.60119794195634</v>
      </c>
      <c r="D27" s="221">
        <v>175</v>
      </c>
      <c r="E27" s="8">
        <v>29</v>
      </c>
      <c r="F27" s="9">
        <v>0.49</v>
      </c>
      <c r="O27">
        <v>26</v>
      </c>
      <c r="P27">
        <v>177.02975343199796</v>
      </c>
      <c r="R27" s="221">
        <v>175</v>
      </c>
      <c r="S27" s="8">
        <v>13</v>
      </c>
      <c r="T27" s="9">
        <v>0.55555555555555558</v>
      </c>
    </row>
    <row r="28" spans="1:20">
      <c r="A28">
        <v>27</v>
      </c>
      <c r="B28">
        <v>172.58738908894884</v>
      </c>
      <c r="D28" s="221">
        <v>180</v>
      </c>
      <c r="E28" s="8">
        <v>23</v>
      </c>
      <c r="F28" s="9">
        <v>0.60499999999999998</v>
      </c>
      <c r="O28">
        <v>27</v>
      </c>
      <c r="P28">
        <v>205.0378815154545</v>
      </c>
      <c r="R28" s="221">
        <v>180</v>
      </c>
      <c r="S28" s="8">
        <v>13</v>
      </c>
      <c r="T28" s="9">
        <v>0.64583333333333337</v>
      </c>
    </row>
    <row r="29" spans="1:20">
      <c r="A29">
        <v>28</v>
      </c>
      <c r="B29">
        <v>173.66774942347547</v>
      </c>
      <c r="D29" s="221">
        <v>185</v>
      </c>
      <c r="E29" s="8">
        <v>30</v>
      </c>
      <c r="F29" s="9">
        <v>0.755</v>
      </c>
      <c r="O29">
        <v>28</v>
      </c>
      <c r="P29">
        <v>171.99368800065713</v>
      </c>
      <c r="R29" s="221">
        <v>185</v>
      </c>
      <c r="S29" s="8">
        <v>19</v>
      </c>
      <c r="T29" s="9">
        <v>0.77777777777777779</v>
      </c>
    </row>
    <row r="30" spans="1:20">
      <c r="A30">
        <v>29</v>
      </c>
      <c r="B30">
        <v>182.81352582635009</v>
      </c>
      <c r="D30" s="221">
        <v>190</v>
      </c>
      <c r="E30" s="8">
        <v>14</v>
      </c>
      <c r="F30" s="9">
        <v>0.82499999999999996</v>
      </c>
      <c r="O30">
        <v>29</v>
      </c>
      <c r="P30">
        <v>165.88785216372344</v>
      </c>
      <c r="R30" s="221">
        <v>190</v>
      </c>
      <c r="S30" s="8">
        <v>14</v>
      </c>
      <c r="T30" s="9">
        <v>0.875</v>
      </c>
    </row>
    <row r="31" spans="1:20" ht="13" thickBot="1">
      <c r="A31">
        <v>30</v>
      </c>
      <c r="B31">
        <v>178.26904796565941</v>
      </c>
      <c r="D31" s="10" t="s">
        <v>32</v>
      </c>
      <c r="E31" s="10">
        <v>35</v>
      </c>
      <c r="F31" s="11">
        <v>1</v>
      </c>
      <c r="O31">
        <v>30</v>
      </c>
      <c r="P31">
        <v>156.2152736922144</v>
      </c>
      <c r="R31" s="10" t="s">
        <v>32</v>
      </c>
      <c r="S31" s="10">
        <v>18</v>
      </c>
      <c r="T31" s="11">
        <v>1</v>
      </c>
    </row>
    <row r="32" spans="1:20">
      <c r="A32">
        <v>31</v>
      </c>
      <c r="B32">
        <v>171.58627416465606</v>
      </c>
      <c r="E32">
        <f>SUM(E21:E31)</f>
        <v>200</v>
      </c>
      <c r="O32">
        <v>31</v>
      </c>
      <c r="P32">
        <v>163.86232788208872</v>
      </c>
      <c r="S32">
        <f>SUM(S21:S31)</f>
        <v>144</v>
      </c>
    </row>
    <row r="33" spans="1:20">
      <c r="A33">
        <v>32</v>
      </c>
      <c r="B33">
        <v>191.0847548613674</v>
      </c>
      <c r="O33">
        <v>32</v>
      </c>
      <c r="P33">
        <v>189.1745090331824</v>
      </c>
    </row>
    <row r="34" spans="1:20">
      <c r="A34">
        <v>33</v>
      </c>
      <c r="B34">
        <v>168.95671466118074</v>
      </c>
      <c r="O34">
        <v>33</v>
      </c>
      <c r="P34">
        <v>167.53268470056355</v>
      </c>
    </row>
    <row r="35" spans="1:20" ht="13" thickBot="1">
      <c r="A35">
        <v>34</v>
      </c>
      <c r="B35">
        <v>184.29219368117629</v>
      </c>
      <c r="O35">
        <v>34</v>
      </c>
      <c r="P35">
        <v>169.8048980513704</v>
      </c>
    </row>
    <row r="36" spans="1:20" ht="13">
      <c r="A36">
        <v>35</v>
      </c>
      <c r="B36">
        <v>170.79455334242084</v>
      </c>
      <c r="O36">
        <v>35</v>
      </c>
      <c r="P36">
        <v>180.935169156146</v>
      </c>
      <c r="R36" s="12" t="s">
        <v>29</v>
      </c>
      <c r="S36" s="12" t="s">
        <v>30</v>
      </c>
      <c r="T36" s="12" t="s">
        <v>31</v>
      </c>
    </row>
    <row r="37" spans="1:20" ht="13" thickBot="1">
      <c r="A37">
        <v>36</v>
      </c>
      <c r="B37">
        <v>120.83195075392723</v>
      </c>
      <c r="O37">
        <v>36</v>
      </c>
      <c r="P37">
        <v>186.70656105387025</v>
      </c>
      <c r="R37" s="221">
        <v>150</v>
      </c>
      <c r="S37" s="8">
        <v>10</v>
      </c>
      <c r="T37" s="9">
        <v>6.9444444444444448E-2</v>
      </c>
    </row>
    <row r="38" spans="1:20" ht="13">
      <c r="A38">
        <v>37</v>
      </c>
      <c r="B38">
        <v>179.20664036937524</v>
      </c>
      <c r="D38" s="12" t="s">
        <v>29</v>
      </c>
      <c r="E38" s="12" t="s">
        <v>30</v>
      </c>
      <c r="F38" s="12" t="s">
        <v>31</v>
      </c>
      <c r="O38">
        <v>37</v>
      </c>
      <c r="P38">
        <v>183.86634552443866</v>
      </c>
      <c r="R38" s="221">
        <v>155</v>
      </c>
      <c r="S38" s="8">
        <v>10</v>
      </c>
      <c r="T38" s="9">
        <v>0.1388888888888889</v>
      </c>
    </row>
    <row r="39" spans="1:20">
      <c r="A39">
        <v>38</v>
      </c>
      <c r="B39">
        <v>184.20754246180877</v>
      </c>
      <c r="D39" s="221">
        <v>150</v>
      </c>
      <c r="E39" s="8">
        <v>9</v>
      </c>
      <c r="F39" s="9">
        <v>4.4999999999999998E-2</v>
      </c>
      <c r="O39">
        <v>38</v>
      </c>
      <c r="P39">
        <v>160.23156818919233</v>
      </c>
      <c r="R39" s="221">
        <v>160</v>
      </c>
      <c r="S39" s="8">
        <v>12</v>
      </c>
      <c r="T39" s="9">
        <v>0.22222222222222221</v>
      </c>
    </row>
    <row r="40" spans="1:20">
      <c r="A40">
        <v>39</v>
      </c>
      <c r="B40">
        <v>182.88589886724367</v>
      </c>
      <c r="D40" s="221">
        <v>155</v>
      </c>
      <c r="E40" s="8">
        <v>5</v>
      </c>
      <c r="F40" s="9">
        <v>7.0000000000000007E-2</v>
      </c>
      <c r="O40">
        <v>39</v>
      </c>
      <c r="P40">
        <v>197.89689291501418</v>
      </c>
      <c r="R40" s="221">
        <v>165</v>
      </c>
      <c r="S40" s="8">
        <v>19</v>
      </c>
      <c r="T40" s="9">
        <v>0.35416666666666669</v>
      </c>
    </row>
    <row r="41" spans="1:20">
      <c r="A41">
        <v>40</v>
      </c>
      <c r="B41">
        <v>171.87885292587453</v>
      </c>
      <c r="D41" s="221">
        <v>160</v>
      </c>
      <c r="E41" s="8">
        <v>14</v>
      </c>
      <c r="F41" s="9">
        <v>0.14000000000000001</v>
      </c>
      <c r="O41">
        <v>40</v>
      </c>
      <c r="P41">
        <v>172.09430085204076</v>
      </c>
      <c r="R41" s="221">
        <v>170</v>
      </c>
      <c r="S41" s="8">
        <v>16</v>
      </c>
      <c r="T41" s="9">
        <v>0.46527777777777779</v>
      </c>
    </row>
    <row r="42" spans="1:20">
      <c r="A42">
        <v>41</v>
      </c>
      <c r="B42">
        <v>163.66485384496627</v>
      </c>
      <c r="D42" s="221">
        <v>165</v>
      </c>
      <c r="E42" s="8">
        <v>16</v>
      </c>
      <c r="F42" s="9">
        <v>0.22</v>
      </c>
      <c r="O42">
        <v>41</v>
      </c>
      <c r="P42">
        <v>167.2507981864328</v>
      </c>
      <c r="R42" s="221">
        <v>175</v>
      </c>
      <c r="S42" s="8">
        <v>13</v>
      </c>
      <c r="T42" s="9">
        <v>0.55555555555555558</v>
      </c>
    </row>
    <row r="43" spans="1:20">
      <c r="A43">
        <v>42</v>
      </c>
      <c r="B43">
        <v>195.29330516961636</v>
      </c>
      <c r="D43" s="221">
        <v>170</v>
      </c>
      <c r="E43" s="8">
        <v>25</v>
      </c>
      <c r="F43" s="9">
        <v>0.34499999999999997</v>
      </c>
      <c r="O43">
        <v>42</v>
      </c>
      <c r="P43">
        <v>171.85774128010962</v>
      </c>
      <c r="R43" s="221">
        <v>180</v>
      </c>
      <c r="S43" s="8">
        <v>13</v>
      </c>
      <c r="T43" s="9">
        <v>0.64583333333333337</v>
      </c>
    </row>
    <row r="44" spans="1:20">
      <c r="A44">
        <v>43</v>
      </c>
      <c r="B44">
        <v>158.61224697873695</v>
      </c>
      <c r="D44" s="221">
        <v>175</v>
      </c>
      <c r="E44" s="8">
        <v>29</v>
      </c>
      <c r="F44" s="9">
        <v>0.49</v>
      </c>
      <c r="O44">
        <v>43</v>
      </c>
      <c r="P44">
        <v>164.07586586938123</v>
      </c>
      <c r="R44" s="221">
        <v>185</v>
      </c>
      <c r="S44" s="8">
        <v>19</v>
      </c>
      <c r="T44" s="9">
        <v>0.77777777777777779</v>
      </c>
    </row>
    <row r="45" spans="1:20">
      <c r="A45">
        <v>44</v>
      </c>
      <c r="B45">
        <v>182.87536009738687</v>
      </c>
      <c r="D45" s="221">
        <v>180</v>
      </c>
      <c r="E45" s="8">
        <v>23</v>
      </c>
      <c r="F45" s="9">
        <v>0.60499999999999998</v>
      </c>
      <c r="O45">
        <v>44</v>
      </c>
      <c r="P45">
        <v>193.19598764996044</v>
      </c>
      <c r="R45" s="221">
        <v>190</v>
      </c>
      <c r="S45" s="8">
        <v>14</v>
      </c>
      <c r="T45" s="9">
        <v>0.875</v>
      </c>
    </row>
    <row r="46" spans="1:20">
      <c r="A46">
        <v>45</v>
      </c>
      <c r="B46">
        <v>180.71738496546459</v>
      </c>
      <c r="D46" s="221">
        <v>185</v>
      </c>
      <c r="E46" s="8">
        <v>30</v>
      </c>
      <c r="F46" s="9">
        <v>0.755</v>
      </c>
      <c r="O46">
        <v>45</v>
      </c>
      <c r="P46">
        <v>158.7532413948793</v>
      </c>
      <c r="R46" s="221">
        <v>195</v>
      </c>
      <c r="S46" s="8">
        <v>11</v>
      </c>
      <c r="T46" s="9">
        <v>0.95138888888888884</v>
      </c>
    </row>
    <row r="47" spans="1:20" ht="13" thickBot="1">
      <c r="A47">
        <v>46</v>
      </c>
      <c r="B47">
        <v>192.42058657328016</v>
      </c>
      <c r="D47" s="221">
        <v>190</v>
      </c>
      <c r="E47" s="8">
        <v>14</v>
      </c>
      <c r="F47" s="9">
        <v>0.82499999999999996</v>
      </c>
      <c r="O47">
        <v>46</v>
      </c>
      <c r="P47">
        <v>192.38460468914127</v>
      </c>
      <c r="R47" s="10" t="s">
        <v>32</v>
      </c>
      <c r="S47" s="10">
        <v>7</v>
      </c>
      <c r="T47" s="11">
        <v>1</v>
      </c>
    </row>
    <row r="48" spans="1:20">
      <c r="A48">
        <v>47</v>
      </c>
      <c r="B48">
        <v>161.39281102441601</v>
      </c>
      <c r="D48" s="221">
        <v>195</v>
      </c>
      <c r="E48" s="8">
        <v>14</v>
      </c>
      <c r="F48" s="9">
        <v>0.89500000000000002</v>
      </c>
      <c r="O48">
        <v>47</v>
      </c>
      <c r="P48">
        <v>180.06128685628937</v>
      </c>
      <c r="S48">
        <f>SUM(S37:S47)</f>
        <v>144</v>
      </c>
    </row>
    <row r="49" spans="1:16" ht="13" thickBot="1">
      <c r="A49">
        <v>48</v>
      </c>
      <c r="B49">
        <v>190.05809450463858</v>
      </c>
      <c r="D49" s="10" t="s">
        <v>32</v>
      </c>
      <c r="E49" s="10">
        <v>21</v>
      </c>
      <c r="F49" s="11">
        <v>1</v>
      </c>
      <c r="O49">
        <v>48</v>
      </c>
      <c r="P49">
        <v>140.17881299951114</v>
      </c>
    </row>
    <row r="50" spans="1:16">
      <c r="A50">
        <v>49</v>
      </c>
      <c r="B50">
        <v>180.07100708091457</v>
      </c>
      <c r="E50">
        <f>SUM(E39:E49)</f>
        <v>200</v>
      </c>
      <c r="O50">
        <v>49</v>
      </c>
      <c r="P50">
        <v>157.77613713071332</v>
      </c>
    </row>
    <row r="51" spans="1:16">
      <c r="A51">
        <v>50</v>
      </c>
      <c r="B51">
        <v>184.63666479947278</v>
      </c>
      <c r="O51">
        <v>50</v>
      </c>
      <c r="P51">
        <v>195.15094651142135</v>
      </c>
    </row>
    <row r="52" spans="1:16">
      <c r="A52">
        <v>51</v>
      </c>
      <c r="B52">
        <v>174.56332317196939</v>
      </c>
      <c r="O52">
        <v>51</v>
      </c>
      <c r="P52">
        <v>186.1815666059556</v>
      </c>
    </row>
    <row r="53" spans="1:16">
      <c r="A53">
        <v>52</v>
      </c>
      <c r="B53">
        <v>192.33975523166009</v>
      </c>
      <c r="O53">
        <v>52</v>
      </c>
      <c r="P53">
        <v>175.69733232521685</v>
      </c>
    </row>
    <row r="54" spans="1:16">
      <c r="A54">
        <v>53</v>
      </c>
      <c r="B54">
        <v>172.67221083857294</v>
      </c>
      <c r="O54">
        <v>53</v>
      </c>
      <c r="P54">
        <v>179.45547811978031</v>
      </c>
    </row>
    <row r="55" spans="1:16">
      <c r="A55">
        <v>54</v>
      </c>
      <c r="B55">
        <v>166.26179091035738</v>
      </c>
      <c r="O55">
        <v>54</v>
      </c>
      <c r="P55">
        <v>169.58747197422781</v>
      </c>
    </row>
    <row r="56" spans="1:16">
      <c r="A56">
        <v>55</v>
      </c>
      <c r="B56">
        <v>209.23701855354011</v>
      </c>
      <c r="O56">
        <v>55</v>
      </c>
      <c r="P56">
        <v>171.59686409358983</v>
      </c>
    </row>
    <row r="57" spans="1:16">
      <c r="A57">
        <v>56</v>
      </c>
      <c r="B57">
        <v>176.63898334903934</v>
      </c>
      <c r="O57">
        <v>56</v>
      </c>
      <c r="P57">
        <v>165.40562670415966</v>
      </c>
    </row>
    <row r="58" spans="1:16">
      <c r="A58">
        <v>57</v>
      </c>
      <c r="B58">
        <v>153.29149833705742</v>
      </c>
      <c r="O58">
        <v>57</v>
      </c>
      <c r="P58">
        <v>164.67896317481063</v>
      </c>
    </row>
    <row r="59" spans="1:16">
      <c r="A59">
        <v>58</v>
      </c>
      <c r="B59">
        <v>178.12701331495191</v>
      </c>
      <c r="O59">
        <v>58</v>
      </c>
      <c r="P59">
        <v>183.77630554896314</v>
      </c>
    </row>
    <row r="60" spans="1:16">
      <c r="A60">
        <v>59</v>
      </c>
      <c r="B60">
        <v>166.040562008493</v>
      </c>
      <c r="O60">
        <v>59</v>
      </c>
      <c r="P60">
        <v>148.63452166609932</v>
      </c>
    </row>
    <row r="61" spans="1:16">
      <c r="A61">
        <v>60</v>
      </c>
      <c r="B61">
        <v>168.53236717070104</v>
      </c>
      <c r="O61">
        <v>60</v>
      </c>
      <c r="P61">
        <v>137.64268702361733</v>
      </c>
    </row>
    <row r="62" spans="1:16">
      <c r="A62">
        <v>61</v>
      </c>
      <c r="B62">
        <v>156.9799654687813</v>
      </c>
      <c r="O62">
        <v>61</v>
      </c>
      <c r="P62">
        <v>177.87179773295065</v>
      </c>
    </row>
    <row r="63" spans="1:16">
      <c r="A63">
        <v>62</v>
      </c>
      <c r="B63">
        <v>163.52542830718448</v>
      </c>
      <c r="O63">
        <v>62</v>
      </c>
      <c r="P63">
        <v>191.04604449312319</v>
      </c>
    </row>
    <row r="64" spans="1:16">
      <c r="A64">
        <v>63</v>
      </c>
      <c r="B64">
        <v>181.17292243987322</v>
      </c>
      <c r="O64">
        <v>63</v>
      </c>
      <c r="P64">
        <v>167.49370148390881</v>
      </c>
    </row>
    <row r="65" spans="1:16">
      <c r="A65">
        <v>64</v>
      </c>
      <c r="B65">
        <v>182.34675040803268</v>
      </c>
      <c r="O65">
        <v>64</v>
      </c>
      <c r="P65">
        <v>190.72838073116145</v>
      </c>
    </row>
    <row r="66" spans="1:16">
      <c r="A66">
        <v>65</v>
      </c>
      <c r="B66">
        <v>180.01029830957123</v>
      </c>
      <c r="O66">
        <v>65</v>
      </c>
      <c r="P66">
        <v>185.33266698868829</v>
      </c>
    </row>
    <row r="67" spans="1:16">
      <c r="A67">
        <v>66</v>
      </c>
      <c r="B67">
        <v>158.00703509812593</v>
      </c>
      <c r="O67">
        <v>66</v>
      </c>
      <c r="P67">
        <v>162.83993078177446</v>
      </c>
    </row>
    <row r="68" spans="1:16">
      <c r="A68">
        <v>67</v>
      </c>
      <c r="B68">
        <v>197.6426664085011</v>
      </c>
      <c r="O68">
        <v>67</v>
      </c>
      <c r="P68">
        <v>168.63298002208467</v>
      </c>
    </row>
    <row r="69" spans="1:16">
      <c r="A69">
        <v>68</v>
      </c>
      <c r="B69">
        <v>165.68693341541803</v>
      </c>
      <c r="O69">
        <v>68</v>
      </c>
      <c r="P69">
        <v>187.01085524371592</v>
      </c>
    </row>
    <row r="70" spans="1:16">
      <c r="A70">
        <v>69</v>
      </c>
      <c r="B70">
        <v>171.49081132702122</v>
      </c>
      <c r="O70">
        <v>69</v>
      </c>
      <c r="P70">
        <v>205.05493454111274</v>
      </c>
    </row>
    <row r="71" spans="1:16">
      <c r="A71">
        <v>70</v>
      </c>
      <c r="B71">
        <v>180.38070707989391</v>
      </c>
      <c r="O71">
        <v>70</v>
      </c>
      <c r="P71">
        <v>185.19781166178291</v>
      </c>
    </row>
    <row r="72" spans="1:16">
      <c r="A72">
        <v>71</v>
      </c>
      <c r="B72">
        <v>201.67768512765178</v>
      </c>
      <c r="O72">
        <v>71</v>
      </c>
      <c r="P72">
        <v>162.51186467416119</v>
      </c>
    </row>
    <row r="73" spans="1:16">
      <c r="A73">
        <v>72</v>
      </c>
      <c r="B73">
        <v>163.53774059170973</v>
      </c>
      <c r="O73">
        <v>72</v>
      </c>
      <c r="P73">
        <v>167.44554373944993</v>
      </c>
    </row>
    <row r="74" spans="1:16" ht="13" thickBot="1">
      <c r="A74">
        <v>73</v>
      </c>
      <c r="B74">
        <v>188.72710585201276</v>
      </c>
      <c r="O74">
        <v>73</v>
      </c>
      <c r="P74">
        <v>176.15837792691309</v>
      </c>
    </row>
    <row r="75" spans="1:16" ht="13">
      <c r="A75">
        <v>74</v>
      </c>
      <c r="B75">
        <v>173.76102947382606</v>
      </c>
      <c r="D75" s="229" t="s">
        <v>68</v>
      </c>
      <c r="E75" s="229"/>
      <c r="F75" s="22" t="s">
        <v>69</v>
      </c>
      <c r="I75" s="229" t="s">
        <v>33</v>
      </c>
      <c r="J75" s="229"/>
      <c r="K75" s="22" t="s">
        <v>69</v>
      </c>
      <c r="O75">
        <v>74</v>
      </c>
      <c r="P75">
        <v>169.6462025945948</v>
      </c>
    </row>
    <row r="76" spans="1:16">
      <c r="A76">
        <v>75</v>
      </c>
      <c r="B76">
        <v>175.375831632482</v>
      </c>
      <c r="D76" s="8"/>
      <c r="E76" s="8"/>
      <c r="I76" s="8"/>
      <c r="J76" s="8"/>
      <c r="O76">
        <v>75</v>
      </c>
      <c r="P76">
        <v>164.15202468197094</v>
      </c>
    </row>
    <row r="77" spans="1:16" ht="13">
      <c r="A77">
        <v>76</v>
      </c>
      <c r="B77">
        <v>171.75914068575366</v>
      </c>
      <c r="D77" s="230" t="s">
        <v>2</v>
      </c>
      <c r="E77" s="230">
        <v>175.64291697299268</v>
      </c>
      <c r="F77" s="22" t="s">
        <v>70</v>
      </c>
      <c r="G77" s="23">
        <f>E77</f>
        <v>175.64291697299268</v>
      </c>
      <c r="H77" s="22" t="s">
        <v>71</v>
      </c>
      <c r="I77" s="230" t="s">
        <v>2</v>
      </c>
      <c r="J77" s="230">
        <v>172.18275075129745</v>
      </c>
      <c r="K77" s="22" t="s">
        <v>70</v>
      </c>
      <c r="L77" s="23">
        <f>J77</f>
        <v>172.18275075129745</v>
      </c>
      <c r="O77">
        <v>76</v>
      </c>
      <c r="P77">
        <v>141.41290636034682</v>
      </c>
    </row>
    <row r="78" spans="1:16">
      <c r="A78">
        <v>77</v>
      </c>
      <c r="B78">
        <v>173.05822312737291</v>
      </c>
      <c r="D78" s="232" t="s">
        <v>3</v>
      </c>
      <c r="E78" s="232">
        <v>1.0480049924875217</v>
      </c>
      <c r="F78" s="22" t="s">
        <v>72</v>
      </c>
      <c r="G78">
        <f>E78</f>
        <v>1.0480049924875217</v>
      </c>
      <c r="I78" s="232" t="s">
        <v>3</v>
      </c>
      <c r="J78" s="232">
        <v>1.3015343243322215</v>
      </c>
      <c r="K78" s="22" t="s">
        <v>72</v>
      </c>
      <c r="L78">
        <f>J78</f>
        <v>1.3015343243322215</v>
      </c>
      <c r="O78">
        <v>77</v>
      </c>
      <c r="P78">
        <v>174.6367876065051</v>
      </c>
    </row>
    <row r="79" spans="1:16">
      <c r="A79">
        <v>78</v>
      </c>
      <c r="B79">
        <v>194.97970002776128</v>
      </c>
      <c r="D79" s="230" t="s">
        <v>4</v>
      </c>
      <c r="E79" s="230">
        <v>175.22090489437687</v>
      </c>
      <c r="F79" s="22" t="s">
        <v>73</v>
      </c>
      <c r="G79">
        <f>E79</f>
        <v>175.22090489437687</v>
      </c>
      <c r="I79" s="230" t="s">
        <v>4</v>
      </c>
      <c r="J79" s="230">
        <v>171.92571464038338</v>
      </c>
      <c r="K79" s="22" t="s">
        <v>73</v>
      </c>
      <c r="L79">
        <f>J79</f>
        <v>171.92571464038338</v>
      </c>
      <c r="O79">
        <v>78</v>
      </c>
      <c r="P79">
        <v>161.72541323685437</v>
      </c>
    </row>
    <row r="80" spans="1:16">
      <c r="A80">
        <v>79</v>
      </c>
      <c r="B80">
        <v>152.29260030610021</v>
      </c>
      <c r="D80" s="231" t="s">
        <v>5</v>
      </c>
      <c r="E80" s="231">
        <v>166.040562008493</v>
      </c>
      <c r="F80" s="236" t="s">
        <v>74</v>
      </c>
      <c r="G80">
        <f t="shared" ref="G80:G82" si="0">E80</f>
        <v>166.040562008493</v>
      </c>
      <c r="I80" s="231" t="s">
        <v>5</v>
      </c>
      <c r="J80" s="231">
        <v>147.48985437181545</v>
      </c>
      <c r="K80" s="236" t="s">
        <v>74</v>
      </c>
      <c r="L80">
        <f t="shared" ref="L80:L82" si="1">J80</f>
        <v>147.48985437181545</v>
      </c>
      <c r="O80">
        <v>79</v>
      </c>
      <c r="P80">
        <v>182.45302486393484</v>
      </c>
    </row>
    <row r="81" spans="1:16" ht="13">
      <c r="A81">
        <v>80</v>
      </c>
      <c r="B81">
        <v>189.11898438163917</v>
      </c>
      <c r="D81" s="232" t="s">
        <v>6</v>
      </c>
      <c r="E81" s="232">
        <v>14.821028738105669</v>
      </c>
      <c r="F81" s="22" t="s">
        <v>75</v>
      </c>
      <c r="G81" s="23">
        <f t="shared" si="0"/>
        <v>14.821028738105669</v>
      </c>
      <c r="H81" s="22" t="s">
        <v>71</v>
      </c>
      <c r="I81" s="232" t="s">
        <v>6</v>
      </c>
      <c r="J81" s="232">
        <v>15.618411891986659</v>
      </c>
      <c r="K81" s="22" t="s">
        <v>75</v>
      </c>
      <c r="L81" s="23">
        <f t="shared" si="1"/>
        <v>15.618411891986659</v>
      </c>
      <c r="O81">
        <v>80</v>
      </c>
      <c r="P81">
        <v>156.2152736922144</v>
      </c>
    </row>
    <row r="82" spans="1:16" ht="16.5">
      <c r="A82">
        <v>81</v>
      </c>
      <c r="B82">
        <v>192.144259345514</v>
      </c>
      <c r="D82" s="232" t="s">
        <v>7</v>
      </c>
      <c r="E82" s="232">
        <v>219.66289285575414</v>
      </c>
      <c r="F82" s="22" t="s">
        <v>76</v>
      </c>
      <c r="G82">
        <f t="shared" si="0"/>
        <v>219.66289285575414</v>
      </c>
      <c r="H82" s="22" t="s">
        <v>77</v>
      </c>
      <c r="I82" s="232" t="s">
        <v>7</v>
      </c>
      <c r="J82" s="232">
        <v>243.9347900277503</v>
      </c>
      <c r="K82" s="22" t="s">
        <v>76</v>
      </c>
      <c r="L82">
        <f t="shared" si="1"/>
        <v>243.9347900277503</v>
      </c>
      <c r="O82">
        <v>81</v>
      </c>
      <c r="P82">
        <v>165.20056407061929</v>
      </c>
    </row>
    <row r="83" spans="1:16">
      <c r="A83">
        <v>82</v>
      </c>
      <c r="B83">
        <v>196.01577365465346</v>
      </c>
      <c r="D83" s="234" t="s">
        <v>8</v>
      </c>
      <c r="E83" s="234">
        <v>0.40642568603007767</v>
      </c>
      <c r="I83" s="234" t="s">
        <v>8</v>
      </c>
      <c r="J83" s="234">
        <v>-6.4470256072806542E-2</v>
      </c>
      <c r="O83">
        <v>82</v>
      </c>
      <c r="P83">
        <v>158.25536125776125</v>
      </c>
    </row>
    <row r="84" spans="1:16">
      <c r="A84">
        <v>83</v>
      </c>
      <c r="B84">
        <v>171.42357124685077</v>
      </c>
      <c r="D84" s="234" t="s">
        <v>9</v>
      </c>
      <c r="E84" s="234">
        <v>-0.27381010938673234</v>
      </c>
      <c r="I84" s="234" t="s">
        <v>9</v>
      </c>
      <c r="J84" s="234">
        <v>0.1382275488156923</v>
      </c>
      <c r="O84">
        <v>83</v>
      </c>
      <c r="P84">
        <v>156.5425894666987</v>
      </c>
    </row>
    <row r="85" spans="1:16">
      <c r="A85">
        <v>84</v>
      </c>
      <c r="B85">
        <v>176.69440568242862</v>
      </c>
      <c r="D85" s="8" t="s">
        <v>10</v>
      </c>
      <c r="E85" s="8">
        <v>88.40506779961288</v>
      </c>
      <c r="I85" s="8" t="s">
        <v>10</v>
      </c>
      <c r="J85" s="8">
        <v>84.18410288868472</v>
      </c>
      <c r="O85">
        <v>84</v>
      </c>
      <c r="P85">
        <v>181.63932269162615</v>
      </c>
    </row>
    <row r="86" spans="1:16">
      <c r="A86">
        <v>85</v>
      </c>
      <c r="B86">
        <v>171.25687792104145</v>
      </c>
      <c r="D86" s="28" t="s">
        <v>11</v>
      </c>
      <c r="E86" s="28">
        <v>120.83195075392723</v>
      </c>
      <c r="I86" s="28" t="s">
        <v>11</v>
      </c>
      <c r="J86" s="28">
        <v>137.27434166939929</v>
      </c>
      <c r="O86">
        <v>85</v>
      </c>
      <c r="P86">
        <v>188.70964355373872</v>
      </c>
    </row>
    <row r="87" spans="1:16">
      <c r="A87">
        <v>86</v>
      </c>
      <c r="B87">
        <v>182.77150717112818</v>
      </c>
      <c r="D87" s="28" t="s">
        <v>12</v>
      </c>
      <c r="E87" s="28">
        <v>209.23701855354011</v>
      </c>
      <c r="I87" s="28" t="s">
        <v>12</v>
      </c>
      <c r="J87" s="28">
        <v>221.45844455808401</v>
      </c>
      <c r="O87">
        <v>86</v>
      </c>
      <c r="P87">
        <v>162.97809439565754</v>
      </c>
    </row>
    <row r="88" spans="1:16">
      <c r="A88">
        <v>87</v>
      </c>
      <c r="B88">
        <v>174.6367876065051</v>
      </c>
      <c r="D88" s="8" t="s">
        <v>13</v>
      </c>
      <c r="E88" s="8">
        <v>35128.583394598536</v>
      </c>
      <c r="I88" s="8" t="s">
        <v>13</v>
      </c>
      <c r="J88" s="8">
        <v>24794.316108186831</v>
      </c>
      <c r="O88">
        <v>87</v>
      </c>
      <c r="P88">
        <v>185.74241708920454</v>
      </c>
    </row>
    <row r="89" spans="1:16">
      <c r="A89">
        <v>88</v>
      </c>
      <c r="B89">
        <v>173.35179096407956</v>
      </c>
      <c r="D89" s="28" t="s">
        <v>14</v>
      </c>
      <c r="E89" s="28">
        <v>200</v>
      </c>
      <c r="I89" s="28" t="s">
        <v>14</v>
      </c>
      <c r="J89" s="28">
        <v>144</v>
      </c>
      <c r="O89">
        <v>88</v>
      </c>
      <c r="P89">
        <v>160.58882907673251</v>
      </c>
    </row>
    <row r="90" spans="1:16">
      <c r="A90">
        <v>89</v>
      </c>
      <c r="B90">
        <v>191.02776364961755</v>
      </c>
      <c r="D90" s="233" t="s">
        <v>78</v>
      </c>
      <c r="E90" s="233">
        <v>202.18361429288052</v>
      </c>
      <c r="I90" s="233" t="s">
        <v>78</v>
      </c>
      <c r="J90" s="233">
        <v>201.49549060151912</v>
      </c>
      <c r="O90">
        <v>89</v>
      </c>
      <c r="P90">
        <v>185.49182287715666</v>
      </c>
    </row>
    <row r="91" spans="1:16">
      <c r="A91">
        <v>90</v>
      </c>
      <c r="B91">
        <v>179.09456788474927</v>
      </c>
      <c r="D91" s="233" t="s">
        <v>79</v>
      </c>
      <c r="E91" s="233">
        <v>143.16595739801414</v>
      </c>
      <c r="I91" s="233" t="s">
        <v>79</v>
      </c>
      <c r="J91" s="233">
        <v>143.12202880391851</v>
      </c>
      <c r="O91">
        <v>90</v>
      </c>
      <c r="P91">
        <v>184.51988567976514</v>
      </c>
    </row>
    <row r="92" spans="1:16" ht="13.5" thickBot="1">
      <c r="A92">
        <v>91</v>
      </c>
      <c r="B92">
        <v>163.41594788245857</v>
      </c>
      <c r="D92" s="235" t="s">
        <v>15</v>
      </c>
      <c r="E92" s="235">
        <v>2.0666203033442798</v>
      </c>
      <c r="I92" s="235" t="s">
        <v>15</v>
      </c>
      <c r="J92" s="235">
        <v>2.5727327442453336</v>
      </c>
      <c r="O92">
        <v>91</v>
      </c>
      <c r="P92">
        <v>147.86952293507056</v>
      </c>
    </row>
    <row r="93" spans="1:16">
      <c r="A93">
        <v>92</v>
      </c>
      <c r="B93">
        <v>142.46664692182094</v>
      </c>
      <c r="O93">
        <v>92</v>
      </c>
      <c r="P93">
        <v>177.11663859772671</v>
      </c>
    </row>
    <row r="94" spans="1:16">
      <c r="A94">
        <v>93</v>
      </c>
      <c r="B94">
        <v>194.8165025722119</v>
      </c>
      <c r="D94" s="22" t="s">
        <v>80</v>
      </c>
      <c r="I94" s="22" t="s">
        <v>80</v>
      </c>
      <c r="O94">
        <v>93</v>
      </c>
      <c r="P94">
        <v>175.40911913856689</v>
      </c>
    </row>
    <row r="95" spans="1:16">
      <c r="A95">
        <v>94</v>
      </c>
      <c r="B95">
        <v>169.82560042451951</v>
      </c>
      <c r="F95" s="22" t="s">
        <v>81</v>
      </c>
      <c r="O95">
        <v>94</v>
      </c>
      <c r="P95">
        <v>160.46635424645501</v>
      </c>
    </row>
    <row r="96" spans="1:16">
      <c r="A96">
        <v>95</v>
      </c>
      <c r="B96">
        <v>172.66755536256824</v>
      </c>
      <c r="D96" s="22" t="s">
        <v>82</v>
      </c>
      <c r="I96" s="22" t="s">
        <v>82</v>
      </c>
      <c r="O96">
        <v>95</v>
      </c>
      <c r="P96">
        <v>166.14458546500828</v>
      </c>
    </row>
    <row r="97" spans="1:16" ht="17.5">
      <c r="A97">
        <v>96</v>
      </c>
      <c r="B97">
        <v>169.23570216094959</v>
      </c>
      <c r="D97" s="120" t="s">
        <v>83</v>
      </c>
      <c r="I97" s="120" t="s">
        <v>83</v>
      </c>
      <c r="O97">
        <v>96</v>
      </c>
      <c r="P97">
        <v>172.51528889646579</v>
      </c>
    </row>
    <row r="98" spans="1:16" ht="13">
      <c r="A98">
        <v>97</v>
      </c>
      <c r="B98">
        <v>162.18598135383218</v>
      </c>
      <c r="D98" s="149" t="s">
        <v>16</v>
      </c>
      <c r="E98">
        <f>E77-E92</f>
        <v>173.5762966696484</v>
      </c>
      <c r="I98" s="149" t="s">
        <v>16</v>
      </c>
      <c r="J98">
        <f>J77-J92</f>
        <v>169.6100180070521</v>
      </c>
      <c r="O98">
        <v>97</v>
      </c>
      <c r="P98">
        <v>162.97331954847323</v>
      </c>
    </row>
    <row r="99" spans="1:16" ht="13">
      <c r="A99">
        <v>98</v>
      </c>
      <c r="B99">
        <v>160.67232069035526</v>
      </c>
      <c r="D99" s="149" t="s">
        <v>17</v>
      </c>
      <c r="E99">
        <f>E77+E92</f>
        <v>177.70953727633696</v>
      </c>
      <c r="I99" s="149" t="s">
        <v>17</v>
      </c>
      <c r="J99">
        <f>J77+J92</f>
        <v>174.75548349554279</v>
      </c>
      <c r="O99">
        <v>98</v>
      </c>
      <c r="P99">
        <v>171.04697222821414</v>
      </c>
    </row>
    <row r="100" spans="1:16" ht="13">
      <c r="A100">
        <v>99</v>
      </c>
      <c r="B100">
        <v>169.93508084924542</v>
      </c>
      <c r="D100" s="237" t="s">
        <v>84</v>
      </c>
      <c r="E100" s="23">
        <f>E92</f>
        <v>2.0666203033442798</v>
      </c>
      <c r="I100" s="237" t="s">
        <v>84</v>
      </c>
      <c r="J100" s="23">
        <f>J92</f>
        <v>2.5727327442453336</v>
      </c>
      <c r="O100">
        <v>99</v>
      </c>
      <c r="P100">
        <v>183.15196017356357</v>
      </c>
    </row>
    <row r="101" spans="1:16">
      <c r="A101">
        <v>100</v>
      </c>
      <c r="B101">
        <v>175.41142129703076</v>
      </c>
      <c r="O101">
        <v>100</v>
      </c>
      <c r="P101">
        <v>137.27434166939929</v>
      </c>
    </row>
    <row r="102" spans="1:16">
      <c r="A102">
        <v>101</v>
      </c>
      <c r="B102">
        <v>202.64077180472668</v>
      </c>
      <c r="D102" s="22" t="s">
        <v>85</v>
      </c>
      <c r="O102">
        <v>101</v>
      </c>
      <c r="P102">
        <v>144.91941770829726</v>
      </c>
    </row>
    <row r="103" spans="1:16">
      <c r="A103">
        <v>102</v>
      </c>
      <c r="B103">
        <v>168.86701574621839</v>
      </c>
      <c r="D103" s="22" t="s">
        <v>86</v>
      </c>
      <c r="E103">
        <v>0.05</v>
      </c>
      <c r="F103" s="18">
        <v>0.05</v>
      </c>
      <c r="I103" s="22" t="s">
        <v>86</v>
      </c>
      <c r="J103">
        <v>0.05</v>
      </c>
      <c r="O103">
        <v>102</v>
      </c>
      <c r="P103">
        <v>159.84279331023572</v>
      </c>
    </row>
    <row r="104" spans="1:16">
      <c r="A104">
        <v>103</v>
      </c>
      <c r="B104">
        <v>176.19637206807965</v>
      </c>
      <c r="D104" s="22" t="s">
        <v>53</v>
      </c>
      <c r="E104">
        <f>1-E103/2</f>
        <v>0.97499999999999998</v>
      </c>
      <c r="F104" s="125" t="s">
        <v>87</v>
      </c>
      <c r="I104" s="22" t="s">
        <v>53</v>
      </c>
      <c r="J104">
        <f>1-J103/2</f>
        <v>0.97499999999999998</v>
      </c>
      <c r="O104">
        <v>103</v>
      </c>
      <c r="P104">
        <v>164.45976358299959</v>
      </c>
    </row>
    <row r="105" spans="1:16">
      <c r="A105">
        <v>104</v>
      </c>
      <c r="B105">
        <v>188.22206344411825</v>
      </c>
      <c r="D105" s="22" t="s">
        <v>54</v>
      </c>
      <c r="E105">
        <f>E89</f>
        <v>200</v>
      </c>
      <c r="I105" s="22" t="s">
        <v>54</v>
      </c>
      <c r="J105">
        <f>J89</f>
        <v>144</v>
      </c>
      <c r="O105">
        <v>104</v>
      </c>
      <c r="P105">
        <v>192.33975523166009</v>
      </c>
    </row>
    <row r="106" spans="1:16">
      <c r="A106">
        <v>105</v>
      </c>
      <c r="B106">
        <v>174.19695596872771</v>
      </c>
      <c r="D106" s="22" t="s">
        <v>88</v>
      </c>
      <c r="E106">
        <f>_xlfn.T.INV(E104,E105-1)</f>
        <v>1.9719565442517553</v>
      </c>
      <c r="F106" s="125" t="s">
        <v>89</v>
      </c>
      <c r="I106" s="22" t="s">
        <v>90</v>
      </c>
      <c r="J106">
        <f>_xlfn.T.INV(J104,J105-1)</f>
        <v>1.9766921979297982</v>
      </c>
      <c r="O106">
        <v>105</v>
      </c>
      <c r="P106">
        <v>180.71368445889675</v>
      </c>
    </row>
    <row r="107" spans="1:16">
      <c r="A107">
        <v>106</v>
      </c>
      <c r="B107">
        <v>161.8320287532697</v>
      </c>
      <c r="D107" s="232" t="s">
        <v>91</v>
      </c>
      <c r="E107" s="232">
        <f>E78</f>
        <v>1.0480049924875217</v>
      </c>
      <c r="F107" s="232">
        <f>E81/SQRT(E105)</f>
        <v>1.0480049924875217</v>
      </c>
      <c r="I107" s="22" t="s">
        <v>91</v>
      </c>
      <c r="J107">
        <f>J78</f>
        <v>1.3015343243322215</v>
      </c>
      <c r="K107" s="232">
        <f>J81/SQRT(J105)</f>
        <v>1.3015343243322215</v>
      </c>
      <c r="O107">
        <v>106</v>
      </c>
      <c r="P107">
        <v>189.20141870767111</v>
      </c>
    </row>
    <row r="108" spans="1:16" ht="13">
      <c r="A108">
        <v>107</v>
      </c>
      <c r="B108">
        <v>184.31586328078993</v>
      </c>
      <c r="D108" s="237" t="s">
        <v>84</v>
      </c>
      <c r="E108" s="23">
        <f>E106*E107</f>
        <v>2.0666203033442798</v>
      </c>
      <c r="I108" s="237" t="s">
        <v>84</v>
      </c>
      <c r="J108" s="23">
        <f>J106*J107</f>
        <v>2.5727327442453336</v>
      </c>
      <c r="O108">
        <v>107</v>
      </c>
      <c r="P108">
        <v>188.6349171953043</v>
      </c>
    </row>
    <row r="109" spans="1:16" ht="13">
      <c r="A109">
        <v>108</v>
      </c>
      <c r="B109">
        <v>159.23976421690895</v>
      </c>
      <c r="D109" s="149" t="s">
        <v>16</v>
      </c>
      <c r="E109">
        <f>E77-E108</f>
        <v>173.5762966696484</v>
      </c>
      <c r="I109" s="149" t="s">
        <v>16</v>
      </c>
      <c r="J109">
        <f>J77-J108</f>
        <v>169.6100180070521</v>
      </c>
      <c r="O109">
        <v>108</v>
      </c>
      <c r="P109">
        <v>181.41981614535325</v>
      </c>
    </row>
    <row r="110" spans="1:16" ht="13">
      <c r="A110">
        <v>109</v>
      </c>
      <c r="B110">
        <v>168.20847905437404</v>
      </c>
      <c r="D110" s="149" t="s">
        <v>17</v>
      </c>
      <c r="E110">
        <f>E77+E108</f>
        <v>177.70953727633696</v>
      </c>
      <c r="I110" s="149" t="s">
        <v>17</v>
      </c>
      <c r="J110">
        <f>J77+J108</f>
        <v>174.75548349554279</v>
      </c>
      <c r="O110">
        <v>109</v>
      </c>
      <c r="P110">
        <v>172.67221083857294</v>
      </c>
    </row>
    <row r="111" spans="1:16">
      <c r="A111">
        <v>110</v>
      </c>
      <c r="B111">
        <v>155.58021901670145</v>
      </c>
      <c r="O111">
        <v>110</v>
      </c>
      <c r="P111">
        <v>178.20562776323641</v>
      </c>
    </row>
    <row r="112" spans="1:16" ht="13">
      <c r="A112">
        <v>111</v>
      </c>
      <c r="B112">
        <v>195.86076165142003</v>
      </c>
      <c r="D112" s="194" t="s">
        <v>92</v>
      </c>
      <c r="I112" s="194" t="s">
        <v>92</v>
      </c>
      <c r="O112">
        <v>111</v>
      </c>
      <c r="P112">
        <v>194.48894805536838</v>
      </c>
    </row>
    <row r="113" spans="1:16">
      <c r="A113">
        <v>112</v>
      </c>
      <c r="B113">
        <v>169.55193346875603</v>
      </c>
      <c r="D113" s="22" t="s">
        <v>88</v>
      </c>
      <c r="E113">
        <f>E106</f>
        <v>1.9719565442517553</v>
      </c>
      <c r="I113" s="22" t="s">
        <v>90</v>
      </c>
      <c r="J113">
        <f>J106</f>
        <v>1.9766921979297982</v>
      </c>
      <c r="O113">
        <v>112</v>
      </c>
      <c r="P113">
        <v>175.78005655268498</v>
      </c>
    </row>
    <row r="114" spans="1:16">
      <c r="A114">
        <v>113</v>
      </c>
      <c r="B114">
        <v>166.040562008493</v>
      </c>
      <c r="D114" t="s">
        <v>55</v>
      </c>
      <c r="E114">
        <f>_xlfn.NORM.S.INV(E104)</f>
        <v>1.9599639845400536</v>
      </c>
      <c r="I114" t="s">
        <v>55</v>
      </c>
      <c r="J114">
        <f>_xlfn.NORM.S.INV(J104)</f>
        <v>1.9599639845400536</v>
      </c>
      <c r="O114">
        <v>113</v>
      </c>
      <c r="P114">
        <v>184.65076765169215</v>
      </c>
    </row>
    <row r="115" spans="1:16" ht="13">
      <c r="A115">
        <v>114</v>
      </c>
      <c r="B115">
        <v>183.22655010779272</v>
      </c>
      <c r="D115" s="237" t="s">
        <v>84</v>
      </c>
      <c r="E115" s="23">
        <f>E107*E114</f>
        <v>2.054052040893712</v>
      </c>
      <c r="I115" s="237" t="s">
        <v>84</v>
      </c>
      <c r="J115" s="23">
        <f>J107*J114</f>
        <v>2.5509604003338273</v>
      </c>
      <c r="O115">
        <v>114</v>
      </c>
      <c r="P115">
        <v>165.90026676640264</v>
      </c>
    </row>
    <row r="116" spans="1:16">
      <c r="A116">
        <v>115</v>
      </c>
      <c r="B116">
        <v>180.81869699090021</v>
      </c>
      <c r="O116">
        <v>115</v>
      </c>
      <c r="P116">
        <v>150.47972725442378</v>
      </c>
    </row>
    <row r="117" spans="1:16">
      <c r="A117">
        <v>116</v>
      </c>
      <c r="B117">
        <v>175.58594196161721</v>
      </c>
      <c r="D117" s="22" t="s">
        <v>80</v>
      </c>
      <c r="O117">
        <v>116</v>
      </c>
      <c r="P117">
        <v>161.33905988754123</v>
      </c>
    </row>
    <row r="118" spans="1:16">
      <c r="A118">
        <v>117</v>
      </c>
      <c r="B118">
        <v>199.33876034046989</v>
      </c>
      <c r="O118">
        <v>117</v>
      </c>
      <c r="P118">
        <v>179.97753944728174</v>
      </c>
    </row>
    <row r="119" spans="1:16">
      <c r="A119">
        <v>118</v>
      </c>
      <c r="B119">
        <v>149.09522620728239</v>
      </c>
      <c r="D119" s="22" t="s">
        <v>93</v>
      </c>
      <c r="I119" s="22" t="s">
        <v>93</v>
      </c>
      <c r="O119">
        <v>118</v>
      </c>
      <c r="P119">
        <v>177.74800981969747</v>
      </c>
    </row>
    <row r="120" spans="1:16">
      <c r="A120">
        <v>119</v>
      </c>
      <c r="B120">
        <v>165.77305119499215</v>
      </c>
      <c r="D120" s="22" t="s">
        <v>54</v>
      </c>
      <c r="E120">
        <f>E105</f>
        <v>200</v>
      </c>
      <c r="I120" s="22" t="s">
        <v>54</v>
      </c>
      <c r="J120">
        <f>J105</f>
        <v>144</v>
      </c>
      <c r="O120">
        <v>119</v>
      </c>
      <c r="P120">
        <v>163.11206296522869</v>
      </c>
    </row>
    <row r="121" spans="1:16">
      <c r="A121">
        <v>120</v>
      </c>
      <c r="B121">
        <v>166.52556711123907</v>
      </c>
      <c r="D121" s="22" t="s">
        <v>94</v>
      </c>
      <c r="E121">
        <f>E120-1</f>
        <v>199</v>
      </c>
      <c r="I121" s="22" t="s">
        <v>94</v>
      </c>
      <c r="J121">
        <f>J120-1</f>
        <v>143</v>
      </c>
      <c r="O121">
        <v>120</v>
      </c>
      <c r="P121">
        <v>151.59724613185972</v>
      </c>
    </row>
    <row r="122" spans="1:16" ht="14.5">
      <c r="A122">
        <v>121</v>
      </c>
      <c r="B122">
        <v>191.8068140737887</v>
      </c>
      <c r="D122" s="22" t="s">
        <v>95</v>
      </c>
      <c r="E122">
        <f>E82</f>
        <v>219.66289285575414</v>
      </c>
      <c r="I122" s="22" t="s">
        <v>95</v>
      </c>
      <c r="J122">
        <f>J82</f>
        <v>243.9347900277503</v>
      </c>
      <c r="O122">
        <v>121</v>
      </c>
      <c r="P122">
        <v>168.03767594938108</v>
      </c>
    </row>
    <row r="123" spans="1:16">
      <c r="A123">
        <v>122</v>
      </c>
      <c r="B123">
        <v>168.80582949015661</v>
      </c>
      <c r="D123" s="240" t="s">
        <v>86</v>
      </c>
      <c r="E123" s="241">
        <v>0.05</v>
      </c>
      <c r="F123" s="242">
        <v>0.05</v>
      </c>
      <c r="I123" s="240" t="s">
        <v>86</v>
      </c>
      <c r="J123" s="241">
        <v>0.05</v>
      </c>
      <c r="K123" s="242">
        <v>0.05</v>
      </c>
      <c r="O123">
        <v>122</v>
      </c>
      <c r="P123">
        <v>181.17667410551803</v>
      </c>
    </row>
    <row r="124" spans="1:16">
      <c r="A124">
        <v>123</v>
      </c>
      <c r="B124">
        <v>175.16810872693895</v>
      </c>
      <c r="D124" s="22" t="s">
        <v>52</v>
      </c>
      <c r="E124">
        <f>E123/2</f>
        <v>2.5000000000000001E-2</v>
      </c>
      <c r="I124" s="22" t="s">
        <v>52</v>
      </c>
      <c r="J124">
        <f>J123/2</f>
        <v>2.5000000000000001E-2</v>
      </c>
      <c r="O124">
        <v>123</v>
      </c>
      <c r="P124">
        <v>153.95049546059454</v>
      </c>
    </row>
    <row r="125" spans="1:16">
      <c r="A125">
        <v>124</v>
      </c>
      <c r="B125">
        <v>164.55355522411992</v>
      </c>
      <c r="D125" s="22" t="s">
        <v>53</v>
      </c>
      <c r="E125">
        <f>1-E124</f>
        <v>0.97499999999999998</v>
      </c>
      <c r="I125" s="22" t="s">
        <v>53</v>
      </c>
      <c r="J125">
        <f>1-J124</f>
        <v>0.97499999999999998</v>
      </c>
      <c r="O125">
        <v>124</v>
      </c>
      <c r="P125">
        <v>150.78033799072728</v>
      </c>
    </row>
    <row r="126" spans="1:16">
      <c r="A126">
        <v>125</v>
      </c>
      <c r="B126">
        <v>170.58527861154289</v>
      </c>
      <c r="D126" s="22" t="s">
        <v>96</v>
      </c>
      <c r="E126" s="219">
        <f>_xlfn.CHISQ.INV(E125,E121)</f>
        <v>239.9596818276442</v>
      </c>
      <c r="I126" s="22" t="s">
        <v>97</v>
      </c>
      <c r="J126" s="219">
        <f>_xlfn.CHISQ.INV(J125,J121)</f>
        <v>177.99783138591962</v>
      </c>
      <c r="O126">
        <v>125</v>
      </c>
      <c r="P126">
        <v>160.04787299680174</v>
      </c>
    </row>
    <row r="127" spans="1:16">
      <c r="A127">
        <v>126</v>
      </c>
      <c r="B127">
        <v>188.49327476418694</v>
      </c>
      <c r="D127" s="22" t="s">
        <v>98</v>
      </c>
      <c r="E127" s="219">
        <f>_xlfn.CHISQ.INV(E124,E121)</f>
        <v>161.82618239364686</v>
      </c>
      <c r="I127" s="22" t="s">
        <v>99</v>
      </c>
      <c r="J127" s="219">
        <f>_xlfn.CHISQ.INV(J124,J121)</f>
        <v>111.78695148703305</v>
      </c>
      <c r="O127">
        <v>126</v>
      </c>
      <c r="P127">
        <v>191.03792725290987</v>
      </c>
    </row>
    <row r="128" spans="1:16" ht="13">
      <c r="A128">
        <v>127</v>
      </c>
      <c r="B128">
        <v>190.05809450463858</v>
      </c>
      <c r="D128" s="149" t="s">
        <v>100</v>
      </c>
      <c r="E128" s="239">
        <f>E121*E122/E126</f>
        <v>182.1677514545662</v>
      </c>
      <c r="I128" s="149" t="s">
        <v>100</v>
      </c>
      <c r="J128" s="239">
        <f>J121*J122/J126</f>
        <v>195.97247170016735</v>
      </c>
      <c r="O128">
        <v>127</v>
      </c>
      <c r="P128">
        <v>147.48985437181545</v>
      </c>
    </row>
    <row r="129" spans="1:16" ht="13">
      <c r="A129">
        <v>128</v>
      </c>
      <c r="B129">
        <v>181.86534349370049</v>
      </c>
      <c r="D129" s="149" t="s">
        <v>101</v>
      </c>
      <c r="E129" s="239">
        <f>E121*E122/E127</f>
        <v>270.12264042639373</v>
      </c>
      <c r="I129" s="149" t="s">
        <v>101</v>
      </c>
      <c r="J129" s="239">
        <f>J121*J122/J127</f>
        <v>312.04603497944549</v>
      </c>
      <c r="O129">
        <v>128</v>
      </c>
      <c r="P129">
        <v>163.80025486869272</v>
      </c>
    </row>
    <row r="130" spans="1:16">
      <c r="A130">
        <v>129</v>
      </c>
      <c r="B130">
        <v>200.50621047703316</v>
      </c>
      <c r="O130">
        <v>129</v>
      </c>
      <c r="P130">
        <v>182.0032513121987</v>
      </c>
    </row>
    <row r="131" spans="1:16" ht="13">
      <c r="A131">
        <v>130</v>
      </c>
      <c r="B131">
        <v>179.62967477687926</v>
      </c>
      <c r="D131" s="149" t="s">
        <v>102</v>
      </c>
      <c r="E131" s="239">
        <f>SQRT(E128)</f>
        <v>13.496953413810326</v>
      </c>
      <c r="I131" s="149" t="s">
        <v>102</v>
      </c>
      <c r="J131" s="239">
        <f>SQRT(J128)</f>
        <v>13.999016811911019</v>
      </c>
      <c r="O131">
        <v>130</v>
      </c>
      <c r="P131">
        <v>184.58734744926915</v>
      </c>
    </row>
    <row r="132" spans="1:16" ht="13">
      <c r="A132">
        <v>131</v>
      </c>
      <c r="B132">
        <v>176.05827666629921</v>
      </c>
      <c r="D132" s="149" t="s">
        <v>103</v>
      </c>
      <c r="E132" s="239">
        <f>SQRT(E129)</f>
        <v>16.435408130812991</v>
      </c>
      <c r="I132" s="149" t="s">
        <v>103</v>
      </c>
      <c r="J132" s="239">
        <f>SQRT(J129)</f>
        <v>17.6648247933413</v>
      </c>
      <c r="O132">
        <v>131</v>
      </c>
      <c r="P132">
        <v>172.04750734963454</v>
      </c>
    </row>
    <row r="133" spans="1:16">
      <c r="A133">
        <v>132</v>
      </c>
      <c r="B133">
        <v>185.18478315018001</v>
      </c>
      <c r="O133">
        <v>132</v>
      </c>
      <c r="P133">
        <v>159.30538425964187</v>
      </c>
    </row>
    <row r="134" spans="1:16">
      <c r="A134">
        <v>133</v>
      </c>
      <c r="B134">
        <v>184.57046495386749</v>
      </c>
      <c r="O134">
        <v>133</v>
      </c>
      <c r="P134">
        <v>191.76175997999962</v>
      </c>
    </row>
    <row r="135" spans="1:16">
      <c r="A135">
        <v>134</v>
      </c>
      <c r="B135">
        <v>175.40911913856689</v>
      </c>
      <c r="O135">
        <v>134</v>
      </c>
      <c r="P135">
        <v>183.2732753980963</v>
      </c>
    </row>
    <row r="136" spans="1:16">
      <c r="A136">
        <v>135</v>
      </c>
      <c r="B136">
        <v>184.85774022410624</v>
      </c>
      <c r="O136">
        <v>135</v>
      </c>
      <c r="P136">
        <v>192.24384901535814</v>
      </c>
    </row>
    <row r="137" spans="1:16">
      <c r="A137">
        <v>136</v>
      </c>
      <c r="B137">
        <v>197.4368022827548</v>
      </c>
      <c r="O137">
        <v>136</v>
      </c>
      <c r="P137">
        <v>150.80141553044086</v>
      </c>
    </row>
    <row r="138" spans="1:16">
      <c r="A138">
        <v>137</v>
      </c>
      <c r="B138">
        <v>159.21384361790842</v>
      </c>
      <c r="O138">
        <v>137</v>
      </c>
      <c r="P138">
        <v>210.93086148612201</v>
      </c>
    </row>
    <row r="139" spans="1:16">
      <c r="A139">
        <v>138</v>
      </c>
      <c r="B139">
        <v>149.7624769952381</v>
      </c>
      <c r="O139">
        <v>138</v>
      </c>
      <c r="P139">
        <v>160.44984691761783</v>
      </c>
    </row>
    <row r="140" spans="1:16">
      <c r="A140">
        <v>139</v>
      </c>
      <c r="B140">
        <v>182.77150717112818</v>
      </c>
      <c r="O140">
        <v>139</v>
      </c>
      <c r="P140">
        <v>185.15591237774061</v>
      </c>
    </row>
    <row r="141" spans="1:16">
      <c r="A141">
        <v>140</v>
      </c>
      <c r="B141">
        <v>158.89484971994534</v>
      </c>
      <c r="O141">
        <v>140</v>
      </c>
      <c r="P141">
        <v>169.76833636435913</v>
      </c>
    </row>
    <row r="142" spans="1:16">
      <c r="A142">
        <v>141</v>
      </c>
      <c r="B142">
        <v>202.18361429288052</v>
      </c>
      <c r="O142">
        <v>141</v>
      </c>
      <c r="P142">
        <v>173.58248429518426</v>
      </c>
    </row>
    <row r="143" spans="1:16">
      <c r="A143">
        <v>142</v>
      </c>
      <c r="B143">
        <v>188.07377033299417</v>
      </c>
      <c r="O143">
        <v>142</v>
      </c>
      <c r="P143">
        <v>150.77187969000079</v>
      </c>
    </row>
    <row r="144" spans="1:16">
      <c r="A144">
        <v>143</v>
      </c>
      <c r="B144">
        <v>172.09430085204076</v>
      </c>
      <c r="O144">
        <v>143</v>
      </c>
      <c r="P144">
        <v>159.88863184320508</v>
      </c>
    </row>
    <row r="145" spans="1:16">
      <c r="A145">
        <v>144</v>
      </c>
      <c r="B145">
        <v>181.80552147969138</v>
      </c>
      <c r="O145">
        <v>144</v>
      </c>
      <c r="P145">
        <v>170.49051494796004</v>
      </c>
    </row>
    <row r="146" spans="1:16">
      <c r="A146">
        <v>145</v>
      </c>
      <c r="B146">
        <v>157.39796923371614</v>
      </c>
    </row>
    <row r="147" spans="1:16">
      <c r="A147">
        <v>146</v>
      </c>
      <c r="B147">
        <v>182.81352582635009</v>
      </c>
    </row>
    <row r="148" spans="1:16">
      <c r="A148">
        <v>147</v>
      </c>
      <c r="B148">
        <v>150.76765053963754</v>
      </c>
    </row>
    <row r="149" spans="1:16">
      <c r="A149">
        <v>148</v>
      </c>
      <c r="B149">
        <v>169.70242642019002</v>
      </c>
    </row>
    <row r="150" spans="1:16">
      <c r="A150">
        <v>149</v>
      </c>
      <c r="B150">
        <v>160.76082589352154</v>
      </c>
    </row>
    <row r="151" spans="1:16">
      <c r="A151">
        <v>150</v>
      </c>
      <c r="B151">
        <v>181.3005472838995</v>
      </c>
    </row>
    <row r="152" spans="1:16">
      <c r="A152">
        <v>151</v>
      </c>
      <c r="B152">
        <v>187.62660589418374</v>
      </c>
    </row>
    <row r="153" spans="1:16">
      <c r="A153">
        <v>152</v>
      </c>
      <c r="B153">
        <v>183.22388983579003</v>
      </c>
    </row>
    <row r="154" spans="1:16">
      <c r="A154">
        <v>153</v>
      </c>
      <c r="B154">
        <v>156.83511706884019</v>
      </c>
    </row>
    <row r="155" spans="1:16">
      <c r="A155">
        <v>154</v>
      </c>
      <c r="B155">
        <v>191.69549192229169</v>
      </c>
    </row>
    <row r="156" spans="1:16">
      <c r="A156">
        <v>155</v>
      </c>
      <c r="B156">
        <v>184.78381535787776</v>
      </c>
    </row>
    <row r="157" spans="1:16">
      <c r="A157">
        <v>156</v>
      </c>
      <c r="B157">
        <v>168.51852011386654</v>
      </c>
    </row>
    <row r="158" spans="1:16">
      <c r="A158">
        <v>157</v>
      </c>
      <c r="B158">
        <v>168.54495230363682</v>
      </c>
    </row>
    <row r="159" spans="1:16">
      <c r="A159">
        <v>158</v>
      </c>
      <c r="B159">
        <v>201.44105734361801</v>
      </c>
    </row>
    <row r="160" spans="1:16">
      <c r="A160">
        <v>159</v>
      </c>
      <c r="B160">
        <v>165.87956439325353</v>
      </c>
    </row>
    <row r="161" spans="1:2">
      <c r="A161">
        <v>160</v>
      </c>
      <c r="B161">
        <v>182.25503923604265</v>
      </c>
    </row>
    <row r="162" spans="1:2">
      <c r="A162">
        <v>161</v>
      </c>
      <c r="B162">
        <v>182.41410985938273</v>
      </c>
    </row>
    <row r="163" spans="1:2">
      <c r="A163">
        <v>162</v>
      </c>
      <c r="B163">
        <v>179.28308908340114</v>
      </c>
    </row>
    <row r="164" spans="1:2">
      <c r="A164">
        <v>163</v>
      </c>
      <c r="B164">
        <v>180.69640974390495</v>
      </c>
    </row>
    <row r="165" spans="1:2">
      <c r="A165">
        <v>164</v>
      </c>
      <c r="B165">
        <v>181.89975649947883</v>
      </c>
    </row>
    <row r="166" spans="1:2">
      <c r="A166">
        <v>165</v>
      </c>
      <c r="B166">
        <v>207.93034751550294</v>
      </c>
    </row>
    <row r="167" spans="1:2">
      <c r="A167">
        <v>166</v>
      </c>
      <c r="B167">
        <v>164.07586586938123</v>
      </c>
    </row>
    <row r="168" spans="1:2">
      <c r="A168">
        <v>167</v>
      </c>
      <c r="B168">
        <v>171.51910229658824</v>
      </c>
    </row>
    <row r="169" spans="1:2">
      <c r="A169">
        <v>168</v>
      </c>
      <c r="B169">
        <v>168.28213107219199</v>
      </c>
    </row>
    <row r="170" spans="1:2">
      <c r="A170">
        <v>169</v>
      </c>
      <c r="B170">
        <v>201.77311385923531</v>
      </c>
    </row>
    <row r="171" spans="1:2">
      <c r="A171">
        <v>170</v>
      </c>
      <c r="B171">
        <v>185.80331344383012</v>
      </c>
    </row>
    <row r="172" spans="1:2">
      <c r="A172">
        <v>171</v>
      </c>
      <c r="B172">
        <v>177.97588940156857</v>
      </c>
    </row>
    <row r="173" spans="1:2">
      <c r="A173">
        <v>172</v>
      </c>
      <c r="B173">
        <v>152.40030721615767</v>
      </c>
    </row>
    <row r="174" spans="1:2">
      <c r="A174">
        <v>173</v>
      </c>
      <c r="B174">
        <v>158.94375779753318</v>
      </c>
    </row>
    <row r="175" spans="1:2">
      <c r="A175">
        <v>174</v>
      </c>
      <c r="B175">
        <v>193.49659838626394</v>
      </c>
    </row>
    <row r="176" spans="1:2">
      <c r="A176">
        <v>175</v>
      </c>
      <c r="B176">
        <v>186.34432068283786</v>
      </c>
    </row>
    <row r="177" spans="1:2">
      <c r="A177">
        <v>176</v>
      </c>
      <c r="B177">
        <v>159.17588358279318</v>
      </c>
    </row>
    <row r="178" spans="1:2">
      <c r="A178">
        <v>177</v>
      </c>
      <c r="B178">
        <v>172.51528889646579</v>
      </c>
    </row>
    <row r="179" spans="1:2">
      <c r="A179">
        <v>178</v>
      </c>
      <c r="B179">
        <v>199.70997060299851</v>
      </c>
    </row>
    <row r="180" spans="1:2">
      <c r="A180">
        <v>179</v>
      </c>
      <c r="B180">
        <v>170.89707613267819</v>
      </c>
    </row>
    <row r="181" spans="1:2">
      <c r="A181">
        <v>180</v>
      </c>
      <c r="B181">
        <v>202.06594841583865</v>
      </c>
    </row>
    <row r="182" spans="1:2">
      <c r="A182">
        <v>181</v>
      </c>
      <c r="B182">
        <v>168.64928271461395</v>
      </c>
    </row>
    <row r="183" spans="1:2">
      <c r="A183">
        <v>182</v>
      </c>
      <c r="B183">
        <v>163.52542830718448</v>
      </c>
    </row>
    <row r="184" spans="1:2">
      <c r="A184">
        <v>183</v>
      </c>
      <c r="B184">
        <v>177.02627461476368</v>
      </c>
    </row>
    <row r="185" spans="1:2">
      <c r="A185">
        <v>184</v>
      </c>
      <c r="B185">
        <v>140.37935658125207</v>
      </c>
    </row>
    <row r="186" spans="1:2">
      <c r="A186">
        <v>185</v>
      </c>
      <c r="B186">
        <v>196.71832420572173</v>
      </c>
    </row>
    <row r="187" spans="1:2">
      <c r="A187">
        <v>186</v>
      </c>
      <c r="B187">
        <v>149.65783962979913</v>
      </c>
    </row>
    <row r="188" spans="1:2">
      <c r="A188">
        <v>187</v>
      </c>
      <c r="B188">
        <v>188.10903599005542</v>
      </c>
    </row>
    <row r="189" spans="1:2">
      <c r="A189">
        <v>188</v>
      </c>
      <c r="B189">
        <v>150.06902218447067</v>
      </c>
    </row>
    <row r="190" spans="1:2">
      <c r="A190">
        <v>189</v>
      </c>
      <c r="B190">
        <v>173.33908645996416</v>
      </c>
    </row>
    <row r="191" spans="1:2">
      <c r="A191">
        <v>190</v>
      </c>
      <c r="B191">
        <v>172.15390117671632</v>
      </c>
    </row>
    <row r="192" spans="1:2">
      <c r="A192">
        <v>191</v>
      </c>
      <c r="B192">
        <v>178.28785745296045</v>
      </c>
    </row>
    <row r="193" spans="1:2">
      <c r="A193">
        <v>192</v>
      </c>
      <c r="B193">
        <v>157.48221118046786</v>
      </c>
    </row>
    <row r="194" spans="1:2">
      <c r="A194">
        <v>193</v>
      </c>
      <c r="B194">
        <v>199.89455255272333</v>
      </c>
    </row>
    <row r="195" spans="1:2">
      <c r="A195">
        <v>194</v>
      </c>
      <c r="B195">
        <v>185.38802110997494</v>
      </c>
    </row>
    <row r="196" spans="1:2">
      <c r="A196">
        <v>195</v>
      </c>
      <c r="B196">
        <v>158.70361709021381</v>
      </c>
    </row>
    <row r="197" spans="1:2">
      <c r="A197">
        <v>196</v>
      </c>
      <c r="B197">
        <v>155.93812791921664</v>
      </c>
    </row>
    <row r="198" spans="1:2">
      <c r="A198">
        <v>197</v>
      </c>
      <c r="B198">
        <v>175.22090489437687</v>
      </c>
    </row>
    <row r="199" spans="1:2">
      <c r="A199">
        <v>198</v>
      </c>
      <c r="B199">
        <v>191.66141997702653</v>
      </c>
    </row>
    <row r="200" spans="1:2">
      <c r="A200">
        <v>199</v>
      </c>
      <c r="B200">
        <v>145.08053469471633</v>
      </c>
    </row>
    <row r="201" spans="1:2">
      <c r="A201">
        <v>200</v>
      </c>
      <c r="B201">
        <v>175.22090489437687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4B15E-1097-4F6B-B217-4376F26D0CFA}">
  <sheetPr>
    <tabColor rgb="FFFFFF00"/>
  </sheetPr>
  <dimension ref="A1:T201"/>
  <sheetViews>
    <sheetView zoomScaleNormal="100" workbookViewId="0">
      <pane ySplit="1" topLeftCell="A119" activePane="bottomLeft" state="frozen"/>
      <selection pane="bottomLeft" activeCell="K108" sqref="K108"/>
    </sheetView>
  </sheetViews>
  <sheetFormatPr defaultRowHeight="12.5"/>
  <cols>
    <col min="2" max="2" width="13.90625" bestFit="1" customWidth="1"/>
    <col min="4" max="4" width="31.08984375" bestFit="1" customWidth="1"/>
    <col min="5" max="5" width="12.453125" bestFit="1" customWidth="1"/>
    <col min="6" max="6" width="12.90625" bestFit="1" customWidth="1"/>
    <col min="9" max="9" width="31.08984375" bestFit="1" customWidth="1"/>
    <col min="10" max="10" width="12.90625" bestFit="1" customWidth="1"/>
    <col min="16" max="16" width="13.90625" bestFit="1" customWidth="1"/>
  </cols>
  <sheetData>
    <row r="1" spans="1:16" ht="13">
      <c r="A1" s="227" t="s">
        <v>26</v>
      </c>
      <c r="B1" s="227" t="s">
        <v>68</v>
      </c>
      <c r="K1" s="261" t="s">
        <v>28</v>
      </c>
      <c r="L1" s="261" t="s">
        <v>29</v>
      </c>
      <c r="O1" s="227" t="s">
        <v>26</v>
      </c>
      <c r="P1" s="227" t="s">
        <v>33</v>
      </c>
    </row>
    <row r="2" spans="1:16">
      <c r="A2">
        <v>1</v>
      </c>
      <c r="B2">
        <v>161.31470816690126</v>
      </c>
      <c r="K2">
        <v>145</v>
      </c>
      <c r="L2">
        <v>150</v>
      </c>
      <c r="O2">
        <v>1</v>
      </c>
      <c r="P2">
        <v>187.96340315093403</v>
      </c>
    </row>
    <row r="3" spans="1:16">
      <c r="A3">
        <v>2</v>
      </c>
      <c r="B3">
        <v>188.21189984082594</v>
      </c>
      <c r="K3">
        <v>150</v>
      </c>
      <c r="L3">
        <v>155</v>
      </c>
      <c r="O3">
        <v>2</v>
      </c>
      <c r="P3">
        <v>181.24294216322596</v>
      </c>
    </row>
    <row r="4" spans="1:16">
      <c r="A4">
        <v>3</v>
      </c>
      <c r="B4">
        <v>161.63008682342479</v>
      </c>
      <c r="K4">
        <v>155</v>
      </c>
      <c r="L4">
        <v>160</v>
      </c>
      <c r="O4">
        <v>3</v>
      </c>
      <c r="P4">
        <v>192.2483169080806</v>
      </c>
    </row>
    <row r="5" spans="1:16">
      <c r="A5">
        <v>4</v>
      </c>
      <c r="B5">
        <v>173.18427909303864</v>
      </c>
      <c r="K5">
        <v>160</v>
      </c>
      <c r="L5">
        <v>165</v>
      </c>
      <c r="O5">
        <v>4</v>
      </c>
      <c r="P5">
        <v>173.58364390092902</v>
      </c>
    </row>
    <row r="6" spans="1:16">
      <c r="A6">
        <v>5</v>
      </c>
      <c r="B6">
        <v>167.83382408066245</v>
      </c>
      <c r="K6">
        <v>165</v>
      </c>
      <c r="L6">
        <v>170</v>
      </c>
      <c r="O6">
        <v>5</v>
      </c>
      <c r="P6">
        <v>159.41605839616386</v>
      </c>
    </row>
    <row r="7" spans="1:16">
      <c r="A7">
        <v>6</v>
      </c>
      <c r="B7">
        <v>193.30424025683897</v>
      </c>
      <c r="K7">
        <v>170</v>
      </c>
      <c r="L7">
        <v>175</v>
      </c>
      <c r="O7">
        <v>6</v>
      </c>
      <c r="P7">
        <v>175.08893152880773</v>
      </c>
    </row>
    <row r="8" spans="1:16">
      <c r="A8">
        <v>7</v>
      </c>
      <c r="B8">
        <v>135.48063621856272</v>
      </c>
      <c r="K8">
        <v>175</v>
      </c>
      <c r="L8">
        <v>180</v>
      </c>
      <c r="O8">
        <v>7</v>
      </c>
      <c r="P8">
        <v>221.45844455808401</v>
      </c>
    </row>
    <row r="9" spans="1:16">
      <c r="A9">
        <v>8</v>
      </c>
      <c r="B9">
        <v>187.75296881431132</v>
      </c>
      <c r="K9">
        <v>180</v>
      </c>
      <c r="L9">
        <v>185</v>
      </c>
      <c r="O9">
        <v>8</v>
      </c>
      <c r="P9">
        <v>190.37678144813981</v>
      </c>
    </row>
    <row r="10" spans="1:16">
      <c r="A10">
        <v>9</v>
      </c>
      <c r="B10">
        <v>197.58898348372895</v>
      </c>
      <c r="K10">
        <v>185</v>
      </c>
      <c r="L10">
        <v>190</v>
      </c>
      <c r="O10">
        <v>9</v>
      </c>
      <c r="P10">
        <v>180.24875076735043</v>
      </c>
    </row>
    <row r="11" spans="1:16">
      <c r="A11">
        <v>10</v>
      </c>
      <c r="B11">
        <v>174.66204313750495</v>
      </c>
      <c r="K11">
        <v>190</v>
      </c>
      <c r="L11">
        <v>195</v>
      </c>
      <c r="O11">
        <v>10</v>
      </c>
      <c r="P11">
        <v>154.66938281024341</v>
      </c>
    </row>
    <row r="12" spans="1:16">
      <c r="A12">
        <v>11</v>
      </c>
      <c r="B12">
        <v>178.96847781303222</v>
      </c>
      <c r="O12">
        <v>11</v>
      </c>
      <c r="P12">
        <v>154.97285845485749</v>
      </c>
    </row>
    <row r="13" spans="1:16">
      <c r="A13">
        <v>12</v>
      </c>
      <c r="B13">
        <v>188.60718897558399</v>
      </c>
      <c r="O13">
        <v>12</v>
      </c>
      <c r="P13">
        <v>179.0886334318202</v>
      </c>
    </row>
    <row r="14" spans="1:16">
      <c r="A14">
        <v>13</v>
      </c>
      <c r="B14">
        <v>179.48306991529535</v>
      </c>
      <c r="O14">
        <v>13</v>
      </c>
      <c r="P14">
        <v>154.02702943974873</v>
      </c>
    </row>
    <row r="15" spans="1:16">
      <c r="A15">
        <v>14</v>
      </c>
      <c r="B15">
        <v>143.16595739801414</v>
      </c>
      <c r="O15">
        <v>14</v>
      </c>
      <c r="P15">
        <v>151.81566128449049</v>
      </c>
    </row>
    <row r="16" spans="1:16">
      <c r="A16">
        <v>15</v>
      </c>
      <c r="B16">
        <v>202.17774805205408</v>
      </c>
      <c r="O16">
        <v>15</v>
      </c>
      <c r="P16">
        <v>169.66944586856698</v>
      </c>
    </row>
    <row r="17" spans="1:20">
      <c r="A17">
        <v>16</v>
      </c>
      <c r="B17">
        <v>205.00377546413802</v>
      </c>
      <c r="O17">
        <v>16</v>
      </c>
      <c r="P17">
        <v>160.53228124364978</v>
      </c>
    </row>
    <row r="18" spans="1:20">
      <c r="A18">
        <v>17</v>
      </c>
      <c r="B18">
        <v>184.12043560674647</v>
      </c>
      <c r="O18">
        <v>17</v>
      </c>
      <c r="P18">
        <v>143.12202880391851</v>
      </c>
    </row>
    <row r="19" spans="1:20" ht="13" thickBot="1">
      <c r="A19">
        <v>18</v>
      </c>
      <c r="B19">
        <v>166.2658665834897</v>
      </c>
      <c r="O19">
        <v>18</v>
      </c>
      <c r="P19">
        <v>201.49549060151912</v>
      </c>
    </row>
    <row r="20" spans="1:20" ht="13">
      <c r="A20">
        <v>19</v>
      </c>
      <c r="B20">
        <v>173.23859297976014</v>
      </c>
      <c r="D20" s="12" t="s">
        <v>28</v>
      </c>
      <c r="E20" s="12" t="s">
        <v>30</v>
      </c>
      <c r="F20" s="12" t="s">
        <v>31</v>
      </c>
      <c r="O20">
        <v>19</v>
      </c>
      <c r="P20">
        <v>155.86585719647701</v>
      </c>
      <c r="R20" s="12" t="s">
        <v>28</v>
      </c>
      <c r="S20" s="12" t="s">
        <v>30</v>
      </c>
      <c r="T20" s="12" t="s">
        <v>31</v>
      </c>
    </row>
    <row r="21" spans="1:20">
      <c r="A21">
        <v>20</v>
      </c>
      <c r="B21">
        <v>176.20672325465421</v>
      </c>
      <c r="D21" s="221">
        <v>145</v>
      </c>
      <c r="E21" s="8">
        <v>5</v>
      </c>
      <c r="F21" s="9">
        <v>2.5000000000000001E-2</v>
      </c>
      <c r="O21">
        <v>20</v>
      </c>
      <c r="P21">
        <v>170.29805450038111</v>
      </c>
      <c r="R21" s="221">
        <v>145</v>
      </c>
      <c r="S21" s="8">
        <v>6</v>
      </c>
      <c r="T21" s="9">
        <v>4.1666666666666664E-2</v>
      </c>
    </row>
    <row r="22" spans="1:20">
      <c r="A22">
        <v>21</v>
      </c>
      <c r="B22">
        <v>162.60736161784735</v>
      </c>
      <c r="D22" s="221">
        <v>150</v>
      </c>
      <c r="E22" s="8">
        <v>4</v>
      </c>
      <c r="F22" s="9">
        <v>4.4999999999999998E-2</v>
      </c>
      <c r="O22">
        <v>21</v>
      </c>
      <c r="P22">
        <v>180.22190930496436</v>
      </c>
      <c r="R22" s="221">
        <v>150</v>
      </c>
      <c r="S22" s="8">
        <v>4</v>
      </c>
      <c r="T22" s="9">
        <v>6.9444444444444448E-2</v>
      </c>
    </row>
    <row r="23" spans="1:20">
      <c r="A23">
        <v>22</v>
      </c>
      <c r="B23">
        <v>166.59681465243921</v>
      </c>
      <c r="D23" s="221">
        <v>155</v>
      </c>
      <c r="E23" s="8">
        <v>5</v>
      </c>
      <c r="F23" s="9">
        <v>7.0000000000000007E-2</v>
      </c>
      <c r="O23">
        <v>22</v>
      </c>
      <c r="P23">
        <v>157.09514160407707</v>
      </c>
      <c r="R23" s="221">
        <v>155</v>
      </c>
      <c r="S23" s="8">
        <v>10</v>
      </c>
      <c r="T23" s="9">
        <v>0.1388888888888889</v>
      </c>
    </row>
    <row r="24" spans="1:20">
      <c r="A24">
        <v>23</v>
      </c>
      <c r="B24">
        <v>170.48572304775007</v>
      </c>
      <c r="D24" s="221">
        <v>160</v>
      </c>
      <c r="E24" s="8">
        <v>14</v>
      </c>
      <c r="F24" s="9">
        <v>0.14000000000000001</v>
      </c>
      <c r="O24">
        <v>23</v>
      </c>
      <c r="P24">
        <v>187.53687287317007</v>
      </c>
      <c r="R24" s="221">
        <v>160</v>
      </c>
      <c r="S24" s="8">
        <v>12</v>
      </c>
      <c r="T24" s="9">
        <v>0.22222222222222221</v>
      </c>
    </row>
    <row r="25" spans="1:20">
      <c r="A25">
        <v>24</v>
      </c>
      <c r="B25">
        <v>164.7978568696999</v>
      </c>
      <c r="D25" s="221">
        <v>165</v>
      </c>
      <c r="E25" s="8">
        <v>16</v>
      </c>
      <c r="F25" s="9">
        <v>0.22</v>
      </c>
      <c r="O25">
        <v>24</v>
      </c>
      <c r="P25">
        <v>181.10679080637055</v>
      </c>
      <c r="R25" s="221">
        <v>165</v>
      </c>
      <c r="S25" s="8">
        <v>19</v>
      </c>
      <c r="T25" s="9">
        <v>0.35416666666666669</v>
      </c>
    </row>
    <row r="26" spans="1:20">
      <c r="A26">
        <v>25</v>
      </c>
      <c r="B26">
        <v>166.040562008493</v>
      </c>
      <c r="D26" s="221">
        <v>170</v>
      </c>
      <c r="E26" s="8">
        <v>25</v>
      </c>
      <c r="F26" s="9">
        <v>0.34499999999999997</v>
      </c>
      <c r="O26">
        <v>25</v>
      </c>
      <c r="P26">
        <v>147.48985437181545</v>
      </c>
      <c r="R26" s="221">
        <v>170</v>
      </c>
      <c r="S26" s="8">
        <v>16</v>
      </c>
      <c r="T26" s="9">
        <v>0.46527777777777779</v>
      </c>
    </row>
    <row r="27" spans="1:20">
      <c r="A27">
        <v>26</v>
      </c>
      <c r="B27">
        <v>174.60119794195634</v>
      </c>
      <c r="D27" s="221">
        <v>175</v>
      </c>
      <c r="E27" s="8">
        <v>29</v>
      </c>
      <c r="F27" s="9">
        <v>0.49</v>
      </c>
      <c r="O27">
        <v>26</v>
      </c>
      <c r="P27">
        <v>177.02975343199796</v>
      </c>
      <c r="R27" s="221">
        <v>175</v>
      </c>
      <c r="S27" s="8">
        <v>13</v>
      </c>
      <c r="T27" s="9">
        <v>0.55555555555555558</v>
      </c>
    </row>
    <row r="28" spans="1:20">
      <c r="A28">
        <v>27</v>
      </c>
      <c r="B28">
        <v>172.58738908894884</v>
      </c>
      <c r="D28" s="221">
        <v>180</v>
      </c>
      <c r="E28" s="8">
        <v>23</v>
      </c>
      <c r="F28" s="9">
        <v>0.60499999999999998</v>
      </c>
      <c r="O28">
        <v>27</v>
      </c>
      <c r="P28">
        <v>205.0378815154545</v>
      </c>
      <c r="R28" s="221">
        <v>180</v>
      </c>
      <c r="S28" s="8">
        <v>13</v>
      </c>
      <c r="T28" s="9">
        <v>0.64583333333333337</v>
      </c>
    </row>
    <row r="29" spans="1:20">
      <c r="A29">
        <v>28</v>
      </c>
      <c r="B29">
        <v>173.66774942347547</v>
      </c>
      <c r="D29" s="221">
        <v>185</v>
      </c>
      <c r="E29" s="8">
        <v>30</v>
      </c>
      <c r="F29" s="9">
        <v>0.755</v>
      </c>
      <c r="O29">
        <v>28</v>
      </c>
      <c r="P29">
        <v>171.99368800065713</v>
      </c>
      <c r="R29" s="221">
        <v>185</v>
      </c>
      <c r="S29" s="8">
        <v>19</v>
      </c>
      <c r="T29" s="9">
        <v>0.77777777777777779</v>
      </c>
    </row>
    <row r="30" spans="1:20">
      <c r="A30">
        <v>29</v>
      </c>
      <c r="B30">
        <v>182.81352582635009</v>
      </c>
      <c r="D30" s="221">
        <v>190</v>
      </c>
      <c r="E30" s="8">
        <v>14</v>
      </c>
      <c r="F30" s="9">
        <v>0.82499999999999996</v>
      </c>
      <c r="O30">
        <v>29</v>
      </c>
      <c r="P30">
        <v>165.88785216372344</v>
      </c>
      <c r="R30" s="221">
        <v>190</v>
      </c>
      <c r="S30" s="8">
        <v>14</v>
      </c>
      <c r="T30" s="9">
        <v>0.875</v>
      </c>
    </row>
    <row r="31" spans="1:20" ht="13" thickBot="1">
      <c r="A31">
        <v>30</v>
      </c>
      <c r="B31">
        <v>178.26904796565941</v>
      </c>
      <c r="D31" s="10" t="s">
        <v>32</v>
      </c>
      <c r="E31" s="10">
        <v>35</v>
      </c>
      <c r="F31" s="11">
        <v>1</v>
      </c>
      <c r="O31">
        <v>30</v>
      </c>
      <c r="P31">
        <v>156.2152736922144</v>
      </c>
      <c r="R31" s="10" t="s">
        <v>32</v>
      </c>
      <c r="S31" s="10">
        <v>18</v>
      </c>
      <c r="T31" s="11">
        <v>1</v>
      </c>
    </row>
    <row r="32" spans="1:20">
      <c r="A32">
        <v>31</v>
      </c>
      <c r="B32">
        <v>171.58627416465606</v>
      </c>
      <c r="E32">
        <f>SUM(E21:E31)</f>
        <v>200</v>
      </c>
      <c r="O32">
        <v>31</v>
      </c>
      <c r="P32">
        <v>163.86232788208872</v>
      </c>
      <c r="S32">
        <f>SUM(S21:S31)</f>
        <v>144</v>
      </c>
    </row>
    <row r="33" spans="1:20">
      <c r="A33">
        <v>32</v>
      </c>
      <c r="B33">
        <v>191.0847548613674</v>
      </c>
      <c r="O33">
        <v>32</v>
      </c>
      <c r="P33">
        <v>189.1745090331824</v>
      </c>
    </row>
    <row r="34" spans="1:20">
      <c r="A34">
        <v>33</v>
      </c>
      <c r="B34">
        <v>168.95671466118074</v>
      </c>
      <c r="O34">
        <v>33</v>
      </c>
      <c r="P34">
        <v>167.53268470056355</v>
      </c>
    </row>
    <row r="35" spans="1:20" ht="13" thickBot="1">
      <c r="A35">
        <v>34</v>
      </c>
      <c r="B35">
        <v>184.29219368117629</v>
      </c>
      <c r="O35">
        <v>34</v>
      </c>
      <c r="P35">
        <v>169.8048980513704</v>
      </c>
    </row>
    <row r="36" spans="1:20" ht="13">
      <c r="A36">
        <v>35</v>
      </c>
      <c r="B36">
        <v>170.79455334242084</v>
      </c>
      <c r="O36">
        <v>35</v>
      </c>
      <c r="P36">
        <v>180.935169156146</v>
      </c>
      <c r="R36" s="12" t="s">
        <v>29</v>
      </c>
      <c r="S36" s="12" t="s">
        <v>30</v>
      </c>
      <c r="T36" s="12" t="s">
        <v>31</v>
      </c>
    </row>
    <row r="37" spans="1:20" ht="13" thickBot="1">
      <c r="A37">
        <v>36</v>
      </c>
      <c r="B37">
        <v>120.83195075392723</v>
      </c>
      <c r="O37">
        <v>36</v>
      </c>
      <c r="P37">
        <v>186.70656105387025</v>
      </c>
      <c r="R37" s="221">
        <v>150</v>
      </c>
      <c r="S37" s="8">
        <v>10</v>
      </c>
      <c r="T37" s="9">
        <v>6.9444444444444448E-2</v>
      </c>
    </row>
    <row r="38" spans="1:20" ht="13">
      <c r="A38">
        <v>37</v>
      </c>
      <c r="B38">
        <v>179.20664036937524</v>
      </c>
      <c r="D38" s="12" t="s">
        <v>29</v>
      </c>
      <c r="E38" s="12" t="s">
        <v>30</v>
      </c>
      <c r="F38" s="12" t="s">
        <v>31</v>
      </c>
      <c r="O38">
        <v>37</v>
      </c>
      <c r="P38">
        <v>183.86634552443866</v>
      </c>
      <c r="R38" s="221">
        <v>155</v>
      </c>
      <c r="S38" s="8">
        <v>10</v>
      </c>
      <c r="T38" s="9">
        <v>0.1388888888888889</v>
      </c>
    </row>
    <row r="39" spans="1:20">
      <c r="A39">
        <v>38</v>
      </c>
      <c r="B39">
        <v>184.20754246180877</v>
      </c>
      <c r="D39" s="221">
        <v>150</v>
      </c>
      <c r="E39" s="8">
        <v>9</v>
      </c>
      <c r="F39" s="9">
        <v>4.4999999999999998E-2</v>
      </c>
      <c r="O39">
        <v>38</v>
      </c>
      <c r="P39">
        <v>160.23156818919233</v>
      </c>
      <c r="R39" s="221">
        <v>160</v>
      </c>
      <c r="S39" s="8">
        <v>12</v>
      </c>
      <c r="T39" s="9">
        <v>0.22222222222222221</v>
      </c>
    </row>
    <row r="40" spans="1:20">
      <c r="A40">
        <v>39</v>
      </c>
      <c r="B40">
        <v>182.88589886724367</v>
      </c>
      <c r="D40" s="221">
        <v>155</v>
      </c>
      <c r="E40" s="8">
        <v>5</v>
      </c>
      <c r="F40" s="9">
        <v>7.0000000000000007E-2</v>
      </c>
      <c r="O40">
        <v>39</v>
      </c>
      <c r="P40">
        <v>197.89689291501418</v>
      </c>
      <c r="R40" s="221">
        <v>165</v>
      </c>
      <c r="S40" s="8">
        <v>19</v>
      </c>
      <c r="T40" s="9">
        <v>0.35416666666666669</v>
      </c>
    </row>
    <row r="41" spans="1:20">
      <c r="A41">
        <v>40</v>
      </c>
      <c r="B41">
        <v>171.87885292587453</v>
      </c>
      <c r="D41" s="221">
        <v>160</v>
      </c>
      <c r="E41" s="8">
        <v>14</v>
      </c>
      <c r="F41" s="9">
        <v>0.14000000000000001</v>
      </c>
      <c r="O41">
        <v>40</v>
      </c>
      <c r="P41">
        <v>172.09430085204076</v>
      </c>
      <c r="R41" s="221">
        <v>170</v>
      </c>
      <c r="S41" s="8">
        <v>16</v>
      </c>
      <c r="T41" s="9">
        <v>0.46527777777777779</v>
      </c>
    </row>
    <row r="42" spans="1:20">
      <c r="A42">
        <v>41</v>
      </c>
      <c r="B42">
        <v>163.66485384496627</v>
      </c>
      <c r="D42" s="221">
        <v>165</v>
      </c>
      <c r="E42" s="8">
        <v>16</v>
      </c>
      <c r="F42" s="9">
        <v>0.22</v>
      </c>
      <c r="O42">
        <v>41</v>
      </c>
      <c r="P42">
        <v>167.2507981864328</v>
      </c>
      <c r="R42" s="221">
        <v>175</v>
      </c>
      <c r="S42" s="8">
        <v>13</v>
      </c>
      <c r="T42" s="9">
        <v>0.55555555555555558</v>
      </c>
    </row>
    <row r="43" spans="1:20">
      <c r="A43">
        <v>42</v>
      </c>
      <c r="B43">
        <v>195.29330516961636</v>
      </c>
      <c r="D43" s="221">
        <v>170</v>
      </c>
      <c r="E43" s="8">
        <v>25</v>
      </c>
      <c r="F43" s="9">
        <v>0.34499999999999997</v>
      </c>
      <c r="O43">
        <v>42</v>
      </c>
      <c r="P43">
        <v>171.85774128010962</v>
      </c>
      <c r="R43" s="221">
        <v>180</v>
      </c>
      <c r="S43" s="8">
        <v>13</v>
      </c>
      <c r="T43" s="9">
        <v>0.64583333333333337</v>
      </c>
    </row>
    <row r="44" spans="1:20">
      <c r="A44">
        <v>43</v>
      </c>
      <c r="B44">
        <v>158.61224697873695</v>
      </c>
      <c r="D44" s="221">
        <v>175</v>
      </c>
      <c r="E44" s="8">
        <v>29</v>
      </c>
      <c r="F44" s="9">
        <v>0.49</v>
      </c>
      <c r="O44">
        <v>43</v>
      </c>
      <c r="P44">
        <v>164.07586586938123</v>
      </c>
      <c r="R44" s="221">
        <v>185</v>
      </c>
      <c r="S44" s="8">
        <v>19</v>
      </c>
      <c r="T44" s="9">
        <v>0.77777777777777779</v>
      </c>
    </row>
    <row r="45" spans="1:20">
      <c r="A45">
        <v>44</v>
      </c>
      <c r="B45">
        <v>182.87536009738687</v>
      </c>
      <c r="D45" s="221">
        <v>180</v>
      </c>
      <c r="E45" s="8">
        <v>23</v>
      </c>
      <c r="F45" s="9">
        <v>0.60499999999999998</v>
      </c>
      <c r="O45">
        <v>44</v>
      </c>
      <c r="P45">
        <v>193.19598764996044</v>
      </c>
      <c r="R45" s="221">
        <v>190</v>
      </c>
      <c r="S45" s="8">
        <v>14</v>
      </c>
      <c r="T45" s="9">
        <v>0.875</v>
      </c>
    </row>
    <row r="46" spans="1:20">
      <c r="A46">
        <v>45</v>
      </c>
      <c r="B46">
        <v>180.71738496546459</v>
      </c>
      <c r="D46" s="221">
        <v>185</v>
      </c>
      <c r="E46" s="8">
        <v>30</v>
      </c>
      <c r="F46" s="9">
        <v>0.755</v>
      </c>
      <c r="O46">
        <v>45</v>
      </c>
      <c r="P46">
        <v>158.7532413948793</v>
      </c>
      <c r="R46" s="221">
        <v>195</v>
      </c>
      <c r="S46" s="8">
        <v>11</v>
      </c>
      <c r="T46" s="9">
        <v>0.95138888888888884</v>
      </c>
    </row>
    <row r="47" spans="1:20" ht="13" thickBot="1">
      <c r="A47">
        <v>46</v>
      </c>
      <c r="B47">
        <v>192.42058657328016</v>
      </c>
      <c r="D47" s="221">
        <v>190</v>
      </c>
      <c r="E47" s="8">
        <v>14</v>
      </c>
      <c r="F47" s="9">
        <v>0.82499999999999996</v>
      </c>
      <c r="O47">
        <v>46</v>
      </c>
      <c r="P47">
        <v>192.38460468914127</v>
      </c>
      <c r="R47" s="10" t="s">
        <v>32</v>
      </c>
      <c r="S47" s="10">
        <v>7</v>
      </c>
      <c r="T47" s="11">
        <v>1</v>
      </c>
    </row>
    <row r="48" spans="1:20">
      <c r="A48">
        <v>47</v>
      </c>
      <c r="B48">
        <v>161.39281102441601</v>
      </c>
      <c r="D48" s="221">
        <v>195</v>
      </c>
      <c r="E48" s="8">
        <v>14</v>
      </c>
      <c r="F48" s="9">
        <v>0.89500000000000002</v>
      </c>
      <c r="O48">
        <v>47</v>
      </c>
      <c r="P48">
        <v>180.06128685628937</v>
      </c>
      <c r="S48">
        <f>SUM(S37:S47)</f>
        <v>144</v>
      </c>
    </row>
    <row r="49" spans="1:16" ht="13" thickBot="1">
      <c r="A49">
        <v>48</v>
      </c>
      <c r="B49">
        <v>190.05809450463858</v>
      </c>
      <c r="D49" s="10" t="s">
        <v>32</v>
      </c>
      <c r="E49" s="10">
        <v>21</v>
      </c>
      <c r="F49" s="11">
        <v>1</v>
      </c>
      <c r="O49">
        <v>48</v>
      </c>
      <c r="P49">
        <v>140.17881299951114</v>
      </c>
    </row>
    <row r="50" spans="1:16">
      <c r="A50">
        <v>49</v>
      </c>
      <c r="B50">
        <v>180.07100708091457</v>
      </c>
      <c r="E50">
        <f>SUM(E39:E49)</f>
        <v>200</v>
      </c>
      <c r="O50">
        <v>49</v>
      </c>
      <c r="P50">
        <v>157.77613713071332</v>
      </c>
    </row>
    <row r="51" spans="1:16">
      <c r="A51">
        <v>50</v>
      </c>
      <c r="B51">
        <v>184.63666479947278</v>
      </c>
      <c r="O51">
        <v>50</v>
      </c>
      <c r="P51">
        <v>195.15094651142135</v>
      </c>
    </row>
    <row r="52" spans="1:16">
      <c r="A52">
        <v>51</v>
      </c>
      <c r="B52">
        <v>174.56332317196939</v>
      </c>
      <c r="O52">
        <v>51</v>
      </c>
      <c r="P52">
        <v>186.1815666059556</v>
      </c>
    </row>
    <row r="53" spans="1:16">
      <c r="A53">
        <v>52</v>
      </c>
      <c r="B53">
        <v>192.33975523166009</v>
      </c>
      <c r="O53">
        <v>52</v>
      </c>
      <c r="P53">
        <v>175.69733232521685</v>
      </c>
    </row>
    <row r="54" spans="1:16">
      <c r="A54">
        <v>53</v>
      </c>
      <c r="B54">
        <v>172.67221083857294</v>
      </c>
      <c r="O54">
        <v>53</v>
      </c>
      <c r="P54">
        <v>179.45547811978031</v>
      </c>
    </row>
    <row r="55" spans="1:16">
      <c r="A55">
        <v>54</v>
      </c>
      <c r="B55">
        <v>166.26179091035738</v>
      </c>
      <c r="O55">
        <v>54</v>
      </c>
      <c r="P55">
        <v>169.58747197422781</v>
      </c>
    </row>
    <row r="56" spans="1:16">
      <c r="A56">
        <v>55</v>
      </c>
      <c r="B56">
        <v>209.23701855354011</v>
      </c>
      <c r="O56">
        <v>55</v>
      </c>
      <c r="P56">
        <v>171.59686409358983</v>
      </c>
    </row>
    <row r="57" spans="1:16">
      <c r="A57">
        <v>56</v>
      </c>
      <c r="B57">
        <v>176.63898334903934</v>
      </c>
      <c r="O57">
        <v>56</v>
      </c>
      <c r="P57">
        <v>165.40562670415966</v>
      </c>
    </row>
    <row r="58" spans="1:16">
      <c r="A58">
        <v>57</v>
      </c>
      <c r="B58">
        <v>153.29149833705742</v>
      </c>
      <c r="O58">
        <v>57</v>
      </c>
      <c r="P58">
        <v>164.67896317481063</v>
      </c>
    </row>
    <row r="59" spans="1:16">
      <c r="A59">
        <v>58</v>
      </c>
      <c r="B59">
        <v>178.12701331495191</v>
      </c>
      <c r="O59">
        <v>58</v>
      </c>
      <c r="P59">
        <v>183.77630554896314</v>
      </c>
    </row>
    <row r="60" spans="1:16">
      <c r="A60">
        <v>59</v>
      </c>
      <c r="B60">
        <v>166.040562008493</v>
      </c>
      <c r="O60">
        <v>59</v>
      </c>
      <c r="P60">
        <v>148.63452166609932</v>
      </c>
    </row>
    <row r="61" spans="1:16">
      <c r="A61">
        <v>60</v>
      </c>
      <c r="B61">
        <v>168.53236717070104</v>
      </c>
      <c r="O61">
        <v>60</v>
      </c>
      <c r="P61">
        <v>137.64268702361733</v>
      </c>
    </row>
    <row r="62" spans="1:16">
      <c r="A62">
        <v>61</v>
      </c>
      <c r="B62">
        <v>156.9799654687813</v>
      </c>
      <c r="O62">
        <v>61</v>
      </c>
      <c r="P62">
        <v>177.87179773295065</v>
      </c>
    </row>
    <row r="63" spans="1:16">
      <c r="A63">
        <v>62</v>
      </c>
      <c r="B63">
        <v>163.52542830718448</v>
      </c>
      <c r="O63">
        <v>62</v>
      </c>
      <c r="P63">
        <v>191.04604449312319</v>
      </c>
    </row>
    <row r="64" spans="1:16">
      <c r="A64">
        <v>63</v>
      </c>
      <c r="B64">
        <v>181.17292243987322</v>
      </c>
      <c r="O64">
        <v>63</v>
      </c>
      <c r="P64">
        <v>167.49370148390881</v>
      </c>
    </row>
    <row r="65" spans="1:16">
      <c r="A65">
        <v>64</v>
      </c>
      <c r="B65">
        <v>182.34675040803268</v>
      </c>
      <c r="O65">
        <v>64</v>
      </c>
      <c r="P65">
        <v>190.72838073116145</v>
      </c>
    </row>
    <row r="66" spans="1:16">
      <c r="A66">
        <v>65</v>
      </c>
      <c r="B66">
        <v>180.01029830957123</v>
      </c>
      <c r="O66">
        <v>65</v>
      </c>
      <c r="P66">
        <v>185.33266698868829</v>
      </c>
    </row>
    <row r="67" spans="1:16">
      <c r="A67">
        <v>66</v>
      </c>
      <c r="B67">
        <v>158.00703509812593</v>
      </c>
      <c r="O67">
        <v>66</v>
      </c>
      <c r="P67">
        <v>162.83993078177446</v>
      </c>
    </row>
    <row r="68" spans="1:16">
      <c r="A68">
        <v>67</v>
      </c>
      <c r="B68">
        <v>197.6426664085011</v>
      </c>
      <c r="O68">
        <v>67</v>
      </c>
      <c r="P68">
        <v>168.63298002208467</v>
      </c>
    </row>
    <row r="69" spans="1:16">
      <c r="A69">
        <v>68</v>
      </c>
      <c r="B69">
        <v>165.68693341541803</v>
      </c>
      <c r="O69">
        <v>68</v>
      </c>
      <c r="P69">
        <v>187.01085524371592</v>
      </c>
    </row>
    <row r="70" spans="1:16">
      <c r="A70">
        <v>69</v>
      </c>
      <c r="B70">
        <v>171.49081132702122</v>
      </c>
      <c r="O70">
        <v>69</v>
      </c>
      <c r="P70">
        <v>205.05493454111274</v>
      </c>
    </row>
    <row r="71" spans="1:16">
      <c r="A71">
        <v>70</v>
      </c>
      <c r="B71">
        <v>180.38070707989391</v>
      </c>
      <c r="O71">
        <v>70</v>
      </c>
      <c r="P71">
        <v>185.19781166178291</v>
      </c>
    </row>
    <row r="72" spans="1:16">
      <c r="A72">
        <v>71</v>
      </c>
      <c r="B72">
        <v>201.67768512765178</v>
      </c>
      <c r="O72">
        <v>71</v>
      </c>
      <c r="P72">
        <v>162.51186467416119</v>
      </c>
    </row>
    <row r="73" spans="1:16">
      <c r="A73">
        <v>72</v>
      </c>
      <c r="B73">
        <v>163.53774059170973</v>
      </c>
      <c r="O73">
        <v>72</v>
      </c>
      <c r="P73">
        <v>167.44554373944993</v>
      </c>
    </row>
    <row r="74" spans="1:16" ht="13" thickBot="1">
      <c r="A74">
        <v>73</v>
      </c>
      <c r="B74">
        <v>188.72710585201276</v>
      </c>
      <c r="O74">
        <v>73</v>
      </c>
      <c r="P74">
        <v>176.15837792691309</v>
      </c>
    </row>
    <row r="75" spans="1:16" ht="13">
      <c r="A75">
        <v>74</v>
      </c>
      <c r="B75">
        <v>173.76102947382606</v>
      </c>
      <c r="D75" s="229" t="s">
        <v>68</v>
      </c>
      <c r="E75" s="229"/>
      <c r="F75" s="22" t="s">
        <v>69</v>
      </c>
      <c r="I75" s="229" t="s">
        <v>33</v>
      </c>
      <c r="J75" s="229"/>
      <c r="K75" s="22" t="s">
        <v>69</v>
      </c>
      <c r="O75">
        <v>74</v>
      </c>
      <c r="P75">
        <v>169.6462025945948</v>
      </c>
    </row>
    <row r="76" spans="1:16">
      <c r="A76">
        <v>75</v>
      </c>
      <c r="B76">
        <v>175.375831632482</v>
      </c>
      <c r="D76" s="8"/>
      <c r="E76" s="8"/>
      <c r="I76" s="8"/>
      <c r="J76" s="8"/>
      <c r="O76">
        <v>75</v>
      </c>
      <c r="P76">
        <v>164.15202468197094</v>
      </c>
    </row>
    <row r="77" spans="1:16">
      <c r="A77">
        <v>76</v>
      </c>
      <c r="B77">
        <v>171.75914068575366</v>
      </c>
      <c r="D77" s="230" t="s">
        <v>2</v>
      </c>
      <c r="E77" s="230">
        <v>175.64291697299268</v>
      </c>
      <c r="F77" s="22" t="s">
        <v>70</v>
      </c>
      <c r="G77">
        <f>E77</f>
        <v>175.64291697299268</v>
      </c>
      <c r="I77" s="230" t="s">
        <v>2</v>
      </c>
      <c r="J77" s="230">
        <v>172.18275075129745</v>
      </c>
      <c r="K77" s="22" t="s">
        <v>70</v>
      </c>
      <c r="L77">
        <f>J77</f>
        <v>172.18275075129745</v>
      </c>
      <c r="O77">
        <v>76</v>
      </c>
      <c r="P77">
        <v>141.41290636034682</v>
      </c>
    </row>
    <row r="78" spans="1:16">
      <c r="A78">
        <v>77</v>
      </c>
      <c r="B78">
        <v>173.05822312737291</v>
      </c>
      <c r="D78" s="232" t="s">
        <v>3</v>
      </c>
      <c r="E78" s="232">
        <v>1.0480049924875217</v>
      </c>
      <c r="F78" s="22" t="s">
        <v>72</v>
      </c>
      <c r="G78">
        <f>E78</f>
        <v>1.0480049924875217</v>
      </c>
      <c r="I78" s="232" t="s">
        <v>3</v>
      </c>
      <c r="J78" s="232">
        <v>1.3015343243322215</v>
      </c>
      <c r="K78" s="22" t="s">
        <v>72</v>
      </c>
      <c r="L78">
        <f>J78</f>
        <v>1.3015343243322215</v>
      </c>
      <c r="O78">
        <v>77</v>
      </c>
      <c r="P78">
        <v>174.6367876065051</v>
      </c>
    </row>
    <row r="79" spans="1:16">
      <c r="A79">
        <v>78</v>
      </c>
      <c r="B79">
        <v>194.97970002776128</v>
      </c>
      <c r="D79" s="230" t="s">
        <v>4</v>
      </c>
      <c r="E79" s="230">
        <v>175.22090489437687</v>
      </c>
      <c r="F79" s="22" t="s">
        <v>73</v>
      </c>
      <c r="G79">
        <f>E79</f>
        <v>175.22090489437687</v>
      </c>
      <c r="I79" s="230" t="s">
        <v>4</v>
      </c>
      <c r="J79" s="230">
        <v>171.92571464038338</v>
      </c>
      <c r="K79" s="22" t="s">
        <v>73</v>
      </c>
      <c r="L79">
        <f>J79</f>
        <v>171.92571464038338</v>
      </c>
      <c r="O79">
        <v>78</v>
      </c>
      <c r="P79">
        <v>161.72541323685437</v>
      </c>
    </row>
    <row r="80" spans="1:16">
      <c r="A80">
        <v>79</v>
      </c>
      <c r="B80">
        <v>152.29260030610021</v>
      </c>
      <c r="D80" s="231" t="s">
        <v>5</v>
      </c>
      <c r="E80" s="231">
        <v>166.040562008493</v>
      </c>
      <c r="F80" s="236" t="s">
        <v>74</v>
      </c>
      <c r="G80">
        <f t="shared" ref="G80:G82" si="0">E80</f>
        <v>166.040562008493</v>
      </c>
      <c r="I80" s="231" t="s">
        <v>5</v>
      </c>
      <c r="J80" s="231">
        <v>147.48985437181545</v>
      </c>
      <c r="K80" s="236" t="s">
        <v>74</v>
      </c>
      <c r="L80">
        <f t="shared" ref="L80:L82" si="1">J80</f>
        <v>147.48985437181545</v>
      </c>
      <c r="O80">
        <v>79</v>
      </c>
      <c r="P80">
        <v>182.45302486393484</v>
      </c>
    </row>
    <row r="81" spans="1:16">
      <c r="A81">
        <v>80</v>
      </c>
      <c r="B81">
        <v>189.11898438163917</v>
      </c>
      <c r="D81" s="232" t="s">
        <v>6</v>
      </c>
      <c r="E81" s="232">
        <v>14.821028738105669</v>
      </c>
      <c r="F81" s="22" t="s">
        <v>75</v>
      </c>
      <c r="G81">
        <f t="shared" si="0"/>
        <v>14.821028738105669</v>
      </c>
      <c r="I81" s="232" t="s">
        <v>6</v>
      </c>
      <c r="J81" s="232">
        <v>15.618411891986659</v>
      </c>
      <c r="K81" s="22" t="s">
        <v>75</v>
      </c>
      <c r="L81">
        <f t="shared" si="1"/>
        <v>15.618411891986659</v>
      </c>
      <c r="O81">
        <v>80</v>
      </c>
      <c r="P81">
        <v>156.2152736922144</v>
      </c>
    </row>
    <row r="82" spans="1:16" ht="16.5">
      <c r="A82">
        <v>81</v>
      </c>
      <c r="B82">
        <v>192.144259345514</v>
      </c>
      <c r="D82" s="232" t="s">
        <v>7</v>
      </c>
      <c r="E82" s="232">
        <v>219.66289285575414</v>
      </c>
      <c r="F82" s="22" t="s">
        <v>76</v>
      </c>
      <c r="G82">
        <f t="shared" si="0"/>
        <v>219.66289285575414</v>
      </c>
      <c r="I82" s="232" t="s">
        <v>7</v>
      </c>
      <c r="J82" s="232">
        <v>243.9347900277503</v>
      </c>
      <c r="K82" s="22" t="s">
        <v>76</v>
      </c>
      <c r="L82">
        <f t="shared" si="1"/>
        <v>243.9347900277503</v>
      </c>
      <c r="O82">
        <v>81</v>
      </c>
      <c r="P82">
        <v>165.20056407061929</v>
      </c>
    </row>
    <row r="83" spans="1:16">
      <c r="A83">
        <v>82</v>
      </c>
      <c r="B83">
        <v>196.01577365465346</v>
      </c>
      <c r="D83" s="234" t="s">
        <v>8</v>
      </c>
      <c r="E83" s="234">
        <v>0.40642568603007767</v>
      </c>
      <c r="I83" s="234" t="s">
        <v>8</v>
      </c>
      <c r="J83" s="234">
        <v>-6.4470256072806542E-2</v>
      </c>
      <c r="O83">
        <v>82</v>
      </c>
      <c r="P83">
        <v>158.25536125776125</v>
      </c>
    </row>
    <row r="84" spans="1:16">
      <c r="A84">
        <v>83</v>
      </c>
      <c r="B84">
        <v>171.42357124685077</v>
      </c>
      <c r="D84" s="234" t="s">
        <v>9</v>
      </c>
      <c r="E84" s="234">
        <v>-0.27381010938673234</v>
      </c>
      <c r="I84" s="234" t="s">
        <v>9</v>
      </c>
      <c r="J84" s="234">
        <v>0.1382275488156923</v>
      </c>
      <c r="O84">
        <v>83</v>
      </c>
      <c r="P84">
        <v>156.5425894666987</v>
      </c>
    </row>
    <row r="85" spans="1:16">
      <c r="A85">
        <v>84</v>
      </c>
      <c r="B85">
        <v>176.69440568242862</v>
      </c>
      <c r="D85" s="8" t="s">
        <v>10</v>
      </c>
      <c r="E85" s="8">
        <v>88.40506779961288</v>
      </c>
      <c r="I85" s="8" t="s">
        <v>10</v>
      </c>
      <c r="J85" s="8">
        <v>84.18410288868472</v>
      </c>
      <c r="O85">
        <v>84</v>
      </c>
      <c r="P85">
        <v>181.63932269162615</v>
      </c>
    </row>
    <row r="86" spans="1:16">
      <c r="A86">
        <v>85</v>
      </c>
      <c r="B86">
        <v>171.25687792104145</v>
      </c>
      <c r="D86" s="28" t="s">
        <v>11</v>
      </c>
      <c r="E86" s="28">
        <v>120.83195075392723</v>
      </c>
      <c r="I86" s="28" t="s">
        <v>11</v>
      </c>
      <c r="J86" s="28">
        <v>137.27434166939929</v>
      </c>
      <c r="O86">
        <v>85</v>
      </c>
      <c r="P86">
        <v>188.70964355373872</v>
      </c>
    </row>
    <row r="87" spans="1:16">
      <c r="A87">
        <v>86</v>
      </c>
      <c r="B87">
        <v>182.77150717112818</v>
      </c>
      <c r="D87" s="28" t="s">
        <v>12</v>
      </c>
      <c r="E87" s="28">
        <v>209.23701855354011</v>
      </c>
      <c r="I87" s="28" t="s">
        <v>12</v>
      </c>
      <c r="J87" s="28">
        <v>221.45844455808401</v>
      </c>
      <c r="O87">
        <v>86</v>
      </c>
      <c r="P87">
        <v>162.97809439565754</v>
      </c>
    </row>
    <row r="88" spans="1:16">
      <c r="A88">
        <v>87</v>
      </c>
      <c r="B88">
        <v>174.6367876065051</v>
      </c>
      <c r="D88" s="8" t="s">
        <v>13</v>
      </c>
      <c r="E88" s="8">
        <v>35128.583394598536</v>
      </c>
      <c r="I88" s="8" t="s">
        <v>13</v>
      </c>
      <c r="J88" s="8">
        <v>24794.316108186831</v>
      </c>
      <c r="O88">
        <v>87</v>
      </c>
      <c r="P88">
        <v>185.74241708920454</v>
      </c>
    </row>
    <row r="89" spans="1:16">
      <c r="A89">
        <v>88</v>
      </c>
      <c r="B89">
        <v>173.35179096407956</v>
      </c>
      <c r="D89" s="28" t="s">
        <v>14</v>
      </c>
      <c r="E89" s="28">
        <v>200</v>
      </c>
      <c r="I89" s="28" t="s">
        <v>14</v>
      </c>
      <c r="J89" s="28">
        <v>144</v>
      </c>
      <c r="O89">
        <v>88</v>
      </c>
      <c r="P89">
        <v>160.58882907673251</v>
      </c>
    </row>
    <row r="90" spans="1:16">
      <c r="A90">
        <v>89</v>
      </c>
      <c r="B90">
        <v>191.02776364961755</v>
      </c>
      <c r="D90" s="233" t="s">
        <v>78</v>
      </c>
      <c r="E90" s="233">
        <v>202.18361429288052</v>
      </c>
      <c r="I90" s="233" t="s">
        <v>78</v>
      </c>
      <c r="J90" s="233">
        <v>201.49549060151912</v>
      </c>
      <c r="O90">
        <v>89</v>
      </c>
      <c r="P90">
        <v>185.49182287715666</v>
      </c>
    </row>
    <row r="91" spans="1:16">
      <c r="A91">
        <v>90</v>
      </c>
      <c r="B91">
        <v>179.09456788474927</v>
      </c>
      <c r="D91" s="233" t="s">
        <v>79</v>
      </c>
      <c r="E91" s="233">
        <v>143.16595739801414</v>
      </c>
      <c r="I91" s="233" t="s">
        <v>79</v>
      </c>
      <c r="J91" s="233">
        <v>143.12202880391851</v>
      </c>
      <c r="O91">
        <v>90</v>
      </c>
      <c r="P91">
        <v>184.51988567976514</v>
      </c>
    </row>
    <row r="92" spans="1:16" ht="13.5" thickBot="1">
      <c r="A92">
        <v>91</v>
      </c>
      <c r="B92">
        <v>163.41594788245857</v>
      </c>
      <c r="D92" s="235" t="s">
        <v>15</v>
      </c>
      <c r="E92" s="235">
        <v>2.0666203033442798</v>
      </c>
      <c r="I92" s="235" t="s">
        <v>15</v>
      </c>
      <c r="J92" s="235">
        <v>2.5727327442453336</v>
      </c>
      <c r="O92">
        <v>91</v>
      </c>
      <c r="P92">
        <v>147.86952293507056</v>
      </c>
    </row>
    <row r="93" spans="1:16">
      <c r="A93">
        <v>92</v>
      </c>
      <c r="B93">
        <v>142.46664692182094</v>
      </c>
      <c r="O93">
        <v>92</v>
      </c>
      <c r="P93">
        <v>177.11663859772671</v>
      </c>
    </row>
    <row r="94" spans="1:16">
      <c r="A94">
        <v>93</v>
      </c>
      <c r="B94">
        <v>194.8165025722119</v>
      </c>
      <c r="D94" s="22" t="s">
        <v>80</v>
      </c>
      <c r="I94" s="22" t="s">
        <v>80</v>
      </c>
      <c r="O94">
        <v>93</v>
      </c>
      <c r="P94">
        <v>175.40911913856689</v>
      </c>
    </row>
    <row r="95" spans="1:16">
      <c r="A95">
        <v>94</v>
      </c>
      <c r="B95">
        <v>169.82560042451951</v>
      </c>
      <c r="F95" s="22" t="s">
        <v>81</v>
      </c>
      <c r="O95">
        <v>94</v>
      </c>
      <c r="P95">
        <v>160.46635424645501</v>
      </c>
    </row>
    <row r="96" spans="1:16">
      <c r="A96">
        <v>95</v>
      </c>
      <c r="B96">
        <v>172.66755536256824</v>
      </c>
      <c r="D96" s="22" t="s">
        <v>82</v>
      </c>
      <c r="I96" s="22" t="s">
        <v>82</v>
      </c>
      <c r="O96">
        <v>95</v>
      </c>
      <c r="P96">
        <v>166.14458546500828</v>
      </c>
    </row>
    <row r="97" spans="1:16" ht="17.5">
      <c r="A97">
        <v>96</v>
      </c>
      <c r="B97">
        <v>169.23570216094959</v>
      </c>
      <c r="D97" s="120" t="s">
        <v>83</v>
      </c>
      <c r="I97" s="120" t="s">
        <v>83</v>
      </c>
      <c r="O97">
        <v>96</v>
      </c>
      <c r="P97">
        <v>172.51528889646579</v>
      </c>
    </row>
    <row r="98" spans="1:16" ht="13">
      <c r="A98">
        <v>97</v>
      </c>
      <c r="B98">
        <v>162.18598135383218</v>
      </c>
      <c r="D98" s="149" t="s">
        <v>16</v>
      </c>
      <c r="E98">
        <f>E77-E92</f>
        <v>173.5762966696484</v>
      </c>
      <c r="I98" s="22" t="s">
        <v>16</v>
      </c>
      <c r="J98">
        <f>J77-J92</f>
        <v>169.6100180070521</v>
      </c>
      <c r="O98">
        <v>97</v>
      </c>
      <c r="P98">
        <v>162.97331954847323</v>
      </c>
    </row>
    <row r="99" spans="1:16" ht="13">
      <c r="A99">
        <v>98</v>
      </c>
      <c r="B99">
        <v>160.67232069035526</v>
      </c>
      <c r="D99" s="149" t="s">
        <v>17</v>
      </c>
      <c r="E99">
        <f>E77+E92</f>
        <v>177.70953727633696</v>
      </c>
      <c r="I99" s="22" t="s">
        <v>17</v>
      </c>
      <c r="J99">
        <f>J77+J92</f>
        <v>174.75548349554279</v>
      </c>
      <c r="O99">
        <v>98</v>
      </c>
      <c r="P99">
        <v>171.04697222821414</v>
      </c>
    </row>
    <row r="100" spans="1:16" ht="13">
      <c r="A100">
        <v>99</v>
      </c>
      <c r="B100">
        <v>169.93508084924542</v>
      </c>
      <c r="D100" s="237" t="s">
        <v>84</v>
      </c>
      <c r="E100" s="237">
        <f>E92</f>
        <v>2.0666203033442798</v>
      </c>
      <c r="I100" s="237" t="s">
        <v>84</v>
      </c>
      <c r="J100" s="237">
        <f>J92</f>
        <v>2.5727327442453336</v>
      </c>
      <c r="O100">
        <v>99</v>
      </c>
      <c r="P100">
        <v>183.15196017356357</v>
      </c>
    </row>
    <row r="101" spans="1:16">
      <c r="A101">
        <v>100</v>
      </c>
      <c r="B101">
        <v>175.41142129703076</v>
      </c>
      <c r="O101">
        <v>100</v>
      </c>
      <c r="P101">
        <v>137.27434166939929</v>
      </c>
    </row>
    <row r="102" spans="1:16">
      <c r="A102">
        <v>101</v>
      </c>
      <c r="B102">
        <v>202.64077180472668</v>
      </c>
      <c r="D102" s="22" t="s">
        <v>85</v>
      </c>
      <c r="O102">
        <v>101</v>
      </c>
      <c r="P102">
        <v>144.91941770829726</v>
      </c>
    </row>
    <row r="103" spans="1:16">
      <c r="A103">
        <v>102</v>
      </c>
      <c r="B103">
        <v>168.86701574621839</v>
      </c>
      <c r="D103" s="22" t="s">
        <v>86</v>
      </c>
      <c r="E103">
        <v>0.05</v>
      </c>
      <c r="F103" s="18">
        <v>0.05</v>
      </c>
      <c r="I103" s="22" t="s">
        <v>86</v>
      </c>
      <c r="J103">
        <v>0.05</v>
      </c>
      <c r="O103">
        <v>102</v>
      </c>
      <c r="P103">
        <v>159.84279331023572</v>
      </c>
    </row>
    <row r="104" spans="1:16">
      <c r="A104">
        <v>103</v>
      </c>
      <c r="B104">
        <v>176.19637206807965</v>
      </c>
      <c r="D104" s="22" t="s">
        <v>53</v>
      </c>
      <c r="E104">
        <f>1-E103/2</f>
        <v>0.97499999999999998</v>
      </c>
      <c r="F104" s="125" t="s">
        <v>87</v>
      </c>
      <c r="I104" s="22" t="s">
        <v>53</v>
      </c>
      <c r="J104">
        <f>1-J103/2</f>
        <v>0.97499999999999998</v>
      </c>
      <c r="O104">
        <v>103</v>
      </c>
      <c r="P104">
        <v>164.45976358299959</v>
      </c>
    </row>
    <row r="105" spans="1:16">
      <c r="A105">
        <v>104</v>
      </c>
      <c r="B105">
        <v>188.22206344411825</v>
      </c>
      <c r="D105" s="22" t="s">
        <v>54</v>
      </c>
      <c r="E105">
        <f>E89</f>
        <v>200</v>
      </c>
      <c r="I105" s="22" t="s">
        <v>54</v>
      </c>
      <c r="J105">
        <f>J89</f>
        <v>144</v>
      </c>
      <c r="O105">
        <v>104</v>
      </c>
      <c r="P105">
        <v>192.33975523166009</v>
      </c>
    </row>
    <row r="106" spans="1:16">
      <c r="A106">
        <v>105</v>
      </c>
      <c r="B106">
        <v>174.19695596872771</v>
      </c>
      <c r="D106" s="22" t="s">
        <v>88</v>
      </c>
      <c r="E106">
        <f>_xlfn.T.INV(E104,E105-1)</f>
        <v>1.9719565442517553</v>
      </c>
      <c r="F106" s="125" t="s">
        <v>89</v>
      </c>
      <c r="I106" s="22" t="s">
        <v>88</v>
      </c>
      <c r="J106">
        <f>_xlfn.T.INV(J104,J105-1)</f>
        <v>1.9766921979297982</v>
      </c>
      <c r="O106">
        <v>105</v>
      </c>
      <c r="P106">
        <v>180.71368445889675</v>
      </c>
    </row>
    <row r="107" spans="1:16">
      <c r="A107">
        <v>106</v>
      </c>
      <c r="B107">
        <v>161.8320287532697</v>
      </c>
      <c r="D107" s="232" t="s">
        <v>91</v>
      </c>
      <c r="E107" s="232">
        <f>E78</f>
        <v>1.0480049924875217</v>
      </c>
      <c r="F107" s="232">
        <f>E81/SQRT(E105)</f>
        <v>1.0480049924875217</v>
      </c>
      <c r="I107" s="22" t="s">
        <v>91</v>
      </c>
      <c r="J107">
        <f>J78</f>
        <v>1.3015343243322215</v>
      </c>
      <c r="K107" s="232">
        <f>J81/SQRT(J105)</f>
        <v>1.3015343243322215</v>
      </c>
      <c r="O107">
        <v>106</v>
      </c>
      <c r="P107">
        <v>189.20141870767111</v>
      </c>
    </row>
    <row r="108" spans="1:16" ht="13">
      <c r="A108">
        <v>107</v>
      </c>
      <c r="B108">
        <v>184.31586328078993</v>
      </c>
      <c r="D108" s="237" t="s">
        <v>84</v>
      </c>
      <c r="E108">
        <f>E106*E107</f>
        <v>2.0666203033442798</v>
      </c>
      <c r="I108" s="237" t="s">
        <v>84</v>
      </c>
      <c r="J108">
        <f>J106*J107</f>
        <v>2.5727327442453336</v>
      </c>
      <c r="O108">
        <v>107</v>
      </c>
      <c r="P108">
        <v>188.6349171953043</v>
      </c>
    </row>
    <row r="109" spans="1:16">
      <c r="A109">
        <v>108</v>
      </c>
      <c r="B109">
        <v>159.23976421690895</v>
      </c>
      <c r="D109" s="22" t="s">
        <v>16</v>
      </c>
      <c r="E109">
        <f>E77-E108</f>
        <v>173.5762966696484</v>
      </c>
      <c r="I109" s="22" t="s">
        <v>16</v>
      </c>
      <c r="J109">
        <f>J77-J108</f>
        <v>169.6100180070521</v>
      </c>
      <c r="O109">
        <v>108</v>
      </c>
      <c r="P109">
        <v>181.41981614535325</v>
      </c>
    </row>
    <row r="110" spans="1:16">
      <c r="A110">
        <v>109</v>
      </c>
      <c r="B110">
        <v>168.20847905437404</v>
      </c>
      <c r="D110" s="22" t="s">
        <v>17</v>
      </c>
      <c r="E110">
        <f>E77+E108</f>
        <v>177.70953727633696</v>
      </c>
      <c r="I110" s="22" t="s">
        <v>17</v>
      </c>
      <c r="J110">
        <f>J77+J108</f>
        <v>174.75548349554279</v>
      </c>
      <c r="O110">
        <v>109</v>
      </c>
      <c r="P110">
        <v>172.67221083857294</v>
      </c>
    </row>
    <row r="111" spans="1:16" ht="13" thickBot="1">
      <c r="A111">
        <v>110</v>
      </c>
      <c r="B111">
        <v>155.58021901670145</v>
      </c>
      <c r="O111">
        <v>110</v>
      </c>
      <c r="P111">
        <v>178.20562776323641</v>
      </c>
    </row>
    <row r="112" spans="1:16" ht="13">
      <c r="A112">
        <v>111</v>
      </c>
      <c r="B112">
        <v>195.86076165142003</v>
      </c>
      <c r="D112" s="229" t="s">
        <v>68</v>
      </c>
      <c r="E112" s="229"/>
      <c r="O112">
        <v>111</v>
      </c>
      <c r="P112">
        <v>194.48894805536838</v>
      </c>
    </row>
    <row r="113" spans="1:16">
      <c r="A113">
        <v>112</v>
      </c>
      <c r="B113">
        <v>169.55193346875603</v>
      </c>
      <c r="D113" s="8"/>
      <c r="E113" s="8"/>
      <c r="O113">
        <v>112</v>
      </c>
      <c r="P113">
        <v>175.78005655268498</v>
      </c>
    </row>
    <row r="114" spans="1:16">
      <c r="A114">
        <v>113</v>
      </c>
      <c r="B114">
        <v>166.040562008493</v>
      </c>
      <c r="D114" s="8" t="s">
        <v>2</v>
      </c>
      <c r="E114" s="8">
        <v>175.64291697299268</v>
      </c>
      <c r="O114">
        <v>113</v>
      </c>
      <c r="P114">
        <v>184.65076765169215</v>
      </c>
    </row>
    <row r="115" spans="1:16">
      <c r="A115">
        <v>114</v>
      </c>
      <c r="B115">
        <v>183.22655010779272</v>
      </c>
      <c r="D115" s="8" t="s">
        <v>3</v>
      </c>
      <c r="E115" s="8">
        <v>1.0480049924875217</v>
      </c>
      <c r="O115">
        <v>114</v>
      </c>
      <c r="P115">
        <v>165.90026676640264</v>
      </c>
    </row>
    <row r="116" spans="1:16">
      <c r="A116">
        <v>115</v>
      </c>
      <c r="B116">
        <v>180.81869699090021</v>
      </c>
      <c r="D116" s="8" t="s">
        <v>4</v>
      </c>
      <c r="E116" s="8">
        <v>175.22090489437687</v>
      </c>
      <c r="O116">
        <v>115</v>
      </c>
      <c r="P116">
        <v>150.47972725442378</v>
      </c>
    </row>
    <row r="117" spans="1:16">
      <c r="A117">
        <v>116</v>
      </c>
      <c r="B117">
        <v>175.58594196161721</v>
      </c>
      <c r="D117" s="8" t="s">
        <v>5</v>
      </c>
      <c r="E117" s="8">
        <v>166.040562008493</v>
      </c>
      <c r="O117">
        <v>116</v>
      </c>
      <c r="P117">
        <v>161.33905988754123</v>
      </c>
    </row>
    <row r="118" spans="1:16">
      <c r="A118">
        <v>117</v>
      </c>
      <c r="B118">
        <v>199.33876034046989</v>
      </c>
      <c r="D118" s="8" t="s">
        <v>6</v>
      </c>
      <c r="E118" s="8">
        <v>14.821028738105669</v>
      </c>
      <c r="O118">
        <v>117</v>
      </c>
      <c r="P118">
        <v>179.97753944728174</v>
      </c>
    </row>
    <row r="119" spans="1:16">
      <c r="A119">
        <v>118</v>
      </c>
      <c r="B119">
        <v>149.09522620728239</v>
      </c>
      <c r="D119" s="8" t="s">
        <v>7</v>
      </c>
      <c r="E119" s="8">
        <v>219.66289285575414</v>
      </c>
      <c r="O119">
        <v>118</v>
      </c>
      <c r="P119">
        <v>177.74800981969747</v>
      </c>
    </row>
    <row r="120" spans="1:16">
      <c r="A120">
        <v>119</v>
      </c>
      <c r="B120">
        <v>165.77305119499215</v>
      </c>
      <c r="D120" s="8" t="s">
        <v>8</v>
      </c>
      <c r="E120" s="8">
        <v>0.40642568603007767</v>
      </c>
      <c r="O120">
        <v>119</v>
      </c>
      <c r="P120">
        <v>163.11206296522869</v>
      </c>
    </row>
    <row r="121" spans="1:16">
      <c r="A121">
        <v>120</v>
      </c>
      <c r="B121">
        <v>166.52556711123907</v>
      </c>
      <c r="D121" s="8" t="s">
        <v>9</v>
      </c>
      <c r="E121" s="8">
        <v>-0.27381010938673234</v>
      </c>
      <c r="O121">
        <v>120</v>
      </c>
      <c r="P121">
        <v>151.59724613185972</v>
      </c>
    </row>
    <row r="122" spans="1:16">
      <c r="A122">
        <v>121</v>
      </c>
      <c r="B122">
        <v>191.8068140737887</v>
      </c>
      <c r="D122" s="8" t="s">
        <v>10</v>
      </c>
      <c r="E122" s="8">
        <v>88.40506779961288</v>
      </c>
      <c r="O122">
        <v>121</v>
      </c>
      <c r="P122">
        <v>168.03767594938108</v>
      </c>
    </row>
    <row r="123" spans="1:16">
      <c r="A123">
        <v>122</v>
      </c>
      <c r="B123">
        <v>168.80582949015661</v>
      </c>
      <c r="D123" s="8" t="s">
        <v>11</v>
      </c>
      <c r="E123" s="8">
        <v>120.83195075392723</v>
      </c>
      <c r="O123">
        <v>122</v>
      </c>
      <c r="P123">
        <v>181.17667410551803</v>
      </c>
    </row>
    <row r="124" spans="1:16">
      <c r="A124">
        <v>123</v>
      </c>
      <c r="B124">
        <v>175.16810872693895</v>
      </c>
      <c r="D124" s="8" t="s">
        <v>12</v>
      </c>
      <c r="E124" s="8">
        <v>209.23701855354011</v>
      </c>
      <c r="O124">
        <v>123</v>
      </c>
      <c r="P124">
        <v>153.95049546059454</v>
      </c>
    </row>
    <row r="125" spans="1:16">
      <c r="A125">
        <v>124</v>
      </c>
      <c r="B125">
        <v>164.55355522411992</v>
      </c>
      <c r="D125" s="8" t="s">
        <v>13</v>
      </c>
      <c r="E125" s="8">
        <v>35128.583394598536</v>
      </c>
      <c r="O125">
        <v>124</v>
      </c>
      <c r="P125">
        <v>150.78033799072728</v>
      </c>
    </row>
    <row r="126" spans="1:16">
      <c r="A126">
        <v>125</v>
      </c>
      <c r="B126">
        <v>170.58527861154289</v>
      </c>
      <c r="D126" s="8" t="s">
        <v>14</v>
      </c>
      <c r="E126" s="8">
        <v>200</v>
      </c>
      <c r="O126">
        <v>125</v>
      </c>
      <c r="P126">
        <v>160.04787299680174</v>
      </c>
    </row>
    <row r="127" spans="1:16">
      <c r="A127">
        <v>126</v>
      </c>
      <c r="B127">
        <v>188.49327476418694</v>
      </c>
      <c r="D127" s="8" t="s">
        <v>78</v>
      </c>
      <c r="E127" s="8">
        <v>202.18361429288052</v>
      </c>
      <c r="O127">
        <v>126</v>
      </c>
      <c r="P127">
        <v>191.03792725290987</v>
      </c>
    </row>
    <row r="128" spans="1:16">
      <c r="A128">
        <v>127</v>
      </c>
      <c r="B128">
        <v>190.05809450463858</v>
      </c>
      <c r="D128" s="8" t="s">
        <v>79</v>
      </c>
      <c r="E128" s="8">
        <v>143.16595739801414</v>
      </c>
      <c r="O128">
        <v>127</v>
      </c>
      <c r="P128">
        <v>147.48985437181545</v>
      </c>
    </row>
    <row r="129" spans="1:16" ht="13" thickBot="1">
      <c r="A129">
        <v>128</v>
      </c>
      <c r="B129">
        <v>181.86534349370049</v>
      </c>
      <c r="D129" s="238" t="s">
        <v>104</v>
      </c>
      <c r="E129" s="238">
        <v>1.7318772403015625</v>
      </c>
      <c r="O129">
        <v>128</v>
      </c>
      <c r="P129">
        <v>163.80025486869272</v>
      </c>
    </row>
    <row r="130" spans="1:16">
      <c r="A130">
        <v>129</v>
      </c>
      <c r="B130">
        <v>200.50621047703316</v>
      </c>
      <c r="O130">
        <v>129</v>
      </c>
      <c r="P130">
        <v>182.0032513121987</v>
      </c>
    </row>
    <row r="131" spans="1:16" ht="13">
      <c r="A131">
        <v>130</v>
      </c>
      <c r="B131">
        <v>179.62967477687926</v>
      </c>
      <c r="D131" s="149" t="s">
        <v>16</v>
      </c>
      <c r="E131">
        <f>E114-E129</f>
        <v>173.91103973269111</v>
      </c>
      <c r="O131">
        <v>130</v>
      </c>
      <c r="P131">
        <v>184.58734744926915</v>
      </c>
    </row>
    <row r="132" spans="1:16" ht="13">
      <c r="A132">
        <v>131</v>
      </c>
      <c r="B132">
        <v>176.05827666629921</v>
      </c>
      <c r="D132" s="149" t="s">
        <v>17</v>
      </c>
      <c r="E132">
        <f>E114+E129</f>
        <v>177.37479421329425</v>
      </c>
      <c r="O132">
        <v>131</v>
      </c>
      <c r="P132">
        <v>172.04750734963454</v>
      </c>
    </row>
    <row r="133" spans="1:16">
      <c r="A133">
        <v>132</v>
      </c>
      <c r="B133">
        <v>185.18478315018001</v>
      </c>
      <c r="O133">
        <v>132</v>
      </c>
      <c r="P133">
        <v>159.30538425964187</v>
      </c>
    </row>
    <row r="134" spans="1:16">
      <c r="A134">
        <v>133</v>
      </c>
      <c r="B134">
        <v>184.57046495386749</v>
      </c>
      <c r="D134" s="22" t="s">
        <v>86</v>
      </c>
      <c r="E134">
        <v>0.1</v>
      </c>
      <c r="F134" s="18">
        <v>0.1</v>
      </c>
      <c r="O134">
        <v>133</v>
      </c>
      <c r="P134">
        <v>191.76175997999962</v>
      </c>
    </row>
    <row r="135" spans="1:16">
      <c r="A135">
        <v>134</v>
      </c>
      <c r="B135">
        <v>175.40911913856689</v>
      </c>
      <c r="D135" s="22" t="s">
        <v>53</v>
      </c>
      <c r="E135">
        <f>1-E134/2</f>
        <v>0.95</v>
      </c>
      <c r="O135">
        <v>134</v>
      </c>
      <c r="P135">
        <v>183.2732753980963</v>
      </c>
    </row>
    <row r="136" spans="1:16">
      <c r="A136">
        <v>135</v>
      </c>
      <c r="B136">
        <v>184.85774022410624</v>
      </c>
      <c r="D136" s="22" t="s">
        <v>54</v>
      </c>
      <c r="E136">
        <f>E89</f>
        <v>200</v>
      </c>
      <c r="O136">
        <v>135</v>
      </c>
      <c r="P136">
        <v>192.24384901535814</v>
      </c>
    </row>
    <row r="137" spans="1:16">
      <c r="A137">
        <v>136</v>
      </c>
      <c r="B137">
        <v>197.4368022827548</v>
      </c>
      <c r="D137" s="22" t="s">
        <v>105</v>
      </c>
      <c r="E137">
        <f>_xlfn.T.INV(E135,E136-1)</f>
        <v>1.6525467461665586</v>
      </c>
      <c r="O137">
        <v>136</v>
      </c>
      <c r="P137">
        <v>150.80141553044086</v>
      </c>
    </row>
    <row r="138" spans="1:16">
      <c r="A138">
        <v>137</v>
      </c>
      <c r="B138">
        <v>159.21384361790842</v>
      </c>
      <c r="D138" s="232" t="s">
        <v>91</v>
      </c>
      <c r="E138" s="232">
        <f>E115</f>
        <v>1.0480049924875217</v>
      </c>
      <c r="F138" s="232">
        <f>E118/SQRT(E136)</f>
        <v>1.0480049924875217</v>
      </c>
      <c r="O138">
        <v>137</v>
      </c>
      <c r="P138">
        <v>210.93086148612201</v>
      </c>
    </row>
    <row r="139" spans="1:16" ht="13">
      <c r="A139">
        <v>138</v>
      </c>
      <c r="B139">
        <v>149.7624769952381</v>
      </c>
      <c r="D139" s="237" t="s">
        <v>84</v>
      </c>
      <c r="E139">
        <f>E137*E138</f>
        <v>1.7318772403015625</v>
      </c>
      <c r="O139">
        <v>138</v>
      </c>
      <c r="P139">
        <v>160.44984691761783</v>
      </c>
    </row>
    <row r="140" spans="1:16" ht="13">
      <c r="A140">
        <v>139</v>
      </c>
      <c r="B140">
        <v>182.77150717112818</v>
      </c>
      <c r="D140" s="149" t="s">
        <v>16</v>
      </c>
      <c r="E140">
        <f>E108-E139</f>
        <v>0.33474306304271728</v>
      </c>
      <c r="O140">
        <v>139</v>
      </c>
      <c r="P140">
        <v>185.15591237774061</v>
      </c>
    </row>
    <row r="141" spans="1:16" ht="13">
      <c r="A141">
        <v>140</v>
      </c>
      <c r="B141">
        <v>158.89484971994534</v>
      </c>
      <c r="D141" s="149" t="s">
        <v>17</v>
      </c>
      <c r="E141">
        <f>E108+E139</f>
        <v>3.7984975436458424</v>
      </c>
      <c r="O141">
        <v>140</v>
      </c>
      <c r="P141">
        <v>169.76833636435913</v>
      </c>
    </row>
    <row r="142" spans="1:16">
      <c r="A142">
        <v>141</v>
      </c>
      <c r="B142">
        <v>202.18361429288052</v>
      </c>
      <c r="O142">
        <v>141</v>
      </c>
      <c r="P142">
        <v>173.58248429518426</v>
      </c>
    </row>
    <row r="143" spans="1:16">
      <c r="A143">
        <v>142</v>
      </c>
      <c r="B143">
        <v>188.07377033299417</v>
      </c>
      <c r="O143">
        <v>142</v>
      </c>
      <c r="P143">
        <v>150.77187969000079</v>
      </c>
    </row>
    <row r="144" spans="1:16">
      <c r="A144">
        <v>143</v>
      </c>
      <c r="B144">
        <v>172.09430085204076</v>
      </c>
      <c r="O144">
        <v>143</v>
      </c>
      <c r="P144">
        <v>159.88863184320508</v>
      </c>
    </row>
    <row r="145" spans="1:16">
      <c r="A145">
        <v>144</v>
      </c>
      <c r="B145">
        <v>181.80552147969138</v>
      </c>
      <c r="O145">
        <v>144</v>
      </c>
      <c r="P145">
        <v>170.49051494796004</v>
      </c>
    </row>
    <row r="146" spans="1:16">
      <c r="A146">
        <v>145</v>
      </c>
      <c r="B146">
        <v>157.39796923371614</v>
      </c>
    </row>
    <row r="147" spans="1:16">
      <c r="A147">
        <v>146</v>
      </c>
      <c r="B147">
        <v>182.81352582635009</v>
      </c>
    </row>
    <row r="148" spans="1:16">
      <c r="A148">
        <v>147</v>
      </c>
      <c r="B148">
        <v>150.76765053963754</v>
      </c>
    </row>
    <row r="149" spans="1:16">
      <c r="A149">
        <v>148</v>
      </c>
      <c r="B149">
        <v>169.70242642019002</v>
      </c>
    </row>
    <row r="150" spans="1:16">
      <c r="A150">
        <v>149</v>
      </c>
      <c r="B150">
        <v>160.76082589352154</v>
      </c>
    </row>
    <row r="151" spans="1:16">
      <c r="A151">
        <v>150</v>
      </c>
      <c r="B151">
        <v>181.3005472838995</v>
      </c>
    </row>
    <row r="152" spans="1:16">
      <c r="A152">
        <v>151</v>
      </c>
      <c r="B152">
        <v>187.62660589418374</v>
      </c>
    </row>
    <row r="153" spans="1:16">
      <c r="A153">
        <v>152</v>
      </c>
      <c r="B153">
        <v>183.22388983579003</v>
      </c>
    </row>
    <row r="154" spans="1:16">
      <c r="A154">
        <v>153</v>
      </c>
      <c r="B154">
        <v>156.83511706884019</v>
      </c>
    </row>
    <row r="155" spans="1:16">
      <c r="A155">
        <v>154</v>
      </c>
      <c r="B155">
        <v>191.69549192229169</v>
      </c>
    </row>
    <row r="156" spans="1:16">
      <c r="A156">
        <v>155</v>
      </c>
      <c r="B156">
        <v>184.78381535787776</v>
      </c>
    </row>
    <row r="157" spans="1:16">
      <c r="A157">
        <v>156</v>
      </c>
      <c r="B157">
        <v>168.51852011386654</v>
      </c>
    </row>
    <row r="158" spans="1:16">
      <c r="A158">
        <v>157</v>
      </c>
      <c r="B158">
        <v>168.54495230363682</v>
      </c>
    </row>
    <row r="159" spans="1:16">
      <c r="A159">
        <v>158</v>
      </c>
      <c r="B159">
        <v>201.44105734361801</v>
      </c>
    </row>
    <row r="160" spans="1:16">
      <c r="A160">
        <v>159</v>
      </c>
      <c r="B160">
        <v>165.87956439325353</v>
      </c>
    </row>
    <row r="161" spans="1:2">
      <c r="A161">
        <v>160</v>
      </c>
      <c r="B161">
        <v>182.25503923604265</v>
      </c>
    </row>
    <row r="162" spans="1:2">
      <c r="A162">
        <v>161</v>
      </c>
      <c r="B162">
        <v>182.41410985938273</v>
      </c>
    </row>
    <row r="163" spans="1:2">
      <c r="A163">
        <v>162</v>
      </c>
      <c r="B163">
        <v>179.28308908340114</v>
      </c>
    </row>
    <row r="164" spans="1:2">
      <c r="A164">
        <v>163</v>
      </c>
      <c r="B164">
        <v>180.69640974390495</v>
      </c>
    </row>
    <row r="165" spans="1:2">
      <c r="A165">
        <v>164</v>
      </c>
      <c r="B165">
        <v>181.89975649947883</v>
      </c>
    </row>
    <row r="166" spans="1:2">
      <c r="A166">
        <v>165</v>
      </c>
      <c r="B166">
        <v>207.93034751550294</v>
      </c>
    </row>
    <row r="167" spans="1:2">
      <c r="A167">
        <v>166</v>
      </c>
      <c r="B167">
        <v>164.07586586938123</v>
      </c>
    </row>
    <row r="168" spans="1:2">
      <c r="A168">
        <v>167</v>
      </c>
      <c r="B168">
        <v>171.51910229658824</v>
      </c>
    </row>
    <row r="169" spans="1:2">
      <c r="A169">
        <v>168</v>
      </c>
      <c r="B169">
        <v>168.28213107219199</v>
      </c>
    </row>
    <row r="170" spans="1:2">
      <c r="A170">
        <v>169</v>
      </c>
      <c r="B170">
        <v>201.77311385923531</v>
      </c>
    </row>
    <row r="171" spans="1:2">
      <c r="A171">
        <v>170</v>
      </c>
      <c r="B171">
        <v>185.80331344383012</v>
      </c>
    </row>
    <row r="172" spans="1:2">
      <c r="A172">
        <v>171</v>
      </c>
      <c r="B172">
        <v>177.97588940156857</v>
      </c>
    </row>
    <row r="173" spans="1:2">
      <c r="A173">
        <v>172</v>
      </c>
      <c r="B173">
        <v>152.40030721615767</v>
      </c>
    </row>
    <row r="174" spans="1:2">
      <c r="A174">
        <v>173</v>
      </c>
      <c r="B174">
        <v>158.94375779753318</v>
      </c>
    </row>
    <row r="175" spans="1:2">
      <c r="A175">
        <v>174</v>
      </c>
      <c r="B175">
        <v>193.49659838626394</v>
      </c>
    </row>
    <row r="176" spans="1:2">
      <c r="A176">
        <v>175</v>
      </c>
      <c r="B176">
        <v>186.34432068283786</v>
      </c>
    </row>
    <row r="177" spans="1:2">
      <c r="A177">
        <v>176</v>
      </c>
      <c r="B177">
        <v>159.17588358279318</v>
      </c>
    </row>
    <row r="178" spans="1:2">
      <c r="A178">
        <v>177</v>
      </c>
      <c r="B178">
        <v>172.51528889646579</v>
      </c>
    </row>
    <row r="179" spans="1:2">
      <c r="A179">
        <v>178</v>
      </c>
      <c r="B179">
        <v>199.70997060299851</v>
      </c>
    </row>
    <row r="180" spans="1:2">
      <c r="A180">
        <v>179</v>
      </c>
      <c r="B180">
        <v>170.89707613267819</v>
      </c>
    </row>
    <row r="181" spans="1:2">
      <c r="A181">
        <v>180</v>
      </c>
      <c r="B181">
        <v>202.06594841583865</v>
      </c>
    </row>
    <row r="182" spans="1:2">
      <c r="A182">
        <v>181</v>
      </c>
      <c r="B182">
        <v>168.64928271461395</v>
      </c>
    </row>
    <row r="183" spans="1:2">
      <c r="A183">
        <v>182</v>
      </c>
      <c r="B183">
        <v>163.52542830718448</v>
      </c>
    </row>
    <row r="184" spans="1:2">
      <c r="A184">
        <v>183</v>
      </c>
      <c r="B184">
        <v>177.02627461476368</v>
      </c>
    </row>
    <row r="185" spans="1:2">
      <c r="A185">
        <v>184</v>
      </c>
      <c r="B185">
        <v>140.37935658125207</v>
      </c>
    </row>
    <row r="186" spans="1:2">
      <c r="A186">
        <v>185</v>
      </c>
      <c r="B186">
        <v>196.71832420572173</v>
      </c>
    </row>
    <row r="187" spans="1:2">
      <c r="A187">
        <v>186</v>
      </c>
      <c r="B187">
        <v>149.65783962979913</v>
      </c>
    </row>
    <row r="188" spans="1:2">
      <c r="A188">
        <v>187</v>
      </c>
      <c r="B188">
        <v>188.10903599005542</v>
      </c>
    </row>
    <row r="189" spans="1:2">
      <c r="A189">
        <v>188</v>
      </c>
      <c r="B189">
        <v>150.06902218447067</v>
      </c>
    </row>
    <row r="190" spans="1:2">
      <c r="A190">
        <v>189</v>
      </c>
      <c r="B190">
        <v>173.33908645996416</v>
      </c>
    </row>
    <row r="191" spans="1:2">
      <c r="A191">
        <v>190</v>
      </c>
      <c r="B191">
        <v>172.15390117671632</v>
      </c>
    </row>
    <row r="192" spans="1:2">
      <c r="A192">
        <v>191</v>
      </c>
      <c r="B192">
        <v>178.28785745296045</v>
      </c>
    </row>
    <row r="193" spans="1:2">
      <c r="A193">
        <v>192</v>
      </c>
      <c r="B193">
        <v>157.48221118046786</v>
      </c>
    </row>
    <row r="194" spans="1:2">
      <c r="A194">
        <v>193</v>
      </c>
      <c r="B194">
        <v>199.89455255272333</v>
      </c>
    </row>
    <row r="195" spans="1:2">
      <c r="A195">
        <v>194</v>
      </c>
      <c r="B195">
        <v>185.38802110997494</v>
      </c>
    </row>
    <row r="196" spans="1:2">
      <c r="A196">
        <v>195</v>
      </c>
      <c r="B196">
        <v>158.70361709021381</v>
      </c>
    </row>
    <row r="197" spans="1:2">
      <c r="A197">
        <v>196</v>
      </c>
      <c r="B197">
        <v>155.93812791921664</v>
      </c>
    </row>
    <row r="198" spans="1:2">
      <c r="A198">
        <v>197</v>
      </c>
      <c r="B198">
        <v>175.22090489437687</v>
      </c>
    </row>
    <row r="199" spans="1:2">
      <c r="A199">
        <v>198</v>
      </c>
      <c r="B199">
        <v>191.66141997702653</v>
      </c>
    </row>
    <row r="200" spans="1:2">
      <c r="A200">
        <v>199</v>
      </c>
      <c r="B200">
        <v>145.08053469471633</v>
      </c>
    </row>
    <row r="201" spans="1:2">
      <c r="A201">
        <v>200</v>
      </c>
      <c r="B201">
        <v>175.22090489437687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84A8A-53F1-4536-9F2D-6E9FA92CD68D}">
  <sheetPr>
    <tabColor rgb="FF00B0F0"/>
  </sheetPr>
  <dimension ref="A1:T201"/>
  <sheetViews>
    <sheetView topLeftCell="J1" zoomScale="85" zoomScaleNormal="85" workbookViewId="0">
      <selection activeCell="E51" sqref="E51"/>
    </sheetView>
  </sheetViews>
  <sheetFormatPr defaultRowHeight="12.5"/>
  <cols>
    <col min="4" max="4" width="5.08984375" bestFit="1" customWidth="1"/>
    <col min="5" max="5" width="10.08984375" bestFit="1" customWidth="1"/>
    <col min="6" max="6" width="12.90625" bestFit="1" customWidth="1"/>
  </cols>
  <sheetData>
    <row r="1" spans="1:16" ht="13">
      <c r="A1" s="227" t="s">
        <v>26</v>
      </c>
      <c r="B1" s="227" t="s">
        <v>106</v>
      </c>
      <c r="K1" s="261" t="s">
        <v>28</v>
      </c>
      <c r="L1" s="261" t="s">
        <v>29</v>
      </c>
      <c r="O1" s="227" t="s">
        <v>26</v>
      </c>
      <c r="P1" s="227" t="s">
        <v>106</v>
      </c>
    </row>
    <row r="2" spans="1:16">
      <c r="A2">
        <v>1</v>
      </c>
      <c r="B2">
        <v>161.31470816690126</v>
      </c>
      <c r="K2">
        <v>145</v>
      </c>
      <c r="L2">
        <v>150</v>
      </c>
      <c r="O2">
        <v>1</v>
      </c>
      <c r="P2">
        <v>187.96340315093403</v>
      </c>
    </row>
    <row r="3" spans="1:16">
      <c r="A3">
        <v>2</v>
      </c>
      <c r="B3">
        <v>188.21189984082594</v>
      </c>
      <c r="K3">
        <v>150</v>
      </c>
      <c r="L3">
        <v>155</v>
      </c>
      <c r="O3">
        <v>2</v>
      </c>
      <c r="P3">
        <v>181.24294216322596</v>
      </c>
    </row>
    <row r="4" spans="1:16">
      <c r="A4">
        <v>3</v>
      </c>
      <c r="B4">
        <v>161.63008682342479</v>
      </c>
      <c r="K4">
        <v>155</v>
      </c>
      <c r="L4">
        <v>160</v>
      </c>
      <c r="O4">
        <v>3</v>
      </c>
      <c r="P4">
        <v>192.2483169080806</v>
      </c>
    </row>
    <row r="5" spans="1:16">
      <c r="A5">
        <v>4</v>
      </c>
      <c r="B5">
        <v>173.18427909303864</v>
      </c>
      <c r="K5">
        <v>160</v>
      </c>
      <c r="L5">
        <v>165</v>
      </c>
      <c r="O5">
        <v>4</v>
      </c>
      <c r="P5">
        <v>173.58364390092902</v>
      </c>
    </row>
    <row r="6" spans="1:16">
      <c r="A6">
        <v>5</v>
      </c>
      <c r="B6">
        <v>167.83382408066245</v>
      </c>
      <c r="K6">
        <v>165</v>
      </c>
      <c r="L6">
        <v>170</v>
      </c>
      <c r="O6">
        <v>5</v>
      </c>
      <c r="P6">
        <v>159.41605839616386</v>
      </c>
    </row>
    <row r="7" spans="1:16">
      <c r="A7">
        <v>6</v>
      </c>
      <c r="B7">
        <v>193.30424025683897</v>
      </c>
      <c r="K7">
        <v>170</v>
      </c>
      <c r="L7">
        <v>175</v>
      </c>
      <c r="O7">
        <v>6</v>
      </c>
      <c r="P7">
        <v>175.08893152880773</v>
      </c>
    </row>
    <row r="8" spans="1:16">
      <c r="A8">
        <v>7</v>
      </c>
      <c r="B8">
        <v>135.48063621856272</v>
      </c>
      <c r="K8">
        <v>175</v>
      </c>
      <c r="L8">
        <v>180</v>
      </c>
      <c r="O8">
        <v>7</v>
      </c>
      <c r="P8">
        <v>221.45844455808401</v>
      </c>
    </row>
    <row r="9" spans="1:16">
      <c r="A9">
        <v>8</v>
      </c>
      <c r="B9">
        <v>187.75296881431132</v>
      </c>
      <c r="K9">
        <v>180</v>
      </c>
      <c r="L9">
        <v>185</v>
      </c>
      <c r="O9">
        <v>8</v>
      </c>
      <c r="P9">
        <v>190.37678144813981</v>
      </c>
    </row>
    <row r="10" spans="1:16">
      <c r="A10">
        <v>9</v>
      </c>
      <c r="B10">
        <v>197.58898348372895</v>
      </c>
      <c r="K10">
        <v>185</v>
      </c>
      <c r="L10">
        <v>190</v>
      </c>
      <c r="O10">
        <v>9</v>
      </c>
      <c r="P10">
        <v>180.24875076735043</v>
      </c>
    </row>
    <row r="11" spans="1:16">
      <c r="A11">
        <v>10</v>
      </c>
      <c r="B11">
        <v>174.66204313750495</v>
      </c>
      <c r="K11">
        <v>190</v>
      </c>
      <c r="L11">
        <v>195</v>
      </c>
      <c r="O11">
        <v>10</v>
      </c>
      <c r="P11">
        <v>154.66938281024341</v>
      </c>
    </row>
    <row r="12" spans="1:16">
      <c r="A12">
        <v>11</v>
      </c>
      <c r="B12">
        <v>178.96847781303222</v>
      </c>
      <c r="O12">
        <v>11</v>
      </c>
      <c r="P12">
        <v>154.97285845485749</v>
      </c>
    </row>
    <row r="13" spans="1:16">
      <c r="A13">
        <v>12</v>
      </c>
      <c r="B13">
        <v>188.60718897558399</v>
      </c>
      <c r="O13">
        <v>12</v>
      </c>
      <c r="P13">
        <v>179.0886334318202</v>
      </c>
    </row>
    <row r="14" spans="1:16">
      <c r="A14">
        <v>13</v>
      </c>
      <c r="B14">
        <v>179.48306991529535</v>
      </c>
      <c r="O14">
        <v>13</v>
      </c>
      <c r="P14">
        <v>154.02702943974873</v>
      </c>
    </row>
    <row r="15" spans="1:16">
      <c r="A15">
        <v>14</v>
      </c>
      <c r="B15">
        <v>143.16595739801414</v>
      </c>
      <c r="O15">
        <v>14</v>
      </c>
      <c r="P15">
        <v>151.81566128449049</v>
      </c>
    </row>
    <row r="16" spans="1:16">
      <c r="A16">
        <v>15</v>
      </c>
      <c r="B16">
        <v>202.17774805205408</v>
      </c>
      <c r="O16">
        <v>15</v>
      </c>
      <c r="P16">
        <v>169.66944586856698</v>
      </c>
    </row>
    <row r="17" spans="1:20">
      <c r="A17">
        <v>16</v>
      </c>
      <c r="B17">
        <v>205.00377546413802</v>
      </c>
      <c r="O17">
        <v>16</v>
      </c>
      <c r="P17">
        <v>160.53228124364978</v>
      </c>
    </row>
    <row r="18" spans="1:20">
      <c r="A18">
        <v>17</v>
      </c>
      <c r="B18">
        <v>184.12043560674647</v>
      </c>
      <c r="O18">
        <v>17</v>
      </c>
      <c r="P18">
        <v>143.12202880391851</v>
      </c>
    </row>
    <row r="19" spans="1:20" ht="13" thickBot="1">
      <c r="A19">
        <v>18</v>
      </c>
      <c r="B19">
        <v>166.2658665834897</v>
      </c>
      <c r="O19">
        <v>18</v>
      </c>
      <c r="P19">
        <v>201.49549060151912</v>
      </c>
    </row>
    <row r="20" spans="1:20" ht="13">
      <c r="A20">
        <v>19</v>
      </c>
      <c r="B20">
        <v>173.23859297976014</v>
      </c>
      <c r="D20" s="12" t="s">
        <v>28</v>
      </c>
      <c r="E20" s="12" t="s">
        <v>30</v>
      </c>
      <c r="F20" s="12" t="s">
        <v>31</v>
      </c>
      <c r="O20">
        <v>19</v>
      </c>
      <c r="P20">
        <v>155.86585719647701</v>
      </c>
      <c r="R20" s="12" t="s">
        <v>28</v>
      </c>
      <c r="S20" s="12" t="s">
        <v>30</v>
      </c>
      <c r="T20" s="12" t="s">
        <v>31</v>
      </c>
    </row>
    <row r="21" spans="1:20">
      <c r="A21">
        <v>20</v>
      </c>
      <c r="B21">
        <v>176.20672325465421</v>
      </c>
      <c r="D21" s="221">
        <v>145</v>
      </c>
      <c r="E21" s="8">
        <v>5</v>
      </c>
      <c r="F21" s="9">
        <v>2.5000000000000001E-2</v>
      </c>
      <c r="O21">
        <v>20</v>
      </c>
      <c r="P21">
        <v>170.29805450038111</v>
      </c>
      <c r="R21" s="221">
        <v>145</v>
      </c>
      <c r="S21" s="8">
        <v>6</v>
      </c>
      <c r="T21" s="9">
        <v>4.1666666666666664E-2</v>
      </c>
    </row>
    <row r="22" spans="1:20">
      <c r="A22">
        <v>21</v>
      </c>
      <c r="B22">
        <v>162.60736161784735</v>
      </c>
      <c r="D22" s="221">
        <v>150</v>
      </c>
      <c r="E22" s="8">
        <v>4</v>
      </c>
      <c r="F22" s="9">
        <v>4.4999999999999998E-2</v>
      </c>
      <c r="O22">
        <v>21</v>
      </c>
      <c r="P22">
        <v>180.22190930496436</v>
      </c>
      <c r="R22" s="221">
        <v>150</v>
      </c>
      <c r="S22" s="8">
        <v>4</v>
      </c>
      <c r="T22" s="9">
        <v>6.9444444444444448E-2</v>
      </c>
    </row>
    <row r="23" spans="1:20">
      <c r="A23">
        <v>22</v>
      </c>
      <c r="B23">
        <v>166.59681465243921</v>
      </c>
      <c r="D23" s="221">
        <v>155</v>
      </c>
      <c r="E23" s="8">
        <v>5</v>
      </c>
      <c r="F23" s="9">
        <v>7.0000000000000007E-2</v>
      </c>
      <c r="O23">
        <v>22</v>
      </c>
      <c r="P23">
        <v>157.09514160407707</v>
      </c>
      <c r="R23" s="221">
        <v>155</v>
      </c>
      <c r="S23" s="8">
        <v>10</v>
      </c>
      <c r="T23" s="9">
        <v>0.1388888888888889</v>
      </c>
    </row>
    <row r="24" spans="1:20">
      <c r="A24">
        <v>23</v>
      </c>
      <c r="B24">
        <v>170.48572304775007</v>
      </c>
      <c r="D24" s="221">
        <v>160</v>
      </c>
      <c r="E24" s="8">
        <v>14</v>
      </c>
      <c r="F24" s="9">
        <v>0.14000000000000001</v>
      </c>
      <c r="O24">
        <v>23</v>
      </c>
      <c r="P24">
        <v>187.53687287317007</v>
      </c>
      <c r="R24" s="221">
        <v>160</v>
      </c>
      <c r="S24" s="8">
        <v>12</v>
      </c>
      <c r="T24" s="9">
        <v>0.22222222222222221</v>
      </c>
    </row>
    <row r="25" spans="1:20">
      <c r="A25">
        <v>24</v>
      </c>
      <c r="B25">
        <v>164.7978568696999</v>
      </c>
      <c r="D25" s="221">
        <v>165</v>
      </c>
      <c r="E25" s="8">
        <v>16</v>
      </c>
      <c r="F25" s="9">
        <v>0.22</v>
      </c>
      <c r="O25">
        <v>24</v>
      </c>
      <c r="P25">
        <v>181.10679080637055</v>
      </c>
      <c r="R25" s="221">
        <v>165</v>
      </c>
      <c r="S25" s="8">
        <v>19</v>
      </c>
      <c r="T25" s="9">
        <v>0.35416666666666669</v>
      </c>
    </row>
    <row r="26" spans="1:20">
      <c r="A26">
        <v>25</v>
      </c>
      <c r="B26">
        <v>166.040562008493</v>
      </c>
      <c r="D26" s="221">
        <v>170</v>
      </c>
      <c r="E26" s="8">
        <v>25</v>
      </c>
      <c r="F26" s="9">
        <v>0.34499999999999997</v>
      </c>
      <c r="O26">
        <v>25</v>
      </c>
      <c r="P26">
        <v>147.48985437181545</v>
      </c>
      <c r="R26" s="221">
        <v>170</v>
      </c>
      <c r="S26" s="8">
        <v>16</v>
      </c>
      <c r="T26" s="9">
        <v>0.46527777777777779</v>
      </c>
    </row>
    <row r="27" spans="1:20">
      <c r="A27">
        <v>26</v>
      </c>
      <c r="B27">
        <v>174.60119794195634</v>
      </c>
      <c r="D27" s="221">
        <v>175</v>
      </c>
      <c r="E27" s="8">
        <v>29</v>
      </c>
      <c r="F27" s="9">
        <v>0.49</v>
      </c>
      <c r="O27">
        <v>26</v>
      </c>
      <c r="P27">
        <v>177.02975343199796</v>
      </c>
      <c r="R27" s="221">
        <v>175</v>
      </c>
      <c r="S27" s="8">
        <v>13</v>
      </c>
      <c r="T27" s="9">
        <v>0.55555555555555558</v>
      </c>
    </row>
    <row r="28" spans="1:20">
      <c r="A28">
        <v>27</v>
      </c>
      <c r="B28">
        <v>172.58738908894884</v>
      </c>
      <c r="D28" s="221">
        <v>180</v>
      </c>
      <c r="E28" s="8">
        <v>23</v>
      </c>
      <c r="F28" s="9">
        <v>0.60499999999999998</v>
      </c>
      <c r="O28">
        <v>27</v>
      </c>
      <c r="P28">
        <v>205.0378815154545</v>
      </c>
      <c r="R28" s="221">
        <v>180</v>
      </c>
      <c r="S28" s="8">
        <v>13</v>
      </c>
      <c r="T28" s="9">
        <v>0.64583333333333337</v>
      </c>
    </row>
    <row r="29" spans="1:20">
      <c r="A29">
        <v>28</v>
      </c>
      <c r="B29">
        <v>173.66774942347547</v>
      </c>
      <c r="D29" s="221">
        <v>185</v>
      </c>
      <c r="E29" s="8">
        <v>30</v>
      </c>
      <c r="F29" s="9">
        <v>0.755</v>
      </c>
      <c r="O29">
        <v>28</v>
      </c>
      <c r="P29">
        <v>171.99368800065713</v>
      </c>
      <c r="R29" s="221">
        <v>185</v>
      </c>
      <c r="S29" s="8">
        <v>19</v>
      </c>
      <c r="T29" s="9">
        <v>0.77777777777777779</v>
      </c>
    </row>
    <row r="30" spans="1:20">
      <c r="A30">
        <v>29</v>
      </c>
      <c r="B30">
        <v>182.81352582635009</v>
      </c>
      <c r="D30" s="221">
        <v>190</v>
      </c>
      <c r="E30" s="8">
        <v>14</v>
      </c>
      <c r="F30" s="9">
        <v>0.82499999999999996</v>
      </c>
      <c r="O30">
        <v>29</v>
      </c>
      <c r="P30">
        <v>165.88785216372344</v>
      </c>
      <c r="R30" s="221">
        <v>190</v>
      </c>
      <c r="S30" s="8">
        <v>14</v>
      </c>
      <c r="T30" s="9">
        <v>0.875</v>
      </c>
    </row>
    <row r="31" spans="1:20" ht="13" thickBot="1">
      <c r="A31">
        <v>30</v>
      </c>
      <c r="B31">
        <v>178.26904796565941</v>
      </c>
      <c r="D31" s="10" t="s">
        <v>32</v>
      </c>
      <c r="E31" s="10">
        <v>35</v>
      </c>
      <c r="F31" s="11">
        <v>1</v>
      </c>
      <c r="O31">
        <v>30</v>
      </c>
      <c r="P31">
        <v>156.2152736922144</v>
      </c>
      <c r="R31" s="10" t="s">
        <v>32</v>
      </c>
      <c r="S31" s="10">
        <v>18</v>
      </c>
      <c r="T31" s="11">
        <v>1</v>
      </c>
    </row>
    <row r="32" spans="1:20">
      <c r="A32">
        <v>31</v>
      </c>
      <c r="B32">
        <v>171.58627416465606</v>
      </c>
      <c r="E32">
        <f>SUM(E21:E31)</f>
        <v>200</v>
      </c>
      <c r="O32">
        <v>31</v>
      </c>
      <c r="P32">
        <v>163.86232788208872</v>
      </c>
      <c r="S32">
        <f>SUM(S21:S31)</f>
        <v>144</v>
      </c>
    </row>
    <row r="33" spans="1:20">
      <c r="A33">
        <v>32</v>
      </c>
      <c r="B33">
        <v>191.0847548613674</v>
      </c>
      <c r="O33">
        <v>32</v>
      </c>
      <c r="P33">
        <v>189.1745090331824</v>
      </c>
    </row>
    <row r="34" spans="1:20">
      <c r="A34">
        <v>33</v>
      </c>
      <c r="B34">
        <v>168.95671466118074</v>
      </c>
      <c r="O34">
        <v>33</v>
      </c>
      <c r="P34">
        <v>167.53268470056355</v>
      </c>
    </row>
    <row r="35" spans="1:20" ht="13" thickBot="1">
      <c r="A35">
        <v>34</v>
      </c>
      <c r="B35">
        <v>184.29219368117629</v>
      </c>
      <c r="O35">
        <v>34</v>
      </c>
      <c r="P35">
        <v>169.8048980513704</v>
      </c>
    </row>
    <row r="36" spans="1:20" ht="13">
      <c r="A36">
        <v>35</v>
      </c>
      <c r="B36">
        <v>170.79455334242084</v>
      </c>
      <c r="O36">
        <v>35</v>
      </c>
      <c r="P36">
        <v>180.935169156146</v>
      </c>
      <c r="R36" s="12" t="s">
        <v>29</v>
      </c>
      <c r="S36" s="12" t="s">
        <v>30</v>
      </c>
      <c r="T36" s="12" t="s">
        <v>31</v>
      </c>
    </row>
    <row r="37" spans="1:20" ht="13" thickBot="1">
      <c r="A37">
        <v>36</v>
      </c>
      <c r="B37">
        <v>120.83195075392723</v>
      </c>
      <c r="O37">
        <v>36</v>
      </c>
      <c r="P37">
        <v>186.70656105387025</v>
      </c>
      <c r="R37" s="221">
        <v>150</v>
      </c>
      <c r="S37" s="8">
        <v>10</v>
      </c>
      <c r="T37" s="9">
        <v>6.9444444444444448E-2</v>
      </c>
    </row>
    <row r="38" spans="1:20" ht="13">
      <c r="A38">
        <v>37</v>
      </c>
      <c r="B38">
        <v>179.20664036937524</v>
      </c>
      <c r="D38" s="12" t="s">
        <v>29</v>
      </c>
      <c r="E38" s="12" t="s">
        <v>30</v>
      </c>
      <c r="F38" s="12" t="s">
        <v>31</v>
      </c>
      <c r="O38">
        <v>37</v>
      </c>
      <c r="P38">
        <v>183.86634552443866</v>
      </c>
      <c r="R38" s="221">
        <v>155</v>
      </c>
      <c r="S38" s="8">
        <v>10</v>
      </c>
      <c r="T38" s="9">
        <v>0.1388888888888889</v>
      </c>
    </row>
    <row r="39" spans="1:20">
      <c r="A39">
        <v>38</v>
      </c>
      <c r="B39">
        <v>184.20754246180877</v>
      </c>
      <c r="D39" s="221">
        <v>150</v>
      </c>
      <c r="E39" s="8">
        <v>9</v>
      </c>
      <c r="F39" s="9">
        <v>4.4999999999999998E-2</v>
      </c>
      <c r="O39">
        <v>38</v>
      </c>
      <c r="P39">
        <v>160.23156818919233</v>
      </c>
      <c r="R39" s="221">
        <v>160</v>
      </c>
      <c r="S39" s="8">
        <v>12</v>
      </c>
      <c r="T39" s="9">
        <v>0.22222222222222221</v>
      </c>
    </row>
    <row r="40" spans="1:20">
      <c r="A40">
        <v>39</v>
      </c>
      <c r="B40">
        <v>182.88589886724367</v>
      </c>
      <c r="D40" s="221">
        <v>155</v>
      </c>
      <c r="E40" s="8">
        <v>5</v>
      </c>
      <c r="F40" s="9">
        <v>7.0000000000000007E-2</v>
      </c>
      <c r="O40">
        <v>39</v>
      </c>
      <c r="P40">
        <v>197.89689291501418</v>
      </c>
      <c r="R40" s="221">
        <v>165</v>
      </c>
      <c r="S40" s="8">
        <v>19</v>
      </c>
      <c r="T40" s="9">
        <v>0.35416666666666669</v>
      </c>
    </row>
    <row r="41" spans="1:20">
      <c r="A41">
        <v>40</v>
      </c>
      <c r="B41">
        <v>171.87885292587453</v>
      </c>
      <c r="D41" s="221">
        <v>160</v>
      </c>
      <c r="E41" s="8">
        <v>14</v>
      </c>
      <c r="F41" s="9">
        <v>0.14000000000000001</v>
      </c>
      <c r="O41">
        <v>40</v>
      </c>
      <c r="P41">
        <v>172.09430085204076</v>
      </c>
      <c r="R41" s="221">
        <v>170</v>
      </c>
      <c r="S41" s="8">
        <v>16</v>
      </c>
      <c r="T41" s="9">
        <v>0.46527777777777779</v>
      </c>
    </row>
    <row r="42" spans="1:20">
      <c r="A42">
        <v>41</v>
      </c>
      <c r="B42">
        <v>163.66485384496627</v>
      </c>
      <c r="D42" s="221">
        <v>165</v>
      </c>
      <c r="E42" s="8">
        <v>16</v>
      </c>
      <c r="F42" s="9">
        <v>0.22</v>
      </c>
      <c r="O42">
        <v>41</v>
      </c>
      <c r="P42">
        <v>167.2507981864328</v>
      </c>
      <c r="R42" s="221">
        <v>175</v>
      </c>
      <c r="S42" s="8">
        <v>13</v>
      </c>
      <c r="T42" s="9">
        <v>0.55555555555555558</v>
      </c>
    </row>
    <row r="43" spans="1:20">
      <c r="A43">
        <v>42</v>
      </c>
      <c r="B43">
        <v>195.29330516961636</v>
      </c>
      <c r="D43" s="221">
        <v>170</v>
      </c>
      <c r="E43" s="8">
        <v>25</v>
      </c>
      <c r="F43" s="9">
        <v>0.34499999999999997</v>
      </c>
      <c r="O43">
        <v>42</v>
      </c>
      <c r="P43">
        <v>171.85774128010962</v>
      </c>
      <c r="R43" s="221">
        <v>180</v>
      </c>
      <c r="S43" s="8">
        <v>13</v>
      </c>
      <c r="T43" s="9">
        <v>0.64583333333333337</v>
      </c>
    </row>
    <row r="44" spans="1:20">
      <c r="A44">
        <v>43</v>
      </c>
      <c r="B44">
        <v>158.61224697873695</v>
      </c>
      <c r="D44" s="221">
        <v>175</v>
      </c>
      <c r="E44" s="8">
        <v>29</v>
      </c>
      <c r="F44" s="9">
        <v>0.49</v>
      </c>
      <c r="O44">
        <v>43</v>
      </c>
      <c r="P44">
        <v>164.07586586938123</v>
      </c>
      <c r="R44" s="221">
        <v>185</v>
      </c>
      <c r="S44" s="8">
        <v>19</v>
      </c>
      <c r="T44" s="9">
        <v>0.77777777777777779</v>
      </c>
    </row>
    <row r="45" spans="1:20">
      <c r="A45">
        <v>44</v>
      </c>
      <c r="B45">
        <v>182.87536009738687</v>
      </c>
      <c r="D45" s="221">
        <v>180</v>
      </c>
      <c r="E45" s="8">
        <v>23</v>
      </c>
      <c r="F45" s="9">
        <v>0.60499999999999998</v>
      </c>
      <c r="O45">
        <v>44</v>
      </c>
      <c r="P45">
        <v>193.19598764996044</v>
      </c>
      <c r="R45" s="221">
        <v>190</v>
      </c>
      <c r="S45" s="8">
        <v>14</v>
      </c>
      <c r="T45" s="9">
        <v>0.875</v>
      </c>
    </row>
    <row r="46" spans="1:20">
      <c r="A46">
        <v>45</v>
      </c>
      <c r="B46">
        <v>180.71738496546459</v>
      </c>
      <c r="D46" s="221">
        <v>185</v>
      </c>
      <c r="E46" s="8">
        <v>30</v>
      </c>
      <c r="F46" s="9">
        <v>0.755</v>
      </c>
      <c r="O46">
        <v>45</v>
      </c>
      <c r="P46">
        <v>158.7532413948793</v>
      </c>
      <c r="R46" s="221">
        <v>195</v>
      </c>
      <c r="S46" s="8">
        <v>11</v>
      </c>
      <c r="T46" s="9">
        <v>0.95138888888888884</v>
      </c>
    </row>
    <row r="47" spans="1:20" ht="13" thickBot="1">
      <c r="A47">
        <v>46</v>
      </c>
      <c r="B47">
        <v>192.42058657328016</v>
      </c>
      <c r="D47" s="221">
        <v>190</v>
      </c>
      <c r="E47" s="8">
        <v>14</v>
      </c>
      <c r="F47" s="9">
        <v>0.82499999999999996</v>
      </c>
      <c r="O47">
        <v>46</v>
      </c>
      <c r="P47">
        <v>192.38460468914127</v>
      </c>
      <c r="R47" s="10" t="s">
        <v>32</v>
      </c>
      <c r="S47" s="10">
        <v>7</v>
      </c>
      <c r="T47" s="11">
        <v>1</v>
      </c>
    </row>
    <row r="48" spans="1:20">
      <c r="A48">
        <v>47</v>
      </c>
      <c r="B48">
        <v>161.39281102441601</v>
      </c>
      <c r="D48" s="221">
        <v>195</v>
      </c>
      <c r="E48" s="8">
        <v>14</v>
      </c>
      <c r="F48" s="9">
        <v>0.89500000000000002</v>
      </c>
      <c r="O48">
        <v>47</v>
      </c>
      <c r="P48">
        <v>180.06128685628937</v>
      </c>
      <c r="S48">
        <f>SUM(S37:S47)</f>
        <v>144</v>
      </c>
    </row>
    <row r="49" spans="1:16" ht="13" thickBot="1">
      <c r="A49">
        <v>48</v>
      </c>
      <c r="B49">
        <v>190.05809450463858</v>
      </c>
      <c r="D49" s="10" t="s">
        <v>32</v>
      </c>
      <c r="E49" s="10">
        <v>21</v>
      </c>
      <c r="F49" s="11">
        <v>1</v>
      </c>
      <c r="O49">
        <v>48</v>
      </c>
      <c r="P49">
        <v>140.17881299951114</v>
      </c>
    </row>
    <row r="50" spans="1:16">
      <c r="A50">
        <v>49</v>
      </c>
      <c r="B50">
        <v>180.07100708091457</v>
      </c>
      <c r="E50">
        <f>SUM(E39:E49)</f>
        <v>200</v>
      </c>
      <c r="O50">
        <v>49</v>
      </c>
      <c r="P50">
        <v>157.77613713071332</v>
      </c>
    </row>
    <row r="51" spans="1:16">
      <c r="A51">
        <v>50</v>
      </c>
      <c r="B51">
        <v>184.63666479947278</v>
      </c>
      <c r="O51">
        <v>50</v>
      </c>
      <c r="P51">
        <v>195.15094651142135</v>
      </c>
    </row>
    <row r="52" spans="1:16">
      <c r="A52">
        <v>51</v>
      </c>
      <c r="B52">
        <v>174.56332317196939</v>
      </c>
      <c r="O52">
        <v>51</v>
      </c>
      <c r="P52">
        <v>186.1815666059556</v>
      </c>
    </row>
    <row r="53" spans="1:16">
      <c r="A53">
        <v>52</v>
      </c>
      <c r="B53">
        <v>192.33975523166009</v>
      </c>
      <c r="O53">
        <v>52</v>
      </c>
      <c r="P53">
        <v>175.69733232521685</v>
      </c>
    </row>
    <row r="54" spans="1:16">
      <c r="A54">
        <v>53</v>
      </c>
      <c r="B54">
        <v>172.67221083857294</v>
      </c>
      <c r="O54">
        <v>53</v>
      </c>
      <c r="P54">
        <v>179.45547811978031</v>
      </c>
    </row>
    <row r="55" spans="1:16">
      <c r="A55">
        <v>54</v>
      </c>
      <c r="B55">
        <v>166.26179091035738</v>
      </c>
      <c r="O55">
        <v>54</v>
      </c>
      <c r="P55">
        <v>169.58747197422781</v>
      </c>
    </row>
    <row r="56" spans="1:16">
      <c r="A56">
        <v>55</v>
      </c>
      <c r="B56">
        <v>209.23701855354011</v>
      </c>
      <c r="O56">
        <v>55</v>
      </c>
      <c r="P56">
        <v>171.59686409358983</v>
      </c>
    </row>
    <row r="57" spans="1:16">
      <c r="A57">
        <v>56</v>
      </c>
      <c r="B57">
        <v>176.63898334903934</v>
      </c>
      <c r="O57">
        <v>56</v>
      </c>
      <c r="P57">
        <v>165.40562670415966</v>
      </c>
    </row>
    <row r="58" spans="1:16">
      <c r="A58">
        <v>57</v>
      </c>
      <c r="B58">
        <v>153.29149833705742</v>
      </c>
      <c r="O58">
        <v>57</v>
      </c>
      <c r="P58">
        <v>164.67896317481063</v>
      </c>
    </row>
    <row r="59" spans="1:16">
      <c r="A59">
        <v>58</v>
      </c>
      <c r="B59">
        <v>178.12701331495191</v>
      </c>
      <c r="O59">
        <v>58</v>
      </c>
      <c r="P59">
        <v>183.77630554896314</v>
      </c>
    </row>
    <row r="60" spans="1:16">
      <c r="A60">
        <v>59</v>
      </c>
      <c r="B60">
        <v>166.040562008493</v>
      </c>
      <c r="O60">
        <v>59</v>
      </c>
      <c r="P60">
        <v>148.63452166609932</v>
      </c>
    </row>
    <row r="61" spans="1:16">
      <c r="A61">
        <v>60</v>
      </c>
      <c r="B61">
        <v>168.53236717070104</v>
      </c>
      <c r="O61">
        <v>60</v>
      </c>
      <c r="P61">
        <v>137.64268702361733</v>
      </c>
    </row>
    <row r="62" spans="1:16">
      <c r="A62">
        <v>61</v>
      </c>
      <c r="B62">
        <v>156.9799654687813</v>
      </c>
      <c r="O62">
        <v>61</v>
      </c>
      <c r="P62">
        <v>177.87179773295065</v>
      </c>
    </row>
    <row r="63" spans="1:16">
      <c r="A63">
        <v>62</v>
      </c>
      <c r="B63">
        <v>163.52542830718448</v>
      </c>
      <c r="O63">
        <v>62</v>
      </c>
      <c r="P63">
        <v>191.04604449312319</v>
      </c>
    </row>
    <row r="64" spans="1:16">
      <c r="A64">
        <v>63</v>
      </c>
      <c r="B64">
        <v>181.17292243987322</v>
      </c>
      <c r="O64">
        <v>63</v>
      </c>
      <c r="P64">
        <v>167.49370148390881</v>
      </c>
    </row>
    <row r="65" spans="1:16">
      <c r="A65">
        <v>64</v>
      </c>
      <c r="B65">
        <v>182.34675040803268</v>
      </c>
      <c r="O65">
        <v>64</v>
      </c>
      <c r="P65">
        <v>190.72838073116145</v>
      </c>
    </row>
    <row r="66" spans="1:16">
      <c r="A66">
        <v>65</v>
      </c>
      <c r="B66">
        <v>180.01029830957123</v>
      </c>
      <c r="O66">
        <v>65</v>
      </c>
      <c r="P66">
        <v>185.33266698868829</v>
      </c>
    </row>
    <row r="67" spans="1:16">
      <c r="A67">
        <v>66</v>
      </c>
      <c r="B67">
        <v>158.00703509812593</v>
      </c>
      <c r="O67">
        <v>66</v>
      </c>
      <c r="P67">
        <v>162.83993078177446</v>
      </c>
    </row>
    <row r="68" spans="1:16">
      <c r="A68">
        <v>67</v>
      </c>
      <c r="B68">
        <v>197.6426664085011</v>
      </c>
      <c r="O68">
        <v>67</v>
      </c>
      <c r="P68">
        <v>168.63298002208467</v>
      </c>
    </row>
    <row r="69" spans="1:16">
      <c r="A69">
        <v>68</v>
      </c>
      <c r="B69">
        <v>165.68693341541803</v>
      </c>
      <c r="O69">
        <v>68</v>
      </c>
      <c r="P69">
        <v>187.01085524371592</v>
      </c>
    </row>
    <row r="70" spans="1:16">
      <c r="A70">
        <v>69</v>
      </c>
      <c r="B70">
        <v>171.49081132702122</v>
      </c>
      <c r="O70">
        <v>69</v>
      </c>
      <c r="P70">
        <v>205.05493454111274</v>
      </c>
    </row>
    <row r="71" spans="1:16">
      <c r="A71">
        <v>70</v>
      </c>
      <c r="B71">
        <v>180.38070707989391</v>
      </c>
      <c r="O71">
        <v>70</v>
      </c>
      <c r="P71">
        <v>185.19781166178291</v>
      </c>
    </row>
    <row r="72" spans="1:16">
      <c r="A72">
        <v>71</v>
      </c>
      <c r="B72">
        <v>201.67768512765178</v>
      </c>
      <c r="O72">
        <v>71</v>
      </c>
      <c r="P72">
        <v>162.51186467416119</v>
      </c>
    </row>
    <row r="73" spans="1:16">
      <c r="A73">
        <v>72</v>
      </c>
      <c r="B73">
        <v>163.53774059170973</v>
      </c>
      <c r="O73">
        <v>72</v>
      </c>
      <c r="P73">
        <v>167.44554373944993</v>
      </c>
    </row>
    <row r="74" spans="1:16">
      <c r="A74">
        <v>73</v>
      </c>
      <c r="B74">
        <v>188.72710585201276</v>
      </c>
      <c r="O74">
        <v>73</v>
      </c>
      <c r="P74">
        <v>176.15837792691309</v>
      </c>
    </row>
    <row r="75" spans="1:16">
      <c r="A75">
        <v>74</v>
      </c>
      <c r="B75">
        <v>173.76102947382606</v>
      </c>
      <c r="O75">
        <v>74</v>
      </c>
      <c r="P75">
        <v>169.6462025945948</v>
      </c>
    </row>
    <row r="76" spans="1:16">
      <c r="A76">
        <v>75</v>
      </c>
      <c r="B76">
        <v>175.375831632482</v>
      </c>
      <c r="O76">
        <v>75</v>
      </c>
      <c r="P76">
        <v>164.15202468197094</v>
      </c>
    </row>
    <row r="77" spans="1:16">
      <c r="A77">
        <v>76</v>
      </c>
      <c r="B77">
        <v>171.75914068575366</v>
      </c>
      <c r="O77">
        <v>76</v>
      </c>
      <c r="P77">
        <v>141.41290636034682</v>
      </c>
    </row>
    <row r="78" spans="1:16">
      <c r="A78">
        <v>77</v>
      </c>
      <c r="B78">
        <v>173.05822312737291</v>
      </c>
      <c r="O78">
        <v>77</v>
      </c>
      <c r="P78">
        <v>174.6367876065051</v>
      </c>
    </row>
    <row r="79" spans="1:16">
      <c r="A79">
        <v>78</v>
      </c>
      <c r="B79">
        <v>194.97970002776128</v>
      </c>
      <c r="O79">
        <v>78</v>
      </c>
      <c r="P79">
        <v>161.72541323685437</v>
      </c>
    </row>
    <row r="80" spans="1:16">
      <c r="A80">
        <v>79</v>
      </c>
      <c r="B80">
        <v>152.29260030610021</v>
      </c>
      <c r="O80">
        <v>79</v>
      </c>
      <c r="P80">
        <v>182.45302486393484</v>
      </c>
    </row>
    <row r="81" spans="1:16">
      <c r="A81">
        <v>80</v>
      </c>
      <c r="B81">
        <v>189.11898438163917</v>
      </c>
      <c r="O81">
        <v>80</v>
      </c>
      <c r="P81">
        <v>156.2152736922144</v>
      </c>
    </row>
    <row r="82" spans="1:16">
      <c r="A82">
        <v>81</v>
      </c>
      <c r="B82">
        <v>192.144259345514</v>
      </c>
      <c r="O82">
        <v>81</v>
      </c>
      <c r="P82">
        <v>165.20056407061929</v>
      </c>
    </row>
    <row r="83" spans="1:16">
      <c r="A83">
        <v>82</v>
      </c>
      <c r="B83">
        <v>196.01577365465346</v>
      </c>
      <c r="O83">
        <v>82</v>
      </c>
      <c r="P83">
        <v>158.25536125776125</v>
      </c>
    </row>
    <row r="84" spans="1:16">
      <c r="A84">
        <v>83</v>
      </c>
      <c r="B84">
        <v>171.42357124685077</v>
      </c>
      <c r="O84">
        <v>83</v>
      </c>
      <c r="P84">
        <v>156.5425894666987</v>
      </c>
    </row>
    <row r="85" spans="1:16">
      <c r="A85">
        <v>84</v>
      </c>
      <c r="B85">
        <v>176.69440568242862</v>
      </c>
      <c r="O85">
        <v>84</v>
      </c>
      <c r="P85">
        <v>181.63932269162615</v>
      </c>
    </row>
    <row r="86" spans="1:16">
      <c r="A86">
        <v>85</v>
      </c>
      <c r="B86">
        <v>171.25687792104145</v>
      </c>
      <c r="O86">
        <v>85</v>
      </c>
      <c r="P86">
        <v>188.70964355373872</v>
      </c>
    </row>
    <row r="87" spans="1:16">
      <c r="A87">
        <v>86</v>
      </c>
      <c r="B87">
        <v>182.77150717112818</v>
      </c>
      <c r="O87">
        <v>86</v>
      </c>
      <c r="P87">
        <v>162.97809439565754</v>
      </c>
    </row>
    <row r="88" spans="1:16">
      <c r="A88">
        <v>87</v>
      </c>
      <c r="B88">
        <v>174.6367876065051</v>
      </c>
      <c r="O88">
        <v>87</v>
      </c>
      <c r="P88">
        <v>185.74241708920454</v>
      </c>
    </row>
    <row r="89" spans="1:16">
      <c r="A89">
        <v>88</v>
      </c>
      <c r="B89">
        <v>173.35179096407956</v>
      </c>
      <c r="O89">
        <v>88</v>
      </c>
      <c r="P89">
        <v>160.58882907673251</v>
      </c>
    </row>
    <row r="90" spans="1:16">
      <c r="A90">
        <v>89</v>
      </c>
      <c r="B90">
        <v>191.02776364961755</v>
      </c>
      <c r="O90">
        <v>89</v>
      </c>
      <c r="P90">
        <v>185.49182287715666</v>
      </c>
    </row>
    <row r="91" spans="1:16">
      <c r="A91">
        <v>90</v>
      </c>
      <c r="B91">
        <v>179.09456788474927</v>
      </c>
      <c r="O91">
        <v>90</v>
      </c>
      <c r="P91">
        <v>184.51988567976514</v>
      </c>
    </row>
    <row r="92" spans="1:16">
      <c r="A92">
        <v>91</v>
      </c>
      <c r="B92">
        <v>163.41594788245857</v>
      </c>
      <c r="O92">
        <v>91</v>
      </c>
      <c r="P92">
        <v>147.86952293507056</v>
      </c>
    </row>
    <row r="93" spans="1:16">
      <c r="A93">
        <v>92</v>
      </c>
      <c r="B93">
        <v>142.46664692182094</v>
      </c>
      <c r="O93">
        <v>92</v>
      </c>
      <c r="P93">
        <v>177.11663859772671</v>
      </c>
    </row>
    <row r="94" spans="1:16">
      <c r="A94">
        <v>93</v>
      </c>
      <c r="B94">
        <v>194.8165025722119</v>
      </c>
      <c r="O94">
        <v>93</v>
      </c>
      <c r="P94">
        <v>175.40911913856689</v>
      </c>
    </row>
    <row r="95" spans="1:16">
      <c r="A95">
        <v>94</v>
      </c>
      <c r="B95">
        <v>169.82560042451951</v>
      </c>
      <c r="O95">
        <v>94</v>
      </c>
      <c r="P95">
        <v>160.46635424645501</v>
      </c>
    </row>
    <row r="96" spans="1:16">
      <c r="A96">
        <v>95</v>
      </c>
      <c r="B96">
        <v>172.66755536256824</v>
      </c>
      <c r="O96">
        <v>95</v>
      </c>
      <c r="P96">
        <v>166.14458546500828</v>
      </c>
    </row>
    <row r="97" spans="1:16">
      <c r="A97">
        <v>96</v>
      </c>
      <c r="B97">
        <v>169.23570216094959</v>
      </c>
      <c r="O97">
        <v>96</v>
      </c>
      <c r="P97">
        <v>172.51528889646579</v>
      </c>
    </row>
    <row r="98" spans="1:16">
      <c r="A98">
        <v>97</v>
      </c>
      <c r="B98">
        <v>162.18598135383218</v>
      </c>
      <c r="O98">
        <v>97</v>
      </c>
      <c r="P98">
        <v>162.97331954847323</v>
      </c>
    </row>
    <row r="99" spans="1:16">
      <c r="A99">
        <v>98</v>
      </c>
      <c r="B99">
        <v>160.67232069035526</v>
      </c>
      <c r="O99">
        <v>98</v>
      </c>
      <c r="P99">
        <v>171.04697222821414</v>
      </c>
    </row>
    <row r="100" spans="1:16">
      <c r="A100">
        <v>99</v>
      </c>
      <c r="B100">
        <v>169.93508084924542</v>
      </c>
      <c r="O100">
        <v>99</v>
      </c>
      <c r="P100">
        <v>183.15196017356357</v>
      </c>
    </row>
    <row r="101" spans="1:16">
      <c r="A101">
        <v>100</v>
      </c>
      <c r="B101">
        <v>175.41142129703076</v>
      </c>
      <c r="O101">
        <v>100</v>
      </c>
      <c r="P101">
        <v>137.27434166939929</v>
      </c>
    </row>
    <row r="102" spans="1:16">
      <c r="A102">
        <v>101</v>
      </c>
      <c r="B102">
        <v>202.64077180472668</v>
      </c>
      <c r="O102">
        <v>101</v>
      </c>
      <c r="P102">
        <v>144.91941770829726</v>
      </c>
    </row>
    <row r="103" spans="1:16">
      <c r="A103">
        <v>102</v>
      </c>
      <c r="B103">
        <v>168.86701574621839</v>
      </c>
      <c r="O103">
        <v>102</v>
      </c>
      <c r="P103">
        <v>159.84279331023572</v>
      </c>
    </row>
    <row r="104" spans="1:16">
      <c r="A104">
        <v>103</v>
      </c>
      <c r="B104">
        <v>176.19637206807965</v>
      </c>
      <c r="O104">
        <v>103</v>
      </c>
      <c r="P104">
        <v>164.45976358299959</v>
      </c>
    </row>
    <row r="105" spans="1:16">
      <c r="A105">
        <v>104</v>
      </c>
      <c r="B105">
        <v>188.22206344411825</v>
      </c>
      <c r="O105">
        <v>104</v>
      </c>
      <c r="P105">
        <v>192.33975523166009</v>
      </c>
    </row>
    <row r="106" spans="1:16">
      <c r="A106">
        <v>105</v>
      </c>
      <c r="B106">
        <v>174.19695596872771</v>
      </c>
      <c r="O106">
        <v>105</v>
      </c>
      <c r="P106">
        <v>180.71368445889675</v>
      </c>
    </row>
    <row r="107" spans="1:16">
      <c r="A107">
        <v>106</v>
      </c>
      <c r="B107">
        <v>161.8320287532697</v>
      </c>
      <c r="O107">
        <v>106</v>
      </c>
      <c r="P107">
        <v>189.20141870767111</v>
      </c>
    </row>
    <row r="108" spans="1:16">
      <c r="A108">
        <v>107</v>
      </c>
      <c r="B108">
        <v>184.31586328078993</v>
      </c>
      <c r="O108">
        <v>107</v>
      </c>
      <c r="P108">
        <v>188.6349171953043</v>
      </c>
    </row>
    <row r="109" spans="1:16">
      <c r="A109">
        <v>108</v>
      </c>
      <c r="B109">
        <v>159.23976421690895</v>
      </c>
      <c r="O109">
        <v>108</v>
      </c>
      <c r="P109">
        <v>181.41981614535325</v>
      </c>
    </row>
    <row r="110" spans="1:16">
      <c r="A110">
        <v>109</v>
      </c>
      <c r="B110">
        <v>168.20847905437404</v>
      </c>
      <c r="O110">
        <v>109</v>
      </c>
      <c r="P110">
        <v>172.67221083857294</v>
      </c>
    </row>
    <row r="111" spans="1:16">
      <c r="A111">
        <v>110</v>
      </c>
      <c r="B111">
        <v>155.58021901670145</v>
      </c>
      <c r="O111">
        <v>110</v>
      </c>
      <c r="P111">
        <v>178.20562776323641</v>
      </c>
    </row>
    <row r="112" spans="1:16">
      <c r="A112">
        <v>111</v>
      </c>
      <c r="B112">
        <v>195.86076165142003</v>
      </c>
      <c r="O112">
        <v>111</v>
      </c>
      <c r="P112">
        <v>194.48894805536838</v>
      </c>
    </row>
    <row r="113" spans="1:16">
      <c r="A113">
        <v>112</v>
      </c>
      <c r="B113">
        <v>169.55193346875603</v>
      </c>
      <c r="O113">
        <v>112</v>
      </c>
      <c r="P113">
        <v>175.78005655268498</v>
      </c>
    </row>
    <row r="114" spans="1:16">
      <c r="A114">
        <v>113</v>
      </c>
      <c r="B114">
        <v>166.040562008493</v>
      </c>
      <c r="O114">
        <v>113</v>
      </c>
      <c r="P114">
        <v>184.65076765169215</v>
      </c>
    </row>
    <row r="115" spans="1:16">
      <c r="A115">
        <v>114</v>
      </c>
      <c r="B115">
        <v>183.22655010779272</v>
      </c>
      <c r="O115">
        <v>114</v>
      </c>
      <c r="P115">
        <v>165.90026676640264</v>
      </c>
    </row>
    <row r="116" spans="1:16">
      <c r="A116">
        <v>115</v>
      </c>
      <c r="B116">
        <v>180.81869699090021</v>
      </c>
      <c r="O116">
        <v>115</v>
      </c>
      <c r="P116">
        <v>150.47972725442378</v>
      </c>
    </row>
    <row r="117" spans="1:16">
      <c r="A117">
        <v>116</v>
      </c>
      <c r="B117">
        <v>175.58594196161721</v>
      </c>
      <c r="O117">
        <v>116</v>
      </c>
      <c r="P117">
        <v>161.33905988754123</v>
      </c>
    </row>
    <row r="118" spans="1:16">
      <c r="A118">
        <v>117</v>
      </c>
      <c r="B118">
        <v>199.33876034046989</v>
      </c>
      <c r="O118">
        <v>117</v>
      </c>
      <c r="P118">
        <v>179.97753944728174</v>
      </c>
    </row>
    <row r="119" spans="1:16">
      <c r="A119">
        <v>118</v>
      </c>
      <c r="B119">
        <v>149.09522620728239</v>
      </c>
      <c r="O119">
        <v>118</v>
      </c>
      <c r="P119">
        <v>177.74800981969747</v>
      </c>
    </row>
    <row r="120" spans="1:16">
      <c r="A120">
        <v>119</v>
      </c>
      <c r="B120">
        <v>165.77305119499215</v>
      </c>
      <c r="O120">
        <v>119</v>
      </c>
      <c r="P120">
        <v>163.11206296522869</v>
      </c>
    </row>
    <row r="121" spans="1:16">
      <c r="A121">
        <v>120</v>
      </c>
      <c r="B121">
        <v>166.52556711123907</v>
      </c>
      <c r="O121">
        <v>120</v>
      </c>
      <c r="P121">
        <v>151.59724613185972</v>
      </c>
    </row>
    <row r="122" spans="1:16">
      <c r="A122">
        <v>121</v>
      </c>
      <c r="B122">
        <v>191.8068140737887</v>
      </c>
      <c r="O122">
        <v>121</v>
      </c>
      <c r="P122">
        <v>168.03767594938108</v>
      </c>
    </row>
    <row r="123" spans="1:16">
      <c r="A123">
        <v>122</v>
      </c>
      <c r="B123">
        <v>168.80582949015661</v>
      </c>
      <c r="O123">
        <v>122</v>
      </c>
      <c r="P123">
        <v>181.17667410551803</v>
      </c>
    </row>
    <row r="124" spans="1:16">
      <c r="A124">
        <v>123</v>
      </c>
      <c r="B124">
        <v>175.16810872693895</v>
      </c>
      <c r="O124">
        <v>123</v>
      </c>
      <c r="P124">
        <v>153.95049546059454</v>
      </c>
    </row>
    <row r="125" spans="1:16">
      <c r="A125">
        <v>124</v>
      </c>
      <c r="B125">
        <v>164.55355522411992</v>
      </c>
      <c r="O125">
        <v>124</v>
      </c>
      <c r="P125">
        <v>150.78033799072728</v>
      </c>
    </row>
    <row r="126" spans="1:16">
      <c r="A126">
        <v>125</v>
      </c>
      <c r="B126">
        <v>170.58527861154289</v>
      </c>
      <c r="O126">
        <v>125</v>
      </c>
      <c r="P126">
        <v>160.04787299680174</v>
      </c>
    </row>
    <row r="127" spans="1:16">
      <c r="A127">
        <v>126</v>
      </c>
      <c r="B127">
        <v>188.49327476418694</v>
      </c>
      <c r="O127">
        <v>126</v>
      </c>
      <c r="P127">
        <v>191.03792725290987</v>
      </c>
    </row>
    <row r="128" spans="1:16">
      <c r="A128">
        <v>127</v>
      </c>
      <c r="B128">
        <v>190.05809450463858</v>
      </c>
      <c r="O128">
        <v>127</v>
      </c>
      <c r="P128">
        <v>147.48985437181545</v>
      </c>
    </row>
    <row r="129" spans="1:16">
      <c r="A129">
        <v>128</v>
      </c>
      <c r="B129">
        <v>181.86534349370049</v>
      </c>
      <c r="O129">
        <v>128</v>
      </c>
      <c r="P129">
        <v>163.80025486869272</v>
      </c>
    </row>
    <row r="130" spans="1:16">
      <c r="A130">
        <v>129</v>
      </c>
      <c r="B130">
        <v>200.50621047703316</v>
      </c>
      <c r="O130">
        <v>129</v>
      </c>
      <c r="P130">
        <v>182.0032513121987</v>
      </c>
    </row>
    <row r="131" spans="1:16">
      <c r="A131">
        <v>130</v>
      </c>
      <c r="B131">
        <v>179.62967477687926</v>
      </c>
      <c r="O131">
        <v>130</v>
      </c>
      <c r="P131">
        <v>184.58734744926915</v>
      </c>
    </row>
    <row r="132" spans="1:16">
      <c r="A132">
        <v>131</v>
      </c>
      <c r="B132">
        <v>176.05827666629921</v>
      </c>
      <c r="O132">
        <v>131</v>
      </c>
      <c r="P132">
        <v>172.04750734963454</v>
      </c>
    </row>
    <row r="133" spans="1:16">
      <c r="A133">
        <v>132</v>
      </c>
      <c r="B133">
        <v>185.18478315018001</v>
      </c>
      <c r="O133">
        <v>132</v>
      </c>
      <c r="P133">
        <v>159.30538425964187</v>
      </c>
    </row>
    <row r="134" spans="1:16">
      <c r="A134">
        <v>133</v>
      </c>
      <c r="B134">
        <v>184.57046495386749</v>
      </c>
      <c r="O134">
        <v>133</v>
      </c>
      <c r="P134">
        <v>191.76175997999962</v>
      </c>
    </row>
    <row r="135" spans="1:16">
      <c r="A135">
        <v>134</v>
      </c>
      <c r="B135">
        <v>175.40911913856689</v>
      </c>
      <c r="O135">
        <v>134</v>
      </c>
      <c r="P135">
        <v>183.2732753980963</v>
      </c>
    </row>
    <row r="136" spans="1:16">
      <c r="A136">
        <v>135</v>
      </c>
      <c r="B136">
        <v>184.85774022410624</v>
      </c>
      <c r="O136">
        <v>135</v>
      </c>
      <c r="P136">
        <v>192.24384901535814</v>
      </c>
    </row>
    <row r="137" spans="1:16">
      <c r="A137">
        <v>136</v>
      </c>
      <c r="B137">
        <v>197.4368022827548</v>
      </c>
      <c r="O137">
        <v>136</v>
      </c>
      <c r="P137">
        <v>150.80141553044086</v>
      </c>
    </row>
    <row r="138" spans="1:16">
      <c r="A138">
        <v>137</v>
      </c>
      <c r="B138">
        <v>159.21384361790842</v>
      </c>
      <c r="O138">
        <v>137</v>
      </c>
      <c r="P138">
        <v>210.93086148612201</v>
      </c>
    </row>
    <row r="139" spans="1:16">
      <c r="A139">
        <v>138</v>
      </c>
      <c r="B139">
        <v>149.7624769952381</v>
      </c>
      <c r="O139">
        <v>138</v>
      </c>
      <c r="P139">
        <v>160.44984691761783</v>
      </c>
    </row>
    <row r="140" spans="1:16">
      <c r="A140">
        <v>139</v>
      </c>
      <c r="B140">
        <v>182.77150717112818</v>
      </c>
      <c r="O140">
        <v>139</v>
      </c>
      <c r="P140">
        <v>185.15591237774061</v>
      </c>
    </row>
    <row r="141" spans="1:16">
      <c r="A141">
        <v>140</v>
      </c>
      <c r="B141">
        <v>158.89484971994534</v>
      </c>
      <c r="O141">
        <v>140</v>
      </c>
      <c r="P141">
        <v>169.76833636435913</v>
      </c>
    </row>
    <row r="142" spans="1:16">
      <c r="A142">
        <v>141</v>
      </c>
      <c r="B142">
        <v>202.18361429288052</v>
      </c>
      <c r="O142">
        <v>141</v>
      </c>
      <c r="P142">
        <v>173.58248429518426</v>
      </c>
    </row>
    <row r="143" spans="1:16">
      <c r="A143">
        <v>142</v>
      </c>
      <c r="B143">
        <v>188.07377033299417</v>
      </c>
      <c r="O143">
        <v>142</v>
      </c>
      <c r="P143">
        <v>150.77187969000079</v>
      </c>
    </row>
    <row r="144" spans="1:16">
      <c r="A144">
        <v>143</v>
      </c>
      <c r="B144">
        <v>172.09430085204076</v>
      </c>
      <c r="O144">
        <v>143</v>
      </c>
      <c r="P144">
        <v>159.88863184320508</v>
      </c>
    </row>
    <row r="145" spans="1:16">
      <c r="A145">
        <v>144</v>
      </c>
      <c r="B145">
        <v>181.80552147969138</v>
      </c>
      <c r="O145">
        <v>144</v>
      </c>
      <c r="P145">
        <v>170.49051494796004</v>
      </c>
    </row>
    <row r="146" spans="1:16">
      <c r="A146">
        <v>145</v>
      </c>
      <c r="B146">
        <v>157.39796923371614</v>
      </c>
    </row>
    <row r="147" spans="1:16">
      <c r="A147">
        <v>146</v>
      </c>
      <c r="B147">
        <v>182.81352582635009</v>
      </c>
    </row>
    <row r="148" spans="1:16">
      <c r="A148">
        <v>147</v>
      </c>
      <c r="B148">
        <v>150.76765053963754</v>
      </c>
    </row>
    <row r="149" spans="1:16">
      <c r="A149">
        <v>148</v>
      </c>
      <c r="B149">
        <v>169.70242642019002</v>
      </c>
    </row>
    <row r="150" spans="1:16">
      <c r="A150">
        <v>149</v>
      </c>
      <c r="B150">
        <v>160.76082589352154</v>
      </c>
    </row>
    <row r="151" spans="1:16">
      <c r="A151">
        <v>150</v>
      </c>
      <c r="B151">
        <v>181.3005472838995</v>
      </c>
    </row>
    <row r="152" spans="1:16">
      <c r="A152">
        <v>151</v>
      </c>
      <c r="B152">
        <v>187.62660589418374</v>
      </c>
    </row>
    <row r="153" spans="1:16">
      <c r="A153">
        <v>152</v>
      </c>
      <c r="B153">
        <v>183.22388983579003</v>
      </c>
    </row>
    <row r="154" spans="1:16">
      <c r="A154">
        <v>153</v>
      </c>
      <c r="B154">
        <v>156.83511706884019</v>
      </c>
    </row>
    <row r="155" spans="1:16">
      <c r="A155">
        <v>154</v>
      </c>
      <c r="B155">
        <v>191.69549192229169</v>
      </c>
    </row>
    <row r="156" spans="1:16">
      <c r="A156">
        <v>155</v>
      </c>
      <c r="B156">
        <v>184.78381535787776</v>
      </c>
    </row>
    <row r="157" spans="1:16">
      <c r="A157">
        <v>156</v>
      </c>
      <c r="B157">
        <v>168.51852011386654</v>
      </c>
    </row>
    <row r="158" spans="1:16">
      <c r="A158">
        <v>157</v>
      </c>
      <c r="B158">
        <v>168.54495230363682</v>
      </c>
    </row>
    <row r="159" spans="1:16">
      <c r="A159">
        <v>158</v>
      </c>
      <c r="B159">
        <v>201.44105734361801</v>
      </c>
    </row>
    <row r="160" spans="1:16">
      <c r="A160">
        <v>159</v>
      </c>
      <c r="B160">
        <v>165.87956439325353</v>
      </c>
    </row>
    <row r="161" spans="1:2">
      <c r="A161">
        <v>160</v>
      </c>
      <c r="B161">
        <v>182.25503923604265</v>
      </c>
    </row>
    <row r="162" spans="1:2">
      <c r="A162">
        <v>161</v>
      </c>
      <c r="B162">
        <v>182.41410985938273</v>
      </c>
    </row>
    <row r="163" spans="1:2">
      <c r="A163">
        <v>162</v>
      </c>
      <c r="B163">
        <v>179.28308908340114</v>
      </c>
    </row>
    <row r="164" spans="1:2">
      <c r="A164">
        <v>163</v>
      </c>
      <c r="B164">
        <v>180.69640974390495</v>
      </c>
    </row>
    <row r="165" spans="1:2">
      <c r="A165">
        <v>164</v>
      </c>
      <c r="B165">
        <v>181.89975649947883</v>
      </c>
    </row>
    <row r="166" spans="1:2">
      <c r="A166">
        <v>165</v>
      </c>
      <c r="B166">
        <v>207.93034751550294</v>
      </c>
    </row>
    <row r="167" spans="1:2">
      <c r="A167">
        <v>166</v>
      </c>
      <c r="B167">
        <v>164.07586586938123</v>
      </c>
    </row>
    <row r="168" spans="1:2">
      <c r="A168">
        <v>167</v>
      </c>
      <c r="B168">
        <v>171.51910229658824</v>
      </c>
    </row>
    <row r="169" spans="1:2">
      <c r="A169">
        <v>168</v>
      </c>
      <c r="B169">
        <v>168.28213107219199</v>
      </c>
    </row>
    <row r="170" spans="1:2">
      <c r="A170">
        <v>169</v>
      </c>
      <c r="B170">
        <v>201.77311385923531</v>
      </c>
    </row>
    <row r="171" spans="1:2">
      <c r="A171">
        <v>170</v>
      </c>
      <c r="B171">
        <v>185.80331344383012</v>
      </c>
    </row>
    <row r="172" spans="1:2">
      <c r="A172">
        <v>171</v>
      </c>
      <c r="B172">
        <v>177.97588940156857</v>
      </c>
    </row>
    <row r="173" spans="1:2">
      <c r="A173">
        <v>172</v>
      </c>
      <c r="B173">
        <v>152.40030721615767</v>
      </c>
    </row>
    <row r="174" spans="1:2">
      <c r="A174">
        <v>173</v>
      </c>
      <c r="B174">
        <v>158.94375779753318</v>
      </c>
    </row>
    <row r="175" spans="1:2">
      <c r="A175">
        <v>174</v>
      </c>
      <c r="B175">
        <v>193.49659838626394</v>
      </c>
    </row>
    <row r="176" spans="1:2">
      <c r="A176">
        <v>175</v>
      </c>
      <c r="B176">
        <v>186.34432068283786</v>
      </c>
    </row>
    <row r="177" spans="1:2">
      <c r="A177">
        <v>176</v>
      </c>
      <c r="B177">
        <v>159.17588358279318</v>
      </c>
    </row>
    <row r="178" spans="1:2">
      <c r="A178">
        <v>177</v>
      </c>
      <c r="B178">
        <v>172.51528889646579</v>
      </c>
    </row>
    <row r="179" spans="1:2">
      <c r="A179">
        <v>178</v>
      </c>
      <c r="B179">
        <v>199.70997060299851</v>
      </c>
    </row>
    <row r="180" spans="1:2">
      <c r="A180">
        <v>179</v>
      </c>
      <c r="B180">
        <v>170.89707613267819</v>
      </c>
    </row>
    <row r="181" spans="1:2">
      <c r="A181">
        <v>180</v>
      </c>
      <c r="B181">
        <v>202.06594841583865</v>
      </c>
    </row>
    <row r="182" spans="1:2">
      <c r="A182">
        <v>181</v>
      </c>
      <c r="B182">
        <v>168.64928271461395</v>
      </c>
    </row>
    <row r="183" spans="1:2">
      <c r="A183">
        <v>182</v>
      </c>
      <c r="B183">
        <v>163.52542830718448</v>
      </c>
    </row>
    <row r="184" spans="1:2">
      <c r="A184">
        <v>183</v>
      </c>
      <c r="B184">
        <v>177.02627461476368</v>
      </c>
    </row>
    <row r="185" spans="1:2">
      <c r="A185">
        <v>184</v>
      </c>
      <c r="B185">
        <v>140.37935658125207</v>
      </c>
    </row>
    <row r="186" spans="1:2">
      <c r="A186">
        <v>185</v>
      </c>
      <c r="B186">
        <v>196.71832420572173</v>
      </c>
    </row>
    <row r="187" spans="1:2">
      <c r="A187">
        <v>186</v>
      </c>
      <c r="B187">
        <v>149.65783962979913</v>
      </c>
    </row>
    <row r="188" spans="1:2">
      <c r="A188">
        <v>187</v>
      </c>
      <c r="B188">
        <v>188.10903599005542</v>
      </c>
    </row>
    <row r="189" spans="1:2">
      <c r="A189">
        <v>188</v>
      </c>
      <c r="B189">
        <v>150.06902218447067</v>
      </c>
    </row>
    <row r="190" spans="1:2">
      <c r="A190">
        <v>189</v>
      </c>
      <c r="B190">
        <v>173.33908645996416</v>
      </c>
    </row>
    <row r="191" spans="1:2">
      <c r="A191">
        <v>190</v>
      </c>
      <c r="B191">
        <v>172.15390117671632</v>
      </c>
    </row>
    <row r="192" spans="1:2">
      <c r="A192">
        <v>191</v>
      </c>
      <c r="B192">
        <v>178.28785745296045</v>
      </c>
    </row>
    <row r="193" spans="1:2">
      <c r="A193">
        <v>192</v>
      </c>
      <c r="B193">
        <v>157.48221118046786</v>
      </c>
    </row>
    <row r="194" spans="1:2">
      <c r="A194">
        <v>193</v>
      </c>
      <c r="B194">
        <v>199.89455255272333</v>
      </c>
    </row>
    <row r="195" spans="1:2">
      <c r="A195">
        <v>194</v>
      </c>
      <c r="B195">
        <v>185.38802110997494</v>
      </c>
    </row>
    <row r="196" spans="1:2">
      <c r="A196">
        <v>195</v>
      </c>
      <c r="B196">
        <v>158.70361709021381</v>
      </c>
    </row>
    <row r="197" spans="1:2">
      <c r="A197">
        <v>196</v>
      </c>
      <c r="B197">
        <v>155.93812791921664</v>
      </c>
    </row>
    <row r="198" spans="1:2">
      <c r="A198">
        <v>197</v>
      </c>
      <c r="B198">
        <v>175.22090489437687</v>
      </c>
    </row>
    <row r="199" spans="1:2">
      <c r="A199">
        <v>198</v>
      </c>
      <c r="B199">
        <v>191.66141997702653</v>
      </c>
    </row>
    <row r="200" spans="1:2">
      <c r="A200">
        <v>199</v>
      </c>
      <c r="B200">
        <v>145.08053469471633</v>
      </c>
    </row>
    <row r="201" spans="1:2">
      <c r="A201">
        <v>200</v>
      </c>
      <c r="B201">
        <v>175.22090489437687</v>
      </c>
    </row>
  </sheetData>
  <sortState xmlns:xlrd2="http://schemas.microsoft.com/office/spreadsheetml/2017/richdata2" ref="R37:R46">
    <sortCondition ref="R37"/>
  </sortState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B1BD-2334-443F-A347-A568D47D39D2}">
  <sheetPr>
    <tabColor rgb="FF7030A0"/>
  </sheetPr>
  <dimension ref="A1:AY112"/>
  <sheetViews>
    <sheetView zoomScale="40" zoomScaleNormal="40" workbookViewId="0">
      <selection activeCell="D9" sqref="D9"/>
    </sheetView>
  </sheetViews>
  <sheetFormatPr defaultRowHeight="12.5"/>
  <cols>
    <col min="1" max="1" width="10.90625" style="20" bestFit="1" customWidth="1"/>
    <col min="2" max="2" width="11.08984375" style="20" bestFit="1" customWidth="1"/>
    <col min="3" max="51" width="8.90625" style="20"/>
  </cols>
  <sheetData>
    <row r="1" spans="1:51" s="224" customFormat="1" ht="13">
      <c r="A1" s="223" t="s">
        <v>26</v>
      </c>
      <c r="B1" s="223" t="s">
        <v>107</v>
      </c>
      <c r="C1" s="223" t="s">
        <v>108</v>
      </c>
      <c r="D1" s="223" t="s">
        <v>109</v>
      </c>
      <c r="E1" s="223" t="s">
        <v>110</v>
      </c>
      <c r="F1" s="223" t="s">
        <v>111</v>
      </c>
      <c r="G1" s="223" t="s">
        <v>112</v>
      </c>
      <c r="H1" s="223" t="s">
        <v>113</v>
      </c>
      <c r="I1" s="223" t="s">
        <v>114</v>
      </c>
      <c r="J1" s="223" t="s">
        <v>115</v>
      </c>
      <c r="K1" s="223" t="s">
        <v>116</v>
      </c>
      <c r="L1" s="223" t="s">
        <v>117</v>
      </c>
      <c r="M1" s="223" t="s">
        <v>118</v>
      </c>
      <c r="N1" s="223" t="s">
        <v>119</v>
      </c>
      <c r="O1" s="223" t="s">
        <v>120</v>
      </c>
      <c r="P1" s="223" t="s">
        <v>121</v>
      </c>
      <c r="Q1" s="223" t="s">
        <v>122</v>
      </c>
      <c r="R1" s="223" t="s">
        <v>123</v>
      </c>
      <c r="S1" s="223" t="s">
        <v>124</v>
      </c>
      <c r="T1" s="223" t="s">
        <v>125</v>
      </c>
      <c r="U1" s="223" t="s">
        <v>126</v>
      </c>
      <c r="V1" s="223" t="s">
        <v>127</v>
      </c>
      <c r="W1" s="223" t="s">
        <v>128</v>
      </c>
      <c r="X1" s="223" t="s">
        <v>129</v>
      </c>
      <c r="Y1" s="223" t="s">
        <v>130</v>
      </c>
      <c r="Z1" s="223" t="s">
        <v>131</v>
      </c>
      <c r="AA1" s="223" t="s">
        <v>132</v>
      </c>
      <c r="AB1" s="223" t="s">
        <v>133</v>
      </c>
      <c r="AC1" s="223" t="s">
        <v>134</v>
      </c>
      <c r="AD1" s="223" t="s">
        <v>135</v>
      </c>
      <c r="AE1" s="223" t="s">
        <v>136</v>
      </c>
      <c r="AF1" s="223" t="s">
        <v>137</v>
      </c>
      <c r="AG1" s="223" t="s">
        <v>138</v>
      </c>
      <c r="AH1" s="223" t="s">
        <v>139</v>
      </c>
      <c r="AI1" s="223" t="s">
        <v>140</v>
      </c>
      <c r="AJ1" s="223" t="s">
        <v>141</v>
      </c>
      <c r="AK1" s="223" t="s">
        <v>142</v>
      </c>
      <c r="AL1" s="223" t="s">
        <v>143</v>
      </c>
      <c r="AM1" s="223" t="s">
        <v>144</v>
      </c>
      <c r="AN1" s="223" t="s">
        <v>145</v>
      </c>
      <c r="AO1" s="223" t="s">
        <v>146</v>
      </c>
      <c r="AP1" s="223" t="s">
        <v>147</v>
      </c>
      <c r="AQ1" s="223" t="s">
        <v>148</v>
      </c>
      <c r="AR1" s="223" t="s">
        <v>149</v>
      </c>
      <c r="AS1" s="223" t="s">
        <v>150</v>
      </c>
      <c r="AT1" s="223" t="s">
        <v>151</v>
      </c>
      <c r="AU1" s="223" t="s">
        <v>152</v>
      </c>
      <c r="AV1" s="223" t="s">
        <v>153</v>
      </c>
      <c r="AW1" s="223" t="s">
        <v>154</v>
      </c>
      <c r="AX1" s="223" t="s">
        <v>155</v>
      </c>
      <c r="AY1" s="223" t="s">
        <v>156</v>
      </c>
    </row>
    <row r="2" spans="1:51" ht="13">
      <c r="A2" s="222">
        <v>1</v>
      </c>
      <c r="B2" s="20">
        <v>167.83382408066245</v>
      </c>
      <c r="C2" s="20">
        <v>159.68133526330348</v>
      </c>
      <c r="D2" s="20">
        <v>162.91627717764641</v>
      </c>
      <c r="E2" s="20">
        <v>183.66489813233784</v>
      </c>
      <c r="F2" s="20">
        <v>175.49637947086012</v>
      </c>
      <c r="G2" s="20">
        <v>179.28308908340114</v>
      </c>
      <c r="H2" s="20">
        <v>148.71480731089832</v>
      </c>
      <c r="I2" s="20">
        <v>176.90475475392304</v>
      </c>
      <c r="J2" s="20">
        <v>164.13411900502979</v>
      </c>
      <c r="K2" s="20">
        <v>164.86429545766441</v>
      </c>
      <c r="L2" s="20">
        <v>169.6327648103761</v>
      </c>
      <c r="M2" s="20">
        <v>209.23701855354011</v>
      </c>
      <c r="N2" s="20">
        <v>172.52925532447989</v>
      </c>
      <c r="O2" s="20">
        <v>202.35127964115236</v>
      </c>
      <c r="P2" s="20">
        <v>181.89975649947883</v>
      </c>
      <c r="Q2" s="20">
        <v>170.91852883895626</v>
      </c>
      <c r="R2" s="20">
        <v>194.37742126756348</v>
      </c>
      <c r="S2" s="20">
        <v>166.87063508543361</v>
      </c>
      <c r="T2" s="20">
        <v>162.44522144988878</v>
      </c>
      <c r="U2" s="20">
        <v>162.57990624653758</v>
      </c>
      <c r="V2" s="20">
        <v>178.57052840627148</v>
      </c>
      <c r="W2" s="20">
        <v>142.18370312009938</v>
      </c>
      <c r="X2" s="20">
        <v>157.85795754782157</v>
      </c>
      <c r="Y2" s="20">
        <v>184.31586328078993</v>
      </c>
      <c r="Z2" s="20">
        <v>171.19884647472645</v>
      </c>
      <c r="AA2" s="20">
        <v>174.97073700797046</v>
      </c>
      <c r="AB2" s="20">
        <v>183.92790694706491</v>
      </c>
      <c r="AC2" s="20">
        <v>175.17039383237716</v>
      </c>
      <c r="AD2" s="20">
        <v>163.8638456013723</v>
      </c>
      <c r="AE2" s="20">
        <v>152.36449586227536</v>
      </c>
      <c r="AF2" s="20">
        <v>171.43772525814711</v>
      </c>
      <c r="AG2" s="20">
        <v>182.50500248614117</v>
      </c>
      <c r="AH2" s="20">
        <v>189.79080538047128</v>
      </c>
      <c r="AI2" s="20">
        <v>157.42992660379969</v>
      </c>
      <c r="AJ2" s="20">
        <v>171.84718545722717</v>
      </c>
      <c r="AK2" s="20">
        <v>181.39969357507653</v>
      </c>
      <c r="AL2" s="20">
        <v>167.18122184174717</v>
      </c>
      <c r="AM2" s="20">
        <v>170.34865082750912</v>
      </c>
      <c r="AN2" s="20">
        <v>167.41815658024279</v>
      </c>
      <c r="AO2" s="20">
        <v>162.26019612149685</v>
      </c>
      <c r="AP2" s="20">
        <v>176.04446371551603</v>
      </c>
      <c r="AQ2" s="20">
        <v>197.04083102697041</v>
      </c>
      <c r="AR2" s="20">
        <v>190.31286670797272</v>
      </c>
      <c r="AS2" s="20">
        <v>169.11691078421427</v>
      </c>
      <c r="AT2" s="20">
        <v>184.44981479733542</v>
      </c>
      <c r="AU2" s="20">
        <v>172.98876615386689</v>
      </c>
      <c r="AV2" s="20">
        <v>176.35414666146971</v>
      </c>
      <c r="AW2" s="20">
        <v>177.02627461476368</v>
      </c>
      <c r="AX2" s="20">
        <v>166.50807070691371</v>
      </c>
      <c r="AY2" s="20">
        <v>167.46897459670436</v>
      </c>
    </row>
    <row r="3" spans="1:51" ht="13">
      <c r="A3" s="222">
        <v>2</v>
      </c>
      <c r="B3" s="20">
        <v>169.87549757759552</v>
      </c>
      <c r="C3" s="20">
        <v>205.62259565922432</v>
      </c>
      <c r="D3" s="20">
        <v>186.77985495814937</v>
      </c>
      <c r="E3" s="20">
        <v>195.25899448199198</v>
      </c>
      <c r="F3" s="20">
        <v>209.17535481275991</v>
      </c>
      <c r="G3" s="20">
        <v>179.83591406919004</v>
      </c>
      <c r="H3" s="20">
        <v>191.04604449312319</v>
      </c>
      <c r="I3" s="20">
        <v>204.64757186418865</v>
      </c>
      <c r="J3" s="20">
        <v>199.44639903842472</v>
      </c>
      <c r="K3" s="20">
        <v>165.30402477728785</v>
      </c>
      <c r="L3" s="20">
        <v>175.43553427531151</v>
      </c>
      <c r="M3" s="20">
        <v>155.32271832926199</v>
      </c>
      <c r="N3" s="20">
        <v>158.81701971084112</v>
      </c>
      <c r="O3" s="20">
        <v>181.37581933915499</v>
      </c>
      <c r="P3" s="20">
        <v>173.87845660850871</v>
      </c>
      <c r="Q3" s="20">
        <v>168.63673168772948</v>
      </c>
      <c r="R3" s="20">
        <v>158.77384144987445</v>
      </c>
      <c r="S3" s="20">
        <v>166.41363105081837</v>
      </c>
      <c r="T3" s="20">
        <v>171.68629016014165</v>
      </c>
      <c r="U3" s="20">
        <v>160.06673364317976</v>
      </c>
      <c r="V3" s="20">
        <v>177.54987071457435</v>
      </c>
      <c r="W3" s="20">
        <v>184.64229229794</v>
      </c>
      <c r="X3" s="20">
        <v>175.2404135557299</v>
      </c>
      <c r="Y3" s="20">
        <v>172.93781171320006</v>
      </c>
      <c r="Z3" s="20">
        <v>159.09757608897053</v>
      </c>
      <c r="AA3" s="20">
        <v>167.26130285023828</v>
      </c>
      <c r="AB3" s="20">
        <v>159.23976421690895</v>
      </c>
      <c r="AC3" s="20">
        <v>193.91357896965928</v>
      </c>
      <c r="AD3" s="20">
        <v>178.47970399161568</v>
      </c>
      <c r="AE3" s="20">
        <v>188.3341018226929</v>
      </c>
      <c r="AF3" s="20">
        <v>167.40383203868987</v>
      </c>
      <c r="AG3" s="20">
        <v>179.4447006075643</v>
      </c>
      <c r="AH3" s="20">
        <v>147.1626409154851</v>
      </c>
      <c r="AI3" s="20">
        <v>155.7199856149964</v>
      </c>
      <c r="AJ3" s="20">
        <v>171.32667595506064</v>
      </c>
      <c r="AK3" s="20">
        <v>158.18459120127955</v>
      </c>
      <c r="AL3" s="20">
        <v>150.24985246855067</v>
      </c>
      <c r="AM3" s="20">
        <v>172.18544927418407</v>
      </c>
      <c r="AN3" s="20">
        <v>155.15324536027038</v>
      </c>
      <c r="AO3" s="20">
        <v>180.26217149854347</v>
      </c>
      <c r="AP3" s="20">
        <v>152.46081135119312</v>
      </c>
      <c r="AQ3" s="20">
        <v>210.09867383399978</v>
      </c>
      <c r="AR3" s="20">
        <v>193.33810756579624</v>
      </c>
      <c r="AS3" s="20">
        <v>185.73204884960433</v>
      </c>
      <c r="AT3" s="20">
        <v>161.63349742855644</v>
      </c>
      <c r="AU3" s="20">
        <v>142.93294485541992</v>
      </c>
      <c r="AV3" s="20">
        <v>145.08053469471633</v>
      </c>
      <c r="AW3" s="20">
        <v>179.54309656561236</v>
      </c>
      <c r="AX3" s="20">
        <v>160.53228124364978</v>
      </c>
      <c r="AY3" s="20">
        <v>173.43026898815879</v>
      </c>
    </row>
    <row r="4" spans="1:51" ht="13">
      <c r="A4" s="222">
        <v>3</v>
      </c>
      <c r="B4" s="20">
        <v>172.83351540827425</v>
      </c>
      <c r="C4" s="20">
        <v>172.04750734963454</v>
      </c>
      <c r="D4" s="20">
        <v>181.89849457558012</v>
      </c>
      <c r="E4" s="20">
        <v>191.35446551517816</v>
      </c>
      <c r="F4" s="20">
        <v>169.74026708412566</v>
      </c>
      <c r="G4" s="20">
        <v>173.88420347815554</v>
      </c>
      <c r="H4" s="20">
        <v>174.57021259433532</v>
      </c>
      <c r="I4" s="20">
        <v>171.36924030710361</v>
      </c>
      <c r="J4" s="20">
        <v>165.83260036059073</v>
      </c>
      <c r="K4" s="20">
        <v>185.42304802467697</v>
      </c>
      <c r="L4" s="20">
        <v>186.06373019865714</v>
      </c>
      <c r="M4" s="20">
        <v>180.59294903723639</v>
      </c>
      <c r="N4" s="20">
        <v>187.05041826324305</v>
      </c>
      <c r="O4" s="20">
        <v>212.38296072697267</v>
      </c>
      <c r="P4" s="20">
        <v>157.86014033510583</v>
      </c>
      <c r="Q4" s="20">
        <v>146.05542206554674</v>
      </c>
      <c r="R4" s="20">
        <v>167.68556507558969</v>
      </c>
      <c r="S4" s="20">
        <v>168.86826061709144</v>
      </c>
      <c r="T4" s="20">
        <v>177.05639025807614</v>
      </c>
      <c r="U4" s="20">
        <v>180.54376811123802</v>
      </c>
      <c r="V4" s="20">
        <v>188.40067683486268</v>
      </c>
      <c r="W4" s="20">
        <v>179.11482687923126</v>
      </c>
      <c r="X4" s="20">
        <v>200.06903911125846</v>
      </c>
      <c r="Y4" s="20">
        <v>168.21992163459072</v>
      </c>
      <c r="Z4" s="20">
        <v>184.20617821975611</v>
      </c>
      <c r="AA4" s="20">
        <v>163.13563024668838</v>
      </c>
      <c r="AB4" s="20">
        <v>169.63030917468132</v>
      </c>
      <c r="AC4" s="20">
        <v>176.87121145245328</v>
      </c>
      <c r="AD4" s="20">
        <v>168.7119866899593</v>
      </c>
      <c r="AE4" s="20">
        <v>182.75575017541996</v>
      </c>
      <c r="AF4" s="20">
        <v>177.62324988398177</v>
      </c>
      <c r="AG4" s="20">
        <v>163.9603486735723</v>
      </c>
      <c r="AH4" s="20">
        <v>175.6525510798383</v>
      </c>
      <c r="AI4" s="20">
        <v>148.06167642818764</v>
      </c>
      <c r="AJ4" s="20">
        <v>165.88647086864512</v>
      </c>
      <c r="AK4" s="20">
        <v>194.83846686925972</v>
      </c>
      <c r="AL4" s="20">
        <v>168.03767594938108</v>
      </c>
      <c r="AM4" s="20">
        <v>178.12701331495191</v>
      </c>
      <c r="AN4" s="20">
        <v>170.93638335682044</v>
      </c>
      <c r="AO4" s="20">
        <v>169.49920551342075</v>
      </c>
      <c r="AP4" s="20">
        <v>164.46416326361941</v>
      </c>
      <c r="AQ4" s="20">
        <v>192.2483169080806</v>
      </c>
      <c r="AR4" s="20">
        <v>186.37641447712667</v>
      </c>
      <c r="AS4" s="20">
        <v>161.38244278481579</v>
      </c>
      <c r="AT4" s="20">
        <v>178.44670638696698</v>
      </c>
      <c r="AU4" s="20">
        <v>157.31086237865384</v>
      </c>
      <c r="AV4" s="20">
        <v>191.27363417355809</v>
      </c>
      <c r="AW4" s="20">
        <v>170.46771505265497</v>
      </c>
      <c r="AX4" s="20">
        <v>194.63127260751207</v>
      </c>
      <c r="AY4" s="20">
        <v>179.44949250777427</v>
      </c>
    </row>
    <row r="5" spans="1:51" ht="13">
      <c r="A5" s="222">
        <v>4</v>
      </c>
      <c r="B5" s="20">
        <v>176.14342242341081</v>
      </c>
      <c r="C5" s="20">
        <v>173.20162202013307</v>
      </c>
      <c r="D5" s="20">
        <v>185.63740455720108</v>
      </c>
      <c r="E5" s="20">
        <v>196.10182322212495</v>
      </c>
      <c r="F5" s="20">
        <v>185.70981170414598</v>
      </c>
      <c r="G5" s="20">
        <v>150.08266460499726</v>
      </c>
      <c r="H5" s="20">
        <v>197.6426664085011</v>
      </c>
      <c r="I5" s="20">
        <v>127.62478478252888</v>
      </c>
      <c r="J5" s="20">
        <v>165.27571675469517</v>
      </c>
      <c r="K5" s="20">
        <v>183.91695890459232</v>
      </c>
      <c r="L5" s="20">
        <v>166.52288978621073</v>
      </c>
      <c r="M5" s="20">
        <v>162.59283243998652</v>
      </c>
      <c r="N5" s="20">
        <v>182.72036514717911</v>
      </c>
      <c r="O5" s="20">
        <v>187.55153847523616</v>
      </c>
      <c r="P5" s="20">
        <v>166.88923993642675</v>
      </c>
      <c r="Q5" s="20">
        <v>166.2658665834897</v>
      </c>
      <c r="R5" s="20">
        <v>186.00206645787694</v>
      </c>
      <c r="S5" s="20">
        <v>192.0782641362166</v>
      </c>
      <c r="T5" s="20">
        <v>180.23899643667392</v>
      </c>
      <c r="U5" s="20">
        <v>165.65350948512787</v>
      </c>
      <c r="V5" s="20">
        <v>180.97116809331055</v>
      </c>
      <c r="W5" s="20">
        <v>144.85925463377498</v>
      </c>
      <c r="X5" s="20">
        <v>183.9210516307503</v>
      </c>
      <c r="Y5" s="20">
        <v>175.22090489437687</v>
      </c>
      <c r="Z5" s="20">
        <v>155.61732640053378</v>
      </c>
      <c r="AA5" s="20">
        <v>162.91469124626019</v>
      </c>
      <c r="AB5" s="20">
        <v>178.77746687263425</v>
      </c>
      <c r="AC5" s="20">
        <v>177.99928615277167</v>
      </c>
      <c r="AD5" s="20">
        <v>184.0336016000947</v>
      </c>
      <c r="AE5" s="20">
        <v>198.10882791789481</v>
      </c>
      <c r="AF5" s="20">
        <v>155.90975168452132</v>
      </c>
      <c r="AG5" s="20">
        <v>172.64664835311123</v>
      </c>
      <c r="AH5" s="20">
        <v>186.83302629215177</v>
      </c>
      <c r="AI5" s="20">
        <v>181.86534349370049</v>
      </c>
      <c r="AJ5" s="20">
        <v>183.03119064585189</v>
      </c>
      <c r="AK5" s="20">
        <v>175.42748524720082</v>
      </c>
      <c r="AL5" s="20">
        <v>197.41579295514384</v>
      </c>
      <c r="AM5" s="20">
        <v>155.62523900443921</v>
      </c>
      <c r="AN5" s="20">
        <v>197.41579295514384</v>
      </c>
      <c r="AO5" s="20">
        <v>153.83003288734471</v>
      </c>
      <c r="AP5" s="20">
        <v>165.31957713668817</v>
      </c>
      <c r="AQ5" s="20">
        <v>180.96247105022485</v>
      </c>
      <c r="AR5" s="20">
        <v>186.1815666059556</v>
      </c>
      <c r="AS5" s="20">
        <v>181.94187747285469</v>
      </c>
      <c r="AT5" s="20">
        <v>161.32688402722124</v>
      </c>
      <c r="AU5" s="20">
        <v>175.57789293350652</v>
      </c>
      <c r="AV5" s="20">
        <v>201.67209173523588</v>
      </c>
      <c r="AW5" s="20">
        <v>189.77030764363008</v>
      </c>
      <c r="AX5" s="20">
        <v>169.84386421499948</v>
      </c>
      <c r="AY5" s="20">
        <v>171.71802584089164</v>
      </c>
    </row>
    <row r="6" spans="1:51" ht="13">
      <c r="A6" s="222">
        <v>5</v>
      </c>
      <c r="B6" s="20">
        <v>178.61068828169664</v>
      </c>
      <c r="C6" s="20">
        <v>195.42590949713485</v>
      </c>
      <c r="D6" s="20">
        <v>169.23570216094959</v>
      </c>
      <c r="E6" s="20">
        <v>171.90230083615461</v>
      </c>
      <c r="F6" s="20">
        <v>195.62195108010201</v>
      </c>
      <c r="G6" s="20">
        <v>167.55345528581529</v>
      </c>
      <c r="H6" s="20">
        <v>136.49290382163599</v>
      </c>
      <c r="I6" s="20">
        <v>160.90243421858759</v>
      </c>
      <c r="J6" s="20">
        <v>184.37575350690167</v>
      </c>
      <c r="K6" s="20">
        <v>191.63805733187473</v>
      </c>
      <c r="L6" s="20">
        <v>174.83762108968222</v>
      </c>
      <c r="M6" s="20">
        <v>179.96785332870786</v>
      </c>
      <c r="N6" s="20">
        <v>169.54458361469733</v>
      </c>
      <c r="O6" s="20">
        <v>182.4998013133154</v>
      </c>
      <c r="P6" s="20">
        <v>194.85224571399158</v>
      </c>
      <c r="Q6" s="20">
        <v>187.57923258890514</v>
      </c>
      <c r="R6" s="20">
        <v>172.92275389154383</v>
      </c>
      <c r="S6" s="20">
        <v>163.69230921627604</v>
      </c>
      <c r="T6" s="20">
        <v>161.31992639275268</v>
      </c>
      <c r="U6" s="20">
        <v>177.69202473646146</v>
      </c>
      <c r="V6" s="20">
        <v>182.29504563423689</v>
      </c>
      <c r="W6" s="20">
        <v>188.3256094159151</v>
      </c>
      <c r="X6" s="20">
        <v>175.84327211880009</v>
      </c>
      <c r="Y6" s="20">
        <v>156.85656977511826</v>
      </c>
      <c r="Z6" s="20">
        <v>184.20617821975611</v>
      </c>
      <c r="AA6" s="20">
        <v>177.47190428126487</v>
      </c>
      <c r="AB6" s="20">
        <v>197.83454705320764</v>
      </c>
      <c r="AC6" s="20">
        <v>193.48432020779001</v>
      </c>
      <c r="AD6" s="20">
        <v>164.45976358299959</v>
      </c>
      <c r="AE6" s="20">
        <v>187.54990138477297</v>
      </c>
      <c r="AF6" s="20">
        <v>149.24181401584065</v>
      </c>
      <c r="AG6" s="20">
        <v>189.93705212851637</v>
      </c>
      <c r="AH6" s="20">
        <v>175.5491926913237</v>
      </c>
      <c r="AI6" s="20">
        <v>188.72359292872716</v>
      </c>
      <c r="AJ6" s="20">
        <v>189.8525032273028</v>
      </c>
      <c r="AK6" s="20">
        <v>183.68795382302778</v>
      </c>
      <c r="AL6" s="20">
        <v>176.62859805641347</v>
      </c>
      <c r="AM6" s="20">
        <v>169.35289055327303</v>
      </c>
      <c r="AN6" s="20">
        <v>176.7683305486571</v>
      </c>
      <c r="AO6" s="20">
        <v>160.8147475606529</v>
      </c>
      <c r="AP6" s="20">
        <v>198.98187461949419</v>
      </c>
      <c r="AQ6" s="20">
        <v>170.38234760620981</v>
      </c>
      <c r="AR6" s="20">
        <v>163.54848399787443</v>
      </c>
      <c r="AS6" s="20">
        <v>176.64936864166521</v>
      </c>
      <c r="AT6" s="20">
        <v>181.17169462202583</v>
      </c>
      <c r="AU6" s="20">
        <v>181.64943513584149</v>
      </c>
      <c r="AV6" s="20">
        <v>165.69667069306888</v>
      </c>
      <c r="AW6" s="20">
        <v>201.17400696180994</v>
      </c>
      <c r="AX6" s="20">
        <v>188.5881577989494</v>
      </c>
      <c r="AY6" s="20">
        <v>188.32390411334927</v>
      </c>
    </row>
    <row r="7" spans="1:51" ht="13">
      <c r="A7" s="222">
        <v>6</v>
      </c>
      <c r="B7" s="20">
        <v>175.2633669282659</v>
      </c>
      <c r="C7" s="20">
        <v>183.72054215506068</v>
      </c>
      <c r="D7" s="20">
        <v>182.45302486393484</v>
      </c>
      <c r="E7" s="20">
        <v>203.619206204894</v>
      </c>
      <c r="F7" s="20">
        <v>208.97835826035589</v>
      </c>
      <c r="G7" s="20">
        <v>176.05483195511624</v>
      </c>
      <c r="H7" s="20">
        <v>157.88878941821167</v>
      </c>
      <c r="I7" s="20">
        <v>163.2918700677692</v>
      </c>
      <c r="J7" s="20">
        <v>159.84279331023572</v>
      </c>
      <c r="K7" s="20">
        <v>178.49266429111594</v>
      </c>
      <c r="L7" s="20">
        <v>170.50132656622736</v>
      </c>
      <c r="M7" s="20">
        <v>181.1666810324823</v>
      </c>
      <c r="N7" s="20">
        <v>177.33126797866134</v>
      </c>
      <c r="O7" s="20">
        <v>157.39796923371614</v>
      </c>
      <c r="P7" s="20">
        <v>184.83069412541226</v>
      </c>
      <c r="Q7" s="20">
        <v>161.80839325970737</v>
      </c>
      <c r="R7" s="20">
        <v>185.6049697023991</v>
      </c>
      <c r="S7" s="20">
        <v>165.08521740506694</v>
      </c>
      <c r="T7" s="20">
        <v>191.6508129950671</v>
      </c>
      <c r="U7" s="20">
        <v>156.5425894666987</v>
      </c>
      <c r="V7" s="20">
        <v>177.06682670977898</v>
      </c>
      <c r="W7" s="20">
        <v>201.58887297002366</v>
      </c>
      <c r="X7" s="20">
        <v>163.12464809816447</v>
      </c>
      <c r="Y7" s="20">
        <v>172.06856783632247</v>
      </c>
      <c r="Z7" s="20">
        <v>164.52282567188377</v>
      </c>
      <c r="AA7" s="20">
        <v>196.57528342650039</v>
      </c>
      <c r="AB7" s="20">
        <v>175.87084686128946</v>
      </c>
      <c r="AC7" s="20">
        <v>153.55622950737597</v>
      </c>
      <c r="AD7" s="20">
        <v>143.44398992834613</v>
      </c>
      <c r="AE7" s="20">
        <v>200.05048541934229</v>
      </c>
      <c r="AF7" s="20">
        <v>182.26922735339031</v>
      </c>
      <c r="AG7" s="20">
        <v>197.11538685514824</v>
      </c>
      <c r="AH7" s="20">
        <v>161.89935409856844</v>
      </c>
      <c r="AI7" s="20">
        <v>199.89455255272333</v>
      </c>
      <c r="AJ7" s="20">
        <v>202.8437710221624</v>
      </c>
      <c r="AK7" s="20">
        <v>184.28525309973338</v>
      </c>
      <c r="AL7" s="20">
        <v>170.37032522312074</v>
      </c>
      <c r="AM7" s="20">
        <v>206.85600689903367</v>
      </c>
      <c r="AN7" s="20">
        <v>201.1687546299072</v>
      </c>
      <c r="AO7" s="20">
        <v>193.60505562945036</v>
      </c>
      <c r="AP7" s="20">
        <v>167.869823017827</v>
      </c>
      <c r="AQ7" s="20">
        <v>172.76508161630773</v>
      </c>
      <c r="AR7" s="20">
        <v>160.55236970787519</v>
      </c>
      <c r="AS7" s="20">
        <v>168.10532530216733</v>
      </c>
      <c r="AT7" s="20">
        <v>173.64471078581118</v>
      </c>
      <c r="AU7" s="20">
        <v>192.38460468914127</v>
      </c>
      <c r="AV7" s="20">
        <v>181.31432612863136</v>
      </c>
      <c r="AW7" s="20">
        <v>158.25109800134669</v>
      </c>
      <c r="AX7" s="20">
        <v>147.89305611047894</v>
      </c>
      <c r="AY7" s="20">
        <v>175.42978740566468</v>
      </c>
    </row>
    <row r="8" spans="1:51" ht="13">
      <c r="A8" s="222">
        <v>7</v>
      </c>
      <c r="B8" s="20">
        <v>181.82714471622603</v>
      </c>
      <c r="C8" s="20">
        <v>173.37372115507605</v>
      </c>
      <c r="D8" s="20">
        <v>180.42968336958438</v>
      </c>
      <c r="E8" s="20">
        <v>200.43827122281073</v>
      </c>
      <c r="F8" s="20">
        <v>177.05870946956566</v>
      </c>
      <c r="G8" s="20">
        <v>162.78406506971805</v>
      </c>
      <c r="H8" s="20">
        <v>160.78241502400488</v>
      </c>
      <c r="I8" s="20">
        <v>160.88991729775444</v>
      </c>
      <c r="J8" s="20">
        <v>215.84431566298008</v>
      </c>
      <c r="K8" s="20">
        <v>141.48302840185352</v>
      </c>
      <c r="L8" s="20">
        <v>154.93077158753294</v>
      </c>
      <c r="M8" s="20">
        <v>163.90311871946324</v>
      </c>
      <c r="N8" s="20">
        <v>199.14810751361074</v>
      </c>
      <c r="O8" s="20">
        <v>158.74498773046071</v>
      </c>
      <c r="P8" s="20">
        <v>187.3813492791669</v>
      </c>
      <c r="Q8" s="20">
        <v>189.42757593395072</v>
      </c>
      <c r="R8" s="20">
        <v>153.53713011863874</v>
      </c>
      <c r="S8" s="20">
        <v>181.83986627336708</v>
      </c>
      <c r="T8" s="20">
        <v>162.22724967592512</v>
      </c>
      <c r="U8" s="20">
        <v>163.36796066825627</v>
      </c>
      <c r="V8" s="20">
        <v>165.17070422269171</v>
      </c>
      <c r="W8" s="20">
        <v>185.34576371239382</v>
      </c>
      <c r="X8" s="20">
        <v>161.06576809834223</v>
      </c>
      <c r="Y8" s="20">
        <v>171.81903091186541</v>
      </c>
      <c r="Z8" s="20">
        <v>195.2675209948211</v>
      </c>
      <c r="AA8" s="20">
        <v>155.57223820069339</v>
      </c>
      <c r="AB8" s="20">
        <v>153.21932993247174</v>
      </c>
      <c r="AC8" s="20">
        <v>170.77545395368361</v>
      </c>
      <c r="AD8" s="20">
        <v>182.16745489626192</v>
      </c>
      <c r="AE8" s="20">
        <v>181.3206016420736</v>
      </c>
      <c r="AF8" s="20">
        <v>191.67206106503727</v>
      </c>
      <c r="AG8" s="20">
        <v>158.30877133412287</v>
      </c>
      <c r="AH8" s="20">
        <v>166.77744030021131</v>
      </c>
      <c r="AI8" s="20">
        <v>182.07627236806729</v>
      </c>
      <c r="AJ8" s="20">
        <v>162.39136799486005</v>
      </c>
      <c r="AK8" s="20">
        <v>163.43296680206549</v>
      </c>
      <c r="AL8" s="20">
        <v>140.17881299951114</v>
      </c>
      <c r="AM8" s="20">
        <v>190.68666903040139</v>
      </c>
      <c r="AN8" s="20">
        <v>194.91854787775083</v>
      </c>
      <c r="AO8" s="20">
        <v>190.3283508552704</v>
      </c>
      <c r="AP8" s="20">
        <v>181.17667410551803</v>
      </c>
      <c r="AQ8" s="20">
        <v>211.26319085014984</v>
      </c>
      <c r="AR8" s="20">
        <v>162.37175701535307</v>
      </c>
      <c r="AS8" s="20">
        <v>194.11344043037388</v>
      </c>
      <c r="AT8" s="20">
        <v>175.94901793090685</v>
      </c>
      <c r="AU8" s="20">
        <v>195.12836830544984</v>
      </c>
      <c r="AV8" s="20">
        <v>160.23900330837932</v>
      </c>
      <c r="AW8" s="20">
        <v>154.09387730032904</v>
      </c>
      <c r="AX8" s="20">
        <v>155.90463577682385</v>
      </c>
      <c r="AY8" s="20">
        <v>187.18399461322406</v>
      </c>
    </row>
    <row r="9" spans="1:51" ht="13">
      <c r="A9" s="222">
        <v>8</v>
      </c>
      <c r="B9" s="20">
        <v>184.102495823754</v>
      </c>
      <c r="C9" s="20">
        <v>180.07586719322717</v>
      </c>
      <c r="D9" s="20">
        <v>153.61345946148504</v>
      </c>
      <c r="E9" s="20">
        <v>192.24384901535814</v>
      </c>
      <c r="F9" s="20">
        <v>186.18456793847145</v>
      </c>
      <c r="G9" s="20">
        <v>180.89424189456622</v>
      </c>
      <c r="H9" s="20">
        <v>173.45218212612963</v>
      </c>
      <c r="I9" s="20">
        <v>182.81483890932577</v>
      </c>
      <c r="J9" s="20">
        <v>174.78484197526996</v>
      </c>
      <c r="K9" s="20">
        <v>178.53749669557146</v>
      </c>
      <c r="L9" s="20">
        <v>164.7906263868208</v>
      </c>
      <c r="M9" s="20">
        <v>183.09217226560577</v>
      </c>
      <c r="N9" s="20">
        <v>184.56623580350424</v>
      </c>
      <c r="O9" s="20">
        <v>195.86376298393589</v>
      </c>
      <c r="P9" s="20">
        <v>177.57316514762351</v>
      </c>
      <c r="Q9" s="20">
        <v>174.04983951637405</v>
      </c>
      <c r="R9" s="20">
        <v>171.46132664565812</v>
      </c>
      <c r="S9" s="20">
        <v>174.34516381472349</v>
      </c>
      <c r="T9" s="20">
        <v>181.04202341492055</v>
      </c>
      <c r="U9" s="20">
        <v>170.39800228376407</v>
      </c>
      <c r="V9" s="20">
        <v>179.98482108923781</v>
      </c>
      <c r="W9" s="20">
        <v>181.07689685239166</v>
      </c>
      <c r="X9" s="20">
        <v>179.69231054012198</v>
      </c>
      <c r="Y9" s="20">
        <v>197.46852091047913</v>
      </c>
      <c r="Z9" s="20">
        <v>190.00881126048625</v>
      </c>
      <c r="AA9" s="20">
        <v>183.8964270616998</v>
      </c>
      <c r="AB9" s="20">
        <v>170.46290609941934</v>
      </c>
      <c r="AC9" s="20">
        <v>179.49388153356267</v>
      </c>
      <c r="AD9" s="20">
        <v>171.85071543353843</v>
      </c>
      <c r="AE9" s="20">
        <v>177.9559885206254</v>
      </c>
      <c r="AF9" s="20">
        <v>181.28676843916764</v>
      </c>
      <c r="AG9" s="20">
        <v>174.03488401287177</v>
      </c>
      <c r="AH9" s="20">
        <v>148.15321706992108</v>
      </c>
      <c r="AI9" s="20">
        <v>166.09398913788027</v>
      </c>
      <c r="AJ9" s="20">
        <v>175.48718789003033</v>
      </c>
      <c r="AK9" s="20">
        <v>163.8910451772972</v>
      </c>
      <c r="AL9" s="20">
        <v>172.10949509790225</v>
      </c>
      <c r="AM9" s="20">
        <v>172.82655777380569</v>
      </c>
      <c r="AN9" s="20">
        <v>161.59076254625688</v>
      </c>
      <c r="AO9" s="20">
        <v>164.77469886085601</v>
      </c>
      <c r="AP9" s="20">
        <v>179.30699742537399</v>
      </c>
      <c r="AQ9" s="20">
        <v>154.03310031688306</v>
      </c>
      <c r="AR9" s="20">
        <v>189.33310217180406</v>
      </c>
      <c r="AS9" s="20">
        <v>154.54216723883292</v>
      </c>
      <c r="AT9" s="20">
        <v>171.75445110369765</v>
      </c>
      <c r="AU9" s="20">
        <v>188.81980609949096</v>
      </c>
      <c r="AV9" s="20">
        <v>193.28251470215037</v>
      </c>
      <c r="AW9" s="20">
        <v>197.66415322083049</v>
      </c>
      <c r="AX9" s="20">
        <v>163.2654037719476</v>
      </c>
      <c r="AY9" s="20">
        <v>157.59295352909248</v>
      </c>
    </row>
    <row r="10" spans="1:51" ht="13">
      <c r="A10" s="222">
        <v>9</v>
      </c>
      <c r="B10" s="20">
        <v>178.80708797820262</v>
      </c>
      <c r="C10" s="20">
        <v>183.73005774337798</v>
      </c>
      <c r="D10" s="20">
        <v>187.55477855011122</v>
      </c>
      <c r="E10" s="20">
        <v>174.06247580838681</v>
      </c>
      <c r="F10" s="20">
        <v>176.03987645161396</v>
      </c>
      <c r="G10" s="20">
        <v>160.04787299680174</v>
      </c>
      <c r="H10" s="20">
        <v>166.77344989220728</v>
      </c>
      <c r="I10" s="20">
        <v>157.6736825525586</v>
      </c>
      <c r="J10" s="20">
        <v>175.13253611541586</v>
      </c>
      <c r="K10" s="20">
        <v>176.6401429547841</v>
      </c>
      <c r="L10" s="20">
        <v>201.97297531994991</v>
      </c>
      <c r="M10" s="20">
        <v>169.40212263834837</v>
      </c>
      <c r="N10" s="20">
        <v>194.98805601033382</v>
      </c>
      <c r="O10" s="20">
        <v>175.93752419161319</v>
      </c>
      <c r="P10" s="20">
        <v>203.30665835062973</v>
      </c>
      <c r="Q10" s="20">
        <v>191.20555849513039</v>
      </c>
      <c r="R10" s="20">
        <v>182.28472855371365</v>
      </c>
      <c r="S10" s="20">
        <v>182.94261723058298</v>
      </c>
      <c r="T10" s="20">
        <v>184.28107510844711</v>
      </c>
      <c r="U10" s="20">
        <v>164.02794686728157</v>
      </c>
      <c r="V10" s="20">
        <v>223.95991878584027</v>
      </c>
      <c r="W10" s="20">
        <v>165.89890252434998</v>
      </c>
      <c r="X10" s="20">
        <v>155.48966745045618</v>
      </c>
      <c r="Y10" s="20">
        <v>155.86585719647701</v>
      </c>
      <c r="Z10" s="20">
        <v>197.77622570545645</v>
      </c>
      <c r="AA10" s="20">
        <v>176.551279638079</v>
      </c>
      <c r="AB10" s="20">
        <v>198.50793693040032</v>
      </c>
      <c r="AC10" s="20">
        <v>200.52571913838619</v>
      </c>
      <c r="AD10" s="20">
        <v>160.58517972924164</v>
      </c>
      <c r="AE10" s="20">
        <v>177.46143372351071</v>
      </c>
      <c r="AF10" s="20">
        <v>169.96664599973883</v>
      </c>
      <c r="AG10" s="20">
        <v>161.19598500226857</v>
      </c>
      <c r="AH10" s="20">
        <v>205.57675712625496</v>
      </c>
      <c r="AI10" s="20">
        <v>183.25458528197487</v>
      </c>
      <c r="AJ10" s="20">
        <v>159.76421296800254</v>
      </c>
      <c r="AK10" s="20">
        <v>168.21483983294456</v>
      </c>
      <c r="AL10" s="20">
        <v>176.7879756342154</v>
      </c>
      <c r="AM10" s="20">
        <v>171.29475269102841</v>
      </c>
      <c r="AN10" s="20">
        <v>179.13031102652894</v>
      </c>
      <c r="AO10" s="20">
        <v>161.09578142350074</v>
      </c>
      <c r="AP10" s="20">
        <v>195.40565050265286</v>
      </c>
      <c r="AQ10" s="20">
        <v>192.27277094687452</v>
      </c>
      <c r="AR10" s="20">
        <v>174.64137487040716</v>
      </c>
      <c r="AS10" s="20">
        <v>178.82485723093851</v>
      </c>
      <c r="AT10" s="20">
        <v>175.7949950031616</v>
      </c>
      <c r="AU10" s="20">
        <v>159.49262648136937</v>
      </c>
      <c r="AV10" s="20">
        <v>159.90575308096595</v>
      </c>
      <c r="AW10" s="20">
        <v>185.06230831990251</v>
      </c>
      <c r="AX10" s="20">
        <v>185.15879433907685</v>
      </c>
      <c r="AY10" s="20">
        <v>154.02702943974873</v>
      </c>
    </row>
    <row r="11" spans="1:51" ht="13">
      <c r="A11" s="222">
        <v>10</v>
      </c>
      <c r="B11" s="20">
        <v>177.99694988825649</v>
      </c>
      <c r="C11" s="20">
        <v>179.82624500364182</v>
      </c>
      <c r="D11" s="20">
        <v>168.76706796283543</v>
      </c>
      <c r="E11" s="20">
        <v>183.1041264365922</v>
      </c>
      <c r="F11" s="20">
        <v>170.95899566884327</v>
      </c>
      <c r="G11" s="20">
        <v>177.17460183193907</v>
      </c>
      <c r="H11" s="20">
        <v>155.78011458346737</v>
      </c>
      <c r="I11" s="20">
        <v>183.33210833661724</v>
      </c>
      <c r="J11" s="20">
        <v>180.65573827771004</v>
      </c>
      <c r="K11" s="20">
        <v>178.32782974510337</v>
      </c>
      <c r="L11" s="20">
        <v>190.80614252816304</v>
      </c>
      <c r="M11" s="20">
        <v>166.11861370693077</v>
      </c>
      <c r="N11" s="20">
        <v>170.43166495641344</v>
      </c>
      <c r="O11" s="20">
        <v>168.95671466118074</v>
      </c>
      <c r="P11" s="20">
        <v>201.77311385923531</v>
      </c>
      <c r="Q11" s="20">
        <v>154.8518501847866</v>
      </c>
      <c r="R11" s="20">
        <v>183.80901325217565</v>
      </c>
      <c r="S11" s="20">
        <v>170.82794316665968</v>
      </c>
      <c r="T11" s="20">
        <v>170.67506279163354</v>
      </c>
      <c r="U11" s="20">
        <v>187.56620407730225</v>
      </c>
      <c r="V11" s="20">
        <v>180.01393060403643</v>
      </c>
      <c r="W11" s="20">
        <v>179.38119514001301</v>
      </c>
      <c r="X11" s="20">
        <v>181.26671408099355</v>
      </c>
      <c r="Y11" s="20">
        <v>183.16260126157431</v>
      </c>
      <c r="Z11" s="20">
        <v>202.08934516704176</v>
      </c>
      <c r="AA11" s="20">
        <v>181.28676843916764</v>
      </c>
      <c r="AB11" s="20">
        <v>183.38707023831375</v>
      </c>
      <c r="AC11" s="20">
        <v>202.18361429288052</v>
      </c>
      <c r="AD11" s="20">
        <v>137.64268702361733</v>
      </c>
      <c r="AE11" s="20">
        <v>202.10107764869463</v>
      </c>
      <c r="AF11" s="20">
        <v>193.49659838626394</v>
      </c>
      <c r="AG11" s="20">
        <v>152.02554992429214</v>
      </c>
      <c r="AH11" s="20">
        <v>158.00485231084167</v>
      </c>
      <c r="AI11" s="20">
        <v>170.58287413492508</v>
      </c>
      <c r="AJ11" s="20">
        <v>160.92381871276302</v>
      </c>
      <c r="AK11" s="20">
        <v>193.25840172386961</v>
      </c>
      <c r="AL11" s="20">
        <v>184.38134689931758</v>
      </c>
      <c r="AM11" s="20">
        <v>140.93160176416859</v>
      </c>
      <c r="AN11" s="20">
        <v>193.51869910751702</v>
      </c>
      <c r="AO11" s="20">
        <v>158.92748921105522</v>
      </c>
      <c r="AP11" s="20">
        <v>158.7532413948793</v>
      </c>
      <c r="AQ11" s="20">
        <v>158.94375779753318</v>
      </c>
      <c r="AR11" s="20">
        <v>196.42146513506304</v>
      </c>
      <c r="AS11" s="20">
        <v>170.66788346783142</v>
      </c>
      <c r="AT11" s="20">
        <v>176.97187546291389</v>
      </c>
      <c r="AU11" s="20">
        <v>202.62822077784222</v>
      </c>
      <c r="AV11" s="20">
        <v>185.18478315018001</v>
      </c>
      <c r="AW11" s="20">
        <v>175.39191263567773</v>
      </c>
      <c r="AX11" s="20">
        <v>187.75462295780017</v>
      </c>
      <c r="AY11" s="20">
        <v>138.9048837707378</v>
      </c>
    </row>
    <row r="12" spans="1:51" ht="13">
      <c r="A12" s="222">
        <v>11</v>
      </c>
      <c r="B12" s="20">
        <v>166.28216927601898</v>
      </c>
      <c r="C12" s="20">
        <v>193.56058133853367</v>
      </c>
      <c r="D12" s="20">
        <v>205.6134552374715</v>
      </c>
      <c r="E12" s="20">
        <v>189.11543735230225</v>
      </c>
      <c r="F12" s="20">
        <v>189.50612217013258</v>
      </c>
      <c r="G12" s="20">
        <v>148.49352724995697</v>
      </c>
      <c r="H12" s="20">
        <v>180.19022478329134</v>
      </c>
      <c r="I12" s="20">
        <v>149.09522620728239</v>
      </c>
      <c r="J12" s="20">
        <v>163.64803956166725</v>
      </c>
      <c r="K12" s="20">
        <v>208.77263055881485</v>
      </c>
      <c r="L12" s="20">
        <v>183.24923063191818</v>
      </c>
      <c r="M12" s="20">
        <v>161.56678599218139</v>
      </c>
      <c r="N12" s="20">
        <v>168.12955765162769</v>
      </c>
      <c r="O12" s="20">
        <v>164.83111026973347</v>
      </c>
      <c r="P12" s="20">
        <v>189.01035660819616</v>
      </c>
      <c r="Q12" s="20">
        <v>172.06856783632247</v>
      </c>
      <c r="R12" s="20">
        <v>137.38184394314885</v>
      </c>
      <c r="S12" s="20">
        <v>177.51612277679669</v>
      </c>
      <c r="T12" s="20">
        <v>158.00703509812593</v>
      </c>
      <c r="U12" s="20">
        <v>182.01476210451801</v>
      </c>
      <c r="V12" s="20">
        <v>194.99924279516563</v>
      </c>
      <c r="W12" s="20">
        <v>166.62768062888063</v>
      </c>
      <c r="X12" s="20">
        <v>167.50799191941041</v>
      </c>
      <c r="Y12" s="20">
        <v>162.33410393469967</v>
      </c>
      <c r="Z12" s="20">
        <v>193.03892928364803</v>
      </c>
      <c r="AA12" s="20">
        <v>179.44589431936038</v>
      </c>
      <c r="AB12" s="20">
        <v>202.32112989178859</v>
      </c>
      <c r="AC12" s="20">
        <v>151.14902440545848</v>
      </c>
      <c r="AD12" s="20">
        <v>177.90102661892888</v>
      </c>
      <c r="AE12" s="20">
        <v>175.9904056241794</v>
      </c>
      <c r="AF12" s="20">
        <v>206.77974576829001</v>
      </c>
      <c r="AG12" s="20">
        <v>181.71278712616186</v>
      </c>
      <c r="AH12" s="20">
        <v>215.18402250949293</v>
      </c>
      <c r="AI12" s="20">
        <v>180.02849388794857</v>
      </c>
      <c r="AJ12" s="20">
        <v>151.08374542323872</v>
      </c>
      <c r="AK12" s="20">
        <v>191.03792725290987</v>
      </c>
      <c r="AL12" s="20">
        <v>176.56396708916873</v>
      </c>
      <c r="AM12" s="20">
        <v>186.43309873441467</v>
      </c>
      <c r="AN12" s="20">
        <v>147.51447894086596</v>
      </c>
      <c r="AO12" s="20">
        <v>171.12415422234335</v>
      </c>
      <c r="AP12" s="20">
        <v>168.55378577092779</v>
      </c>
      <c r="AQ12" s="20">
        <v>180.5818816235842</v>
      </c>
      <c r="AR12" s="20">
        <v>164.22937720635673</v>
      </c>
      <c r="AS12" s="20">
        <v>184.88482042885153</v>
      </c>
      <c r="AT12" s="20">
        <v>166.91444430834963</v>
      </c>
      <c r="AU12" s="20">
        <v>159.28355638679932</v>
      </c>
      <c r="AV12" s="20">
        <v>170.95423787468462</v>
      </c>
      <c r="AW12" s="20">
        <v>188.37332378170686</v>
      </c>
      <c r="AX12" s="20">
        <v>191.72110556683037</v>
      </c>
      <c r="AY12" s="20">
        <v>193.65471404016716</v>
      </c>
    </row>
    <row r="13" spans="1:51" ht="13">
      <c r="A13" s="222">
        <v>12</v>
      </c>
      <c r="B13" s="20">
        <v>170.00426497434091</v>
      </c>
      <c r="C13" s="20">
        <v>172.58738908894884</v>
      </c>
      <c r="D13" s="20">
        <v>186.68323251476977</v>
      </c>
      <c r="E13" s="20">
        <v>175.35746552384808</v>
      </c>
      <c r="F13" s="20">
        <v>168.23896986425098</v>
      </c>
      <c r="G13" s="20">
        <v>174.82500185069512</v>
      </c>
      <c r="H13" s="20">
        <v>186.60877900474588</v>
      </c>
      <c r="I13" s="20">
        <v>155.47360350028612</v>
      </c>
      <c r="J13" s="20">
        <v>174.36583208182128</v>
      </c>
      <c r="K13" s="20">
        <v>165.89613993419334</v>
      </c>
      <c r="L13" s="20">
        <v>182.93337449067621</v>
      </c>
      <c r="M13" s="20">
        <v>178.74075170839205</v>
      </c>
      <c r="N13" s="20">
        <v>158.0614001439244</v>
      </c>
      <c r="O13" s="20">
        <v>147.83412085380405</v>
      </c>
      <c r="P13" s="20">
        <v>189.42211896574008</v>
      </c>
      <c r="Q13" s="20">
        <v>170.11570649701753</v>
      </c>
      <c r="R13" s="20">
        <v>149.08499439188745</v>
      </c>
      <c r="S13" s="20">
        <v>171.54150997230317</v>
      </c>
      <c r="T13" s="20">
        <v>197.42281880171504</v>
      </c>
      <c r="U13" s="20">
        <v>184.41485609473602</v>
      </c>
      <c r="V13" s="20">
        <v>203.36136445694137</v>
      </c>
      <c r="W13" s="20">
        <v>176.69786744663725</v>
      </c>
      <c r="X13" s="20">
        <v>190.23964101579622</v>
      </c>
      <c r="Y13" s="20">
        <v>186.04115199268563</v>
      </c>
      <c r="Z13" s="20">
        <v>168.90192328974081</v>
      </c>
      <c r="AA13" s="20">
        <v>180.15613578500052</v>
      </c>
      <c r="AB13" s="20">
        <v>154.34257862652885</v>
      </c>
      <c r="AC13" s="20">
        <v>160.83804199370206</v>
      </c>
      <c r="AD13" s="20">
        <v>190.05809450463858</v>
      </c>
      <c r="AE13" s="20">
        <v>186.91307319459156</v>
      </c>
      <c r="AF13" s="20">
        <v>168.06961626643897</v>
      </c>
      <c r="AG13" s="20">
        <v>172.23098085269157</v>
      </c>
      <c r="AH13" s="20">
        <v>146.85500433261041</v>
      </c>
      <c r="AI13" s="20">
        <v>188.14269866270479</v>
      </c>
      <c r="AJ13" s="20">
        <v>160.83446085831383</v>
      </c>
      <c r="AK13" s="20">
        <v>153.00302935502259</v>
      </c>
      <c r="AL13" s="20">
        <v>180.53271775061148</v>
      </c>
      <c r="AM13" s="20">
        <v>196.42780886060791</v>
      </c>
      <c r="AN13" s="20">
        <v>161.27640707127284</v>
      </c>
      <c r="AO13" s="20">
        <v>169.69265503648785</v>
      </c>
      <c r="AP13" s="20">
        <v>185.04363525680674</v>
      </c>
      <c r="AQ13" s="20">
        <v>197.58898348372895</v>
      </c>
      <c r="AR13" s="20">
        <v>171.97963630751474</v>
      </c>
      <c r="AS13" s="20">
        <v>155.27919900778215</v>
      </c>
      <c r="AT13" s="20">
        <v>170.79455334242084</v>
      </c>
      <c r="AU13" s="20">
        <v>194.3985670193797</v>
      </c>
      <c r="AV13" s="20">
        <v>179.44708803115645</v>
      </c>
      <c r="AW13" s="20">
        <v>192.42058657328016</v>
      </c>
      <c r="AX13" s="20">
        <v>194.50231762748444</v>
      </c>
      <c r="AY13" s="20">
        <v>189.81133722336381</v>
      </c>
    </row>
    <row r="14" spans="1:51" ht="13">
      <c r="A14" s="222">
        <v>13</v>
      </c>
      <c r="B14" s="20">
        <v>161.45331515945145</v>
      </c>
      <c r="C14" s="20">
        <v>180.0212122459925</v>
      </c>
      <c r="D14" s="20">
        <v>176.50513415064779</v>
      </c>
      <c r="E14" s="20">
        <v>173.26632119948044</v>
      </c>
      <c r="F14" s="20">
        <v>155.44144149389467</v>
      </c>
      <c r="G14" s="20">
        <v>178.73957504962164</v>
      </c>
      <c r="H14" s="20">
        <v>177.29179022426251</v>
      </c>
      <c r="I14" s="20">
        <v>175.00861177795741</v>
      </c>
      <c r="J14" s="20">
        <v>129.06760717742145</v>
      </c>
      <c r="K14" s="20">
        <v>180.57695329916896</v>
      </c>
      <c r="L14" s="20">
        <v>173.44987996766577</v>
      </c>
      <c r="M14" s="20">
        <v>184.00336658560263</v>
      </c>
      <c r="N14" s="20">
        <v>173.66774942347547</v>
      </c>
      <c r="O14" s="20">
        <v>158.28100900835125</v>
      </c>
      <c r="P14" s="20">
        <v>173.71038198762108</v>
      </c>
      <c r="Q14" s="20">
        <v>207.96881914138794</v>
      </c>
      <c r="R14" s="20">
        <v>186.23009951697895</v>
      </c>
      <c r="S14" s="20">
        <v>159.17786173376953</v>
      </c>
      <c r="T14" s="20">
        <v>214.44624040741473</v>
      </c>
      <c r="U14" s="20">
        <v>176.22514052236511</v>
      </c>
      <c r="V14" s="20">
        <v>161.66760347987292</v>
      </c>
      <c r="W14" s="20">
        <v>169.37505948662874</v>
      </c>
      <c r="X14" s="20">
        <v>161.64202394138556</v>
      </c>
      <c r="Y14" s="20">
        <v>143.08901414624415</v>
      </c>
      <c r="Z14" s="20">
        <v>151.43312781292479</v>
      </c>
      <c r="AA14" s="20">
        <v>166.58876562432852</v>
      </c>
      <c r="AB14" s="20">
        <v>161.96811189802247</v>
      </c>
      <c r="AC14" s="20">
        <v>164.24274677847279</v>
      </c>
      <c r="AD14" s="20">
        <v>183.34818933981296</v>
      </c>
      <c r="AE14" s="20">
        <v>167.73851472025854</v>
      </c>
      <c r="AF14" s="20">
        <v>170.5900534587272</v>
      </c>
      <c r="AG14" s="20">
        <v>160.06860947600217</v>
      </c>
      <c r="AH14" s="20">
        <v>175.07286757863767</v>
      </c>
      <c r="AI14" s="20">
        <v>154.97565515106544</v>
      </c>
      <c r="AJ14" s="20">
        <v>157.03886661940487</v>
      </c>
      <c r="AK14" s="20">
        <v>164.98076762291021</v>
      </c>
      <c r="AL14" s="20">
        <v>200.43827122281073</v>
      </c>
      <c r="AM14" s="20">
        <v>186.47150214819703</v>
      </c>
      <c r="AN14" s="20">
        <v>162.77765313207055</v>
      </c>
      <c r="AO14" s="20">
        <v>180.59049340154161</v>
      </c>
      <c r="AP14" s="20">
        <v>170.68104840363958</v>
      </c>
      <c r="AQ14" s="20">
        <v>187.17122189700603</v>
      </c>
      <c r="AR14" s="20">
        <v>188.33921773039037</v>
      </c>
      <c r="AS14" s="20">
        <v>160.86669107680791</v>
      </c>
      <c r="AT14" s="20">
        <v>196.2291752177407</v>
      </c>
      <c r="AU14" s="20">
        <v>170.48451228292834</v>
      </c>
      <c r="AV14" s="20">
        <v>188.26779965893365</v>
      </c>
      <c r="AW14" s="20">
        <v>188.03690169152105</v>
      </c>
      <c r="AX14" s="20">
        <v>167.44554373944993</v>
      </c>
      <c r="AY14" s="20">
        <v>188.24576714978321</v>
      </c>
    </row>
    <row r="15" spans="1:51" ht="13">
      <c r="A15" s="222">
        <v>14</v>
      </c>
      <c r="B15" s="20">
        <v>171.06361598125659</v>
      </c>
      <c r="C15" s="20">
        <v>176.05252979665238</v>
      </c>
      <c r="D15" s="20">
        <v>172.55833073322719</v>
      </c>
      <c r="E15" s="20">
        <v>171.99836052968749</v>
      </c>
      <c r="F15" s="20">
        <v>135.13848431175575</v>
      </c>
      <c r="G15" s="20">
        <v>159.54344449783093</v>
      </c>
      <c r="H15" s="20">
        <v>203.65467649826314</v>
      </c>
      <c r="I15" s="20">
        <v>169.54212797900254</v>
      </c>
      <c r="J15" s="20">
        <v>164.7978568696999</v>
      </c>
      <c r="K15" s="20">
        <v>159.98170725724776</v>
      </c>
      <c r="L15" s="20">
        <v>138.27187545830384</v>
      </c>
      <c r="M15" s="20">
        <v>165.2360514170141</v>
      </c>
      <c r="N15" s="20">
        <v>141.18398654391058</v>
      </c>
      <c r="O15" s="20">
        <v>149.32660165941343</v>
      </c>
      <c r="P15" s="20">
        <v>157.96989360824227</v>
      </c>
      <c r="Q15" s="20">
        <v>180.61632873541384</v>
      </c>
      <c r="R15" s="20">
        <v>169.34426172228996</v>
      </c>
      <c r="S15" s="20">
        <v>163.55769263172988</v>
      </c>
      <c r="T15" s="20">
        <v>188.8180325848225</v>
      </c>
      <c r="U15" s="20">
        <v>169.55193346875603</v>
      </c>
      <c r="V15" s="20">
        <v>170.41000761382747</v>
      </c>
      <c r="W15" s="20">
        <v>146.5490048401989</v>
      </c>
      <c r="X15" s="20">
        <v>179.31775788456434</v>
      </c>
      <c r="Y15" s="20">
        <v>184.88338797469623</v>
      </c>
      <c r="Z15" s="20">
        <v>185.38802110997494</v>
      </c>
      <c r="AA15" s="20">
        <v>189.05834382239846</v>
      </c>
      <c r="AB15" s="20">
        <v>190.55447397549869</v>
      </c>
      <c r="AC15" s="20">
        <v>199.96760771464324</v>
      </c>
      <c r="AD15" s="20">
        <v>207.82884790678509</v>
      </c>
      <c r="AE15" s="20">
        <v>186.21035211326671</v>
      </c>
      <c r="AF15" s="20">
        <v>176.14916929305764</v>
      </c>
      <c r="AG15" s="20">
        <v>150.70816958614159</v>
      </c>
      <c r="AH15" s="20">
        <v>158.95596776390448</v>
      </c>
      <c r="AI15" s="20">
        <v>165.86851403262699</v>
      </c>
      <c r="AJ15" s="20">
        <v>154.91112650197465</v>
      </c>
      <c r="AK15" s="20">
        <v>167.83639908753685</v>
      </c>
      <c r="AL15" s="20">
        <v>161.72200263172272</v>
      </c>
      <c r="AM15" s="20">
        <v>179.79363961858326</v>
      </c>
      <c r="AN15" s="20">
        <v>176.87006889973418</v>
      </c>
      <c r="AO15" s="20">
        <v>170.88756054436089</v>
      </c>
      <c r="AP15" s="20">
        <v>176.82034227691474</v>
      </c>
      <c r="AQ15" s="20">
        <v>198.68590230616974</v>
      </c>
      <c r="AR15" s="20">
        <v>196.91995918110479</v>
      </c>
      <c r="AS15" s="20">
        <v>182.35841467758291</v>
      </c>
      <c r="AT15" s="20">
        <v>155.27647052367684</v>
      </c>
      <c r="AU15" s="20">
        <v>188.4967194753699</v>
      </c>
      <c r="AV15" s="20">
        <v>168.5059179279051</v>
      </c>
      <c r="AW15" s="20">
        <v>184.36599917622516</v>
      </c>
      <c r="AX15" s="20">
        <v>161.78639485660824</v>
      </c>
      <c r="AY15" s="20">
        <v>187.93676632485585</v>
      </c>
    </row>
    <row r="16" spans="1:51" ht="13">
      <c r="A16" s="222">
        <v>15</v>
      </c>
      <c r="B16" s="20">
        <v>179.83954636365524</v>
      </c>
      <c r="C16" s="20">
        <v>187.46381771125016</v>
      </c>
      <c r="D16" s="20">
        <v>200.50621047703316</v>
      </c>
      <c r="E16" s="20">
        <v>165.65211113702389</v>
      </c>
      <c r="F16" s="20">
        <v>154.35437932028435</v>
      </c>
      <c r="G16" s="20">
        <v>176.69554823514773</v>
      </c>
      <c r="H16" s="20">
        <v>171.92808501094987</v>
      </c>
      <c r="I16" s="20">
        <v>176.40944962367939</v>
      </c>
      <c r="J16" s="20">
        <v>198.22608452232089</v>
      </c>
      <c r="K16" s="20">
        <v>146.12158780510072</v>
      </c>
      <c r="L16" s="20">
        <v>182.26537336959154</v>
      </c>
      <c r="M16" s="20">
        <v>147.91065483295824</v>
      </c>
      <c r="N16" s="20">
        <v>163.87290075799683</v>
      </c>
      <c r="O16" s="20">
        <v>185.62560386344558</v>
      </c>
      <c r="P16" s="20">
        <v>188.21189984082594</v>
      </c>
      <c r="Q16" s="20">
        <v>166.27809360288666</v>
      </c>
      <c r="R16" s="20">
        <v>190.44096903671743</v>
      </c>
      <c r="S16" s="20">
        <v>162.46149003636674</v>
      </c>
      <c r="T16" s="20">
        <v>175.28746285352099</v>
      </c>
      <c r="U16" s="20">
        <v>170.50252027802344</v>
      </c>
      <c r="V16" s="20">
        <v>162.92263795621693</v>
      </c>
      <c r="W16" s="20">
        <v>170.49051494796004</v>
      </c>
      <c r="X16" s="20">
        <v>169.83777628483949</v>
      </c>
      <c r="Y16" s="20">
        <v>144.75475369254127</v>
      </c>
      <c r="Z16" s="20">
        <v>172.27414206063258</v>
      </c>
      <c r="AA16" s="20">
        <v>211.77423592307605</v>
      </c>
      <c r="AB16" s="20">
        <v>183.7423018158006</v>
      </c>
      <c r="AC16" s="20">
        <v>173.47525486984523</v>
      </c>
      <c r="AD16" s="20">
        <v>171.86360752093606</v>
      </c>
      <c r="AE16" s="20">
        <v>182.80431719249464</v>
      </c>
      <c r="AF16" s="20">
        <v>190.04104147898033</v>
      </c>
      <c r="AG16" s="20">
        <v>178.68514179172053</v>
      </c>
      <c r="AH16" s="20">
        <v>189.44033159714309</v>
      </c>
      <c r="AI16" s="20">
        <v>200.85907168395352</v>
      </c>
      <c r="AJ16" s="20">
        <v>178.56935174750106</v>
      </c>
      <c r="AK16" s="20">
        <v>179.97876726512914</v>
      </c>
      <c r="AL16" s="20">
        <v>164.15499190843548</v>
      </c>
      <c r="AM16" s="20">
        <v>158.58721313707065</v>
      </c>
      <c r="AN16" s="20">
        <v>163.20609334870824</v>
      </c>
      <c r="AO16" s="20">
        <v>167.91474068741081</v>
      </c>
      <c r="AP16" s="20">
        <v>171.54033331353276</v>
      </c>
      <c r="AQ16" s="20">
        <v>162.22724967592512</v>
      </c>
      <c r="AR16" s="20">
        <v>170.89707613267819</v>
      </c>
      <c r="AS16" s="20">
        <v>171.47548065695446</v>
      </c>
      <c r="AT16" s="20">
        <v>163.4499516156211</v>
      </c>
      <c r="AU16" s="20">
        <v>184.29499037738424</v>
      </c>
      <c r="AV16" s="20">
        <v>165.36193685242324</v>
      </c>
      <c r="AW16" s="20">
        <v>163.88650907247211</v>
      </c>
      <c r="AX16" s="20">
        <v>198.00043888681103</v>
      </c>
      <c r="AY16" s="20">
        <v>180.48607772543619</v>
      </c>
    </row>
    <row r="17" spans="1:51" ht="13">
      <c r="A17" s="222">
        <v>16</v>
      </c>
      <c r="B17" s="20">
        <v>175.48374317884736</v>
      </c>
      <c r="C17" s="20">
        <v>144.69322637596633</v>
      </c>
      <c r="D17" s="20">
        <v>171.37868768331828</v>
      </c>
      <c r="E17" s="20">
        <v>163.73494178042165</v>
      </c>
      <c r="F17" s="20">
        <v>165.04521100687271</v>
      </c>
      <c r="G17" s="20">
        <v>207.05573193554301</v>
      </c>
      <c r="H17" s="20">
        <v>211.4580046152696</v>
      </c>
      <c r="I17" s="20">
        <v>202.17774805205408</v>
      </c>
      <c r="J17" s="20">
        <v>185.57700274031959</v>
      </c>
      <c r="K17" s="20">
        <v>179.32254978477431</v>
      </c>
      <c r="L17" s="20">
        <v>183.53507344800164</v>
      </c>
      <c r="M17" s="20">
        <v>187.11866447192733</v>
      </c>
      <c r="N17" s="20">
        <v>188.20681803917978</v>
      </c>
      <c r="O17" s="20">
        <v>169.16769469462452</v>
      </c>
      <c r="P17" s="20">
        <v>172.42451564088697</v>
      </c>
      <c r="Q17" s="20">
        <v>156.59630649752216</v>
      </c>
      <c r="R17" s="20">
        <v>184.47500211623264</v>
      </c>
      <c r="S17" s="20">
        <v>149.90313035086729</v>
      </c>
      <c r="T17" s="20">
        <v>176.15837792691309</v>
      </c>
      <c r="U17" s="20">
        <v>170.12902491005661</v>
      </c>
      <c r="V17" s="20">
        <v>189.99936388427159</v>
      </c>
      <c r="W17" s="20">
        <v>168.59276898758253</v>
      </c>
      <c r="X17" s="20">
        <v>140.11032804846764</v>
      </c>
      <c r="Y17" s="20">
        <v>173.44409899196762</v>
      </c>
      <c r="Z17" s="20">
        <v>169.84630279766861</v>
      </c>
      <c r="AA17" s="20">
        <v>169.40336750922143</v>
      </c>
      <c r="AB17" s="20">
        <v>169.38244344673876</v>
      </c>
      <c r="AC17" s="20">
        <v>181.63932269162615</v>
      </c>
      <c r="AD17" s="20">
        <v>180.01029830957123</v>
      </c>
      <c r="AE17" s="20">
        <v>199.45069640089059</v>
      </c>
      <c r="AF17" s="20">
        <v>157.10216745064827</v>
      </c>
      <c r="AG17" s="20">
        <v>179.29623696618364</v>
      </c>
      <c r="AH17" s="20">
        <v>176.31495880850707</v>
      </c>
      <c r="AI17" s="20">
        <v>187.62660589418374</v>
      </c>
      <c r="AJ17" s="20">
        <v>179.3476688915689</v>
      </c>
      <c r="AK17" s="20">
        <v>184.20754246180877</v>
      </c>
      <c r="AL17" s="20">
        <v>149.98641732818214</v>
      </c>
      <c r="AM17" s="20">
        <v>177.74685021395271</v>
      </c>
      <c r="AN17" s="20">
        <v>180.31590558239259</v>
      </c>
      <c r="AO17" s="20">
        <v>187.83550545849721</v>
      </c>
      <c r="AP17" s="20">
        <v>191.53232857279363</v>
      </c>
      <c r="AQ17" s="20">
        <v>177.74800981969747</v>
      </c>
      <c r="AR17" s="20">
        <v>178.46909700965625</v>
      </c>
      <c r="AS17" s="20">
        <v>160.4406723898137</v>
      </c>
      <c r="AT17" s="20">
        <v>192.31738166199648</v>
      </c>
      <c r="AU17" s="20">
        <v>203.05863914545625</v>
      </c>
      <c r="AV17" s="20">
        <v>199.70997060299851</v>
      </c>
      <c r="AW17" s="20">
        <v>197.12561867054319</v>
      </c>
      <c r="AX17" s="20">
        <v>178.94826997762721</v>
      </c>
      <c r="AY17" s="20">
        <v>155.96895978960674</v>
      </c>
    </row>
    <row r="18" spans="1:51" ht="13">
      <c r="A18" s="222">
        <v>17</v>
      </c>
      <c r="B18" s="20">
        <v>173.8496711011976</v>
      </c>
      <c r="C18" s="20">
        <v>140.24620655691251</v>
      </c>
      <c r="D18" s="20">
        <v>165.85470108184381</v>
      </c>
      <c r="E18" s="20">
        <v>195.0103613678948</v>
      </c>
      <c r="F18" s="20">
        <v>145.7003098592395</v>
      </c>
      <c r="G18" s="20">
        <v>163.11206296522869</v>
      </c>
      <c r="H18" s="20">
        <v>180.70873908145586</v>
      </c>
      <c r="I18" s="20">
        <v>128.54155544191599</v>
      </c>
      <c r="J18" s="20">
        <v>175.35173570722691</v>
      </c>
      <c r="K18" s="20">
        <v>161.63008682342479</v>
      </c>
      <c r="L18" s="20">
        <v>168.95548684333335</v>
      </c>
      <c r="M18" s="20">
        <v>172.1328747960797</v>
      </c>
      <c r="N18" s="20">
        <v>181.83478447172092</v>
      </c>
      <c r="O18" s="20">
        <v>174.65056645123695</v>
      </c>
      <c r="P18" s="20">
        <v>182.28600753063802</v>
      </c>
      <c r="Q18" s="20">
        <v>179.95936092193006</v>
      </c>
      <c r="R18" s="20">
        <v>169.28385990540846</v>
      </c>
      <c r="S18" s="20">
        <v>178.9969904719328</v>
      </c>
      <c r="T18" s="20">
        <v>191.52182390898815</v>
      </c>
      <c r="U18" s="20">
        <v>182.41022176953265</v>
      </c>
      <c r="V18" s="20">
        <v>195.4986235985416</v>
      </c>
      <c r="W18" s="20">
        <v>157.02474671415985</v>
      </c>
      <c r="X18" s="20">
        <v>173.80823224884807</v>
      </c>
      <c r="Y18" s="20">
        <v>166.64377868510201</v>
      </c>
      <c r="Z18" s="20">
        <v>172.78597157273907</v>
      </c>
      <c r="AA18" s="20">
        <v>193.21757678044378</v>
      </c>
      <c r="AB18" s="20">
        <v>155.70422861928819</v>
      </c>
      <c r="AC18" s="20">
        <v>175.88234060058312</v>
      </c>
      <c r="AD18" s="20">
        <v>172.86018634040374</v>
      </c>
      <c r="AE18" s="20">
        <v>174.99253077476169</v>
      </c>
      <c r="AF18" s="20">
        <v>162.38157955813222</v>
      </c>
      <c r="AG18" s="20">
        <v>147.98064045025967</v>
      </c>
      <c r="AH18" s="20">
        <v>178.00631199934287</v>
      </c>
      <c r="AI18" s="20">
        <v>183.47576302476227</v>
      </c>
      <c r="AJ18" s="20">
        <v>185.69502673090028</v>
      </c>
      <c r="AK18" s="20">
        <v>175.74443278208491</v>
      </c>
      <c r="AL18" s="20">
        <v>165.74528886922053</v>
      </c>
      <c r="AM18" s="20">
        <v>165.90441065163759</v>
      </c>
      <c r="AN18" s="20">
        <v>152.13250650122063</v>
      </c>
      <c r="AO18" s="20">
        <v>157.82262367865769</v>
      </c>
      <c r="AP18" s="20">
        <v>178.72299950868182</v>
      </c>
      <c r="AQ18" s="20">
        <v>187.32497197634075</v>
      </c>
      <c r="AR18" s="20">
        <v>155.83993659747648</v>
      </c>
      <c r="AS18" s="20">
        <v>187.59882651538646</v>
      </c>
      <c r="AT18" s="20">
        <v>172.61295157441054</v>
      </c>
      <c r="AU18" s="20">
        <v>151.94362718902994</v>
      </c>
      <c r="AV18" s="20">
        <v>191.28396830710699</v>
      </c>
      <c r="AW18" s="20">
        <v>153.80513546988368</v>
      </c>
      <c r="AX18" s="20">
        <v>160.16993855446344</v>
      </c>
      <c r="AY18" s="20">
        <v>173.79213419262669</v>
      </c>
    </row>
    <row r="19" spans="1:51" ht="13">
      <c r="A19" s="222">
        <v>18</v>
      </c>
      <c r="B19" s="20">
        <v>155.93812791921664</v>
      </c>
      <c r="C19" s="20">
        <v>170.8374928610283</v>
      </c>
      <c r="D19" s="20">
        <v>194.11344043037388</v>
      </c>
      <c r="E19" s="20">
        <v>195.23900833592052</v>
      </c>
      <c r="F19" s="20">
        <v>186.80642357212491</v>
      </c>
      <c r="G19" s="20">
        <v>169.9921402730979</v>
      </c>
      <c r="H19" s="20">
        <v>182.52062305764412</v>
      </c>
      <c r="I19" s="20">
        <v>196.58176357625052</v>
      </c>
      <c r="J19" s="20">
        <v>188.94657829223434</v>
      </c>
      <c r="K19" s="20">
        <v>164.0234448685078</v>
      </c>
      <c r="L19" s="20">
        <v>174.92827497408143</v>
      </c>
      <c r="M19" s="20">
        <v>167.48459516820731</v>
      </c>
      <c r="N19" s="20">
        <v>167.54177396323939</v>
      </c>
      <c r="O19" s="20">
        <v>184.86343593467609</v>
      </c>
      <c r="P19" s="20">
        <v>171.99133468311629</v>
      </c>
      <c r="Q19" s="20">
        <v>150.9436377644306</v>
      </c>
      <c r="R19" s="20">
        <v>190.72838073116145</v>
      </c>
      <c r="S19" s="20">
        <v>187.75296881431132</v>
      </c>
      <c r="T19" s="20">
        <v>154.38691649324028</v>
      </c>
      <c r="U19" s="20">
        <v>190.42343852634076</v>
      </c>
      <c r="V19" s="20">
        <v>163.24667954977485</v>
      </c>
      <c r="W19" s="20">
        <v>160.42041339533171</v>
      </c>
      <c r="X19" s="20">
        <v>177.36496475736203</v>
      </c>
      <c r="Y19" s="20">
        <v>195.78255647575133</v>
      </c>
      <c r="Z19" s="20">
        <v>193.10055891837692</v>
      </c>
      <c r="AA19" s="20">
        <v>170.15803210670128</v>
      </c>
      <c r="AB19" s="20">
        <v>185.23253162202309</v>
      </c>
      <c r="AC19" s="20">
        <v>175.70309624788933</v>
      </c>
      <c r="AD19" s="20">
        <v>184.38134689931758</v>
      </c>
      <c r="AE19" s="20">
        <v>170.13142938667443</v>
      </c>
      <c r="AF19" s="20">
        <v>179.54551809525583</v>
      </c>
      <c r="AG19" s="20">
        <v>190.07712568127317</v>
      </c>
      <c r="AH19" s="20">
        <v>172.6780259203224</v>
      </c>
      <c r="AI19" s="20">
        <v>193.38664047681959</v>
      </c>
      <c r="AJ19" s="20">
        <v>162.52482497366145</v>
      </c>
      <c r="AK19" s="20">
        <v>179.19352659264405</v>
      </c>
      <c r="AL19" s="20">
        <v>188.07377033299417</v>
      </c>
      <c r="AM19" s="20">
        <v>153.73644588253228</v>
      </c>
      <c r="AN19" s="20">
        <v>187.70856273549725</v>
      </c>
      <c r="AO19" s="20">
        <v>159.62127450693515</v>
      </c>
      <c r="AP19" s="20">
        <v>181.75594833410287</v>
      </c>
      <c r="AQ19" s="20">
        <v>173.96818962952239</v>
      </c>
      <c r="AR19" s="20">
        <v>164.06989731040085</v>
      </c>
      <c r="AS19" s="20">
        <v>164.87437379582843</v>
      </c>
      <c r="AT19" s="20">
        <v>174.91337062965613</v>
      </c>
      <c r="AU19" s="20">
        <v>186.65840330941137</v>
      </c>
      <c r="AV19" s="20">
        <v>178.17510284730815</v>
      </c>
      <c r="AW19" s="20">
        <v>175.31155877877609</v>
      </c>
      <c r="AX19" s="20">
        <v>169.73416210094001</v>
      </c>
      <c r="AY19" s="20">
        <v>176.80531856130983</v>
      </c>
    </row>
    <row r="20" spans="1:51" ht="13">
      <c r="A20" s="222">
        <v>19</v>
      </c>
      <c r="B20" s="20">
        <v>169.21222014461819</v>
      </c>
      <c r="C20" s="20">
        <v>177.38471216107428</v>
      </c>
      <c r="D20" s="20">
        <v>174.74237994138093</v>
      </c>
      <c r="E20" s="20">
        <v>162.97809439565754</v>
      </c>
      <c r="F20" s="20">
        <v>170.30407421843847</v>
      </c>
      <c r="G20" s="20">
        <v>192.83255356713198</v>
      </c>
      <c r="H20" s="20">
        <v>202.13047706492944</v>
      </c>
      <c r="I20" s="20">
        <v>178.84856093660346</v>
      </c>
      <c r="J20" s="20">
        <v>175.253032794717</v>
      </c>
      <c r="K20" s="20">
        <v>173.42448801246064</v>
      </c>
      <c r="L20" s="20">
        <v>185.67874109139666</v>
      </c>
      <c r="M20" s="20">
        <v>170.90423840345466</v>
      </c>
      <c r="N20" s="20">
        <v>168.44664161071705</v>
      </c>
      <c r="O20" s="20">
        <v>160.02144080703147</v>
      </c>
      <c r="P20" s="20">
        <v>189.58691940570134</v>
      </c>
      <c r="Q20" s="20">
        <v>177.11779820347147</v>
      </c>
      <c r="R20" s="20">
        <v>202.8437710221624</v>
      </c>
      <c r="S20" s="20">
        <v>148.00390077725751</v>
      </c>
      <c r="T20" s="20">
        <v>167.84282807821</v>
      </c>
      <c r="U20" s="20">
        <v>168.63298002208467</v>
      </c>
      <c r="V20" s="20">
        <v>165.33369704193319</v>
      </c>
      <c r="W20" s="20">
        <v>169.32084791806119</v>
      </c>
      <c r="X20" s="20">
        <v>177.06912886824284</v>
      </c>
      <c r="Y20" s="20">
        <v>186.49302306657773</v>
      </c>
      <c r="Z20" s="20">
        <v>167.04684399956022</v>
      </c>
      <c r="AA20" s="20">
        <v>179.80932840218884</v>
      </c>
      <c r="AB20" s="20">
        <v>156.72471578072873</v>
      </c>
      <c r="AC20" s="20">
        <v>169.45130356434674</v>
      </c>
      <c r="AD20" s="20">
        <v>182.50759454604122</v>
      </c>
      <c r="AE20" s="20">
        <v>173.44756075617624</v>
      </c>
      <c r="AF20" s="20">
        <v>170.92091626254842</v>
      </c>
      <c r="AG20" s="20">
        <v>183.03516400083026</v>
      </c>
      <c r="AH20" s="20">
        <v>173.92562527747941</v>
      </c>
      <c r="AI20" s="20">
        <v>172.92623270877812</v>
      </c>
      <c r="AJ20" s="20">
        <v>151.7205054013175</v>
      </c>
      <c r="AK20" s="20">
        <v>141.16925272974186</v>
      </c>
      <c r="AL20" s="20">
        <v>149.80954334605485</v>
      </c>
      <c r="AM20" s="20">
        <v>196.71832420572173</v>
      </c>
      <c r="AN20" s="20">
        <v>192.8162508746027</v>
      </c>
      <c r="AO20" s="20">
        <v>155.30095866852207</v>
      </c>
      <c r="AP20" s="20">
        <v>156.98470620991429</v>
      </c>
      <c r="AQ20" s="20">
        <v>192.99172650862602</v>
      </c>
      <c r="AR20" s="20">
        <v>161.34946223319275</v>
      </c>
      <c r="AS20" s="20">
        <v>181.81186520523624</v>
      </c>
      <c r="AT20" s="20">
        <v>197.77622570545645</v>
      </c>
      <c r="AU20" s="20">
        <v>185.27601683745161</v>
      </c>
      <c r="AV20" s="20">
        <v>176.19060814540717</v>
      </c>
      <c r="AW20" s="20">
        <v>195.6101503863465</v>
      </c>
      <c r="AX20" s="20">
        <v>191.77461796134594</v>
      </c>
      <c r="AY20" s="20">
        <v>171.96207169108675</v>
      </c>
    </row>
    <row r="21" spans="1:51" ht="13">
      <c r="A21" s="222">
        <v>20</v>
      </c>
      <c r="B21" s="20">
        <v>191.70828169153538</v>
      </c>
      <c r="C21" s="20">
        <v>183.6553995970462</v>
      </c>
      <c r="D21" s="20">
        <v>178.29843032886856</v>
      </c>
      <c r="E21" s="20">
        <v>163.01602032472147</v>
      </c>
      <c r="F21" s="20">
        <v>180.93020672567945</v>
      </c>
      <c r="G21" s="20">
        <v>189.83753067077487</v>
      </c>
      <c r="H21" s="20">
        <v>192.15527560008923</v>
      </c>
      <c r="I21" s="20">
        <v>159.00872982529108</v>
      </c>
      <c r="J21" s="20">
        <v>166.22505869308952</v>
      </c>
      <c r="K21" s="20">
        <v>168.51852011386654</v>
      </c>
      <c r="L21" s="20">
        <v>171.10278678119357</v>
      </c>
      <c r="M21" s="20">
        <v>162.11145963170566</v>
      </c>
      <c r="N21" s="20">
        <v>168.19575749723299</v>
      </c>
      <c r="O21" s="20">
        <v>170.18463482672814</v>
      </c>
      <c r="P21" s="20">
        <v>170.74559410575603</v>
      </c>
      <c r="Q21" s="20">
        <v>196.86000074289041</v>
      </c>
      <c r="R21" s="20">
        <v>191.67206106503727</v>
      </c>
      <c r="S21" s="20">
        <v>203.65467649826314</v>
      </c>
      <c r="T21" s="20">
        <v>179.08505229643197</v>
      </c>
      <c r="U21" s="20">
        <v>161.72541323685437</v>
      </c>
      <c r="V21" s="20">
        <v>173.75528260417923</v>
      </c>
      <c r="W21" s="20">
        <v>179.62967477687926</v>
      </c>
      <c r="X21" s="20">
        <v>175.88464275904698</v>
      </c>
      <c r="Y21" s="20">
        <v>162.85108346055495</v>
      </c>
      <c r="Z21" s="20">
        <v>141.15479176398367</v>
      </c>
      <c r="AA21" s="20">
        <v>171.76267066206492</v>
      </c>
      <c r="AB21" s="20">
        <v>155.90719373067259</v>
      </c>
      <c r="AC21" s="20">
        <v>191.76175997999962</v>
      </c>
      <c r="AD21" s="20">
        <v>150.66123965953011</v>
      </c>
      <c r="AE21" s="20">
        <v>180.74206069359207</v>
      </c>
      <c r="AF21" s="20">
        <v>156.36516978775035</v>
      </c>
      <c r="AG21" s="20">
        <v>171.13719978697191</v>
      </c>
      <c r="AH21" s="20">
        <v>187.59556938748574</v>
      </c>
      <c r="AI21" s="20">
        <v>173.42218585399678</v>
      </c>
      <c r="AJ21" s="20">
        <v>168.63422489295772</v>
      </c>
      <c r="AK21" s="20">
        <v>168.22118355848943</v>
      </c>
      <c r="AL21" s="20">
        <v>172.67221083857294</v>
      </c>
      <c r="AM21" s="20">
        <v>175.00057980287238</v>
      </c>
      <c r="AN21" s="20">
        <v>181.68870825393242</v>
      </c>
      <c r="AO21" s="20">
        <v>195.65448825305793</v>
      </c>
      <c r="AP21" s="20">
        <v>195.14248821069486</v>
      </c>
      <c r="AQ21" s="20">
        <v>164.14008756401017</v>
      </c>
      <c r="AR21" s="20">
        <v>170.66310862064711</v>
      </c>
      <c r="AS21" s="20">
        <v>195.38249249380897</v>
      </c>
      <c r="AT21" s="20">
        <v>188.89009867125424</v>
      </c>
      <c r="AU21" s="20">
        <v>188.64705894957297</v>
      </c>
      <c r="AV21" s="20">
        <v>177.66286406258587</v>
      </c>
      <c r="AW21" s="20">
        <v>190.58591975481249</v>
      </c>
      <c r="AX21" s="20">
        <v>180.46644969290355</v>
      </c>
      <c r="AY21" s="20">
        <v>159.5746174287342</v>
      </c>
    </row>
    <row r="22" spans="1:51" ht="13">
      <c r="A22" s="222">
        <v>21</v>
      </c>
      <c r="B22" s="20">
        <v>157.89537188611575</v>
      </c>
      <c r="C22" s="20">
        <v>183.55260395837831</v>
      </c>
      <c r="D22" s="20">
        <v>189.11362973158248</v>
      </c>
      <c r="E22" s="20">
        <v>156.2152736922144</v>
      </c>
      <c r="F22" s="20">
        <v>162.92103497180506</v>
      </c>
      <c r="G22" s="20">
        <v>164.75587232052931</v>
      </c>
      <c r="H22" s="20">
        <v>150.83927324740216</v>
      </c>
      <c r="I22" s="20">
        <v>173.51331722311443</v>
      </c>
      <c r="J22" s="20">
        <v>176.1134943633806</v>
      </c>
      <c r="K22" s="20">
        <v>180.85459360991081</v>
      </c>
      <c r="L22" s="20">
        <v>162.41261606483022</v>
      </c>
      <c r="M22" s="20">
        <v>178.63313006346289</v>
      </c>
      <c r="N22" s="20">
        <v>171.98197257202992</v>
      </c>
      <c r="O22" s="20">
        <v>142.47865225188434</v>
      </c>
      <c r="P22" s="20">
        <v>164.08333509461954</v>
      </c>
      <c r="Q22" s="20">
        <v>172.91349409861141</v>
      </c>
      <c r="R22" s="20">
        <v>154.77238308521919</v>
      </c>
      <c r="S22" s="20">
        <v>162.00989181088516</v>
      </c>
      <c r="T22" s="20">
        <v>181.10679080637055</v>
      </c>
      <c r="U22" s="20">
        <v>185.80479705706239</v>
      </c>
      <c r="V22" s="20">
        <v>197.9558963837917</v>
      </c>
      <c r="W22" s="20">
        <v>173.61130390854669</v>
      </c>
      <c r="X22" s="20">
        <v>182.66409016250691</v>
      </c>
      <c r="Y22" s="20">
        <v>164.34782752257888</v>
      </c>
      <c r="Z22" s="20">
        <v>170.17859805564512</v>
      </c>
      <c r="AA22" s="20">
        <v>183.47173851070693</v>
      </c>
      <c r="AB22" s="20">
        <v>189.34759724361356</v>
      </c>
      <c r="AC22" s="20">
        <v>173.24553356120305</v>
      </c>
      <c r="AD22" s="20">
        <v>143.87154338764958</v>
      </c>
      <c r="AE22" s="20">
        <v>173.52252585696988</v>
      </c>
      <c r="AF22" s="20">
        <v>194.01821633509826</v>
      </c>
      <c r="AG22" s="20">
        <v>165.75917003210634</v>
      </c>
      <c r="AH22" s="20">
        <v>183.06829802968423</v>
      </c>
      <c r="AI22" s="20">
        <v>173.58248429518426</v>
      </c>
      <c r="AJ22" s="20">
        <v>169.27891452796757</v>
      </c>
      <c r="AK22" s="20">
        <v>179.85888449475169</v>
      </c>
      <c r="AL22" s="20">
        <v>161.51873056587647</v>
      </c>
      <c r="AM22" s="20">
        <v>163.55615785942064</v>
      </c>
      <c r="AN22" s="20">
        <v>193.1983750735526</v>
      </c>
      <c r="AO22" s="20">
        <v>167.9493753825227</v>
      </c>
      <c r="AP22" s="20">
        <v>199.86276571289636</v>
      </c>
      <c r="AQ22" s="20">
        <v>160.05728626696509</v>
      </c>
      <c r="AR22" s="20">
        <v>151.90993041032925</v>
      </c>
      <c r="AS22" s="20">
        <v>185.0953911896795</v>
      </c>
      <c r="AT22" s="20">
        <v>153.37942373735132</v>
      </c>
      <c r="AU22" s="20">
        <v>183.7137550508487</v>
      </c>
      <c r="AV22" s="20">
        <v>152.94232058367925</v>
      </c>
      <c r="AW22" s="20">
        <v>163.56843603789457</v>
      </c>
      <c r="AX22" s="20">
        <v>173.5259876211785</v>
      </c>
      <c r="AY22" s="20">
        <v>163.48542190899025</v>
      </c>
    </row>
    <row r="23" spans="1:51" ht="13">
      <c r="A23" s="222">
        <v>22</v>
      </c>
      <c r="B23" s="20">
        <v>168.94801761809504</v>
      </c>
      <c r="C23" s="20">
        <v>187.10437403642572</v>
      </c>
      <c r="D23" s="20">
        <v>172.84511146572186</v>
      </c>
      <c r="E23" s="20">
        <v>183.36159301798034</v>
      </c>
      <c r="F23" s="20">
        <v>156.29044342931593</v>
      </c>
      <c r="G23" s="20">
        <v>161.26068418161594</v>
      </c>
      <c r="H23" s="20">
        <v>156.43447328402544</v>
      </c>
      <c r="I23" s="20">
        <v>179.03982767238631</v>
      </c>
      <c r="J23" s="20">
        <v>177.80871859104082</v>
      </c>
      <c r="K23" s="20">
        <v>190.63523710501613</v>
      </c>
      <c r="L23" s="20">
        <v>165.64515350255533</v>
      </c>
      <c r="M23" s="20">
        <v>171.60747107554926</v>
      </c>
      <c r="N23" s="20">
        <v>196.60761596314842</v>
      </c>
      <c r="O23" s="20">
        <v>182.70987753639929</v>
      </c>
      <c r="P23" s="20">
        <v>173.88074171394692</v>
      </c>
      <c r="Q23" s="20">
        <v>166.59681465243921</v>
      </c>
      <c r="R23" s="20">
        <v>183.41525888972683</v>
      </c>
      <c r="S23" s="20">
        <v>172.08727500546956</v>
      </c>
      <c r="T23" s="20">
        <v>207.96881914138794</v>
      </c>
      <c r="U23" s="20">
        <v>185.80926494978485</v>
      </c>
      <c r="V23" s="20">
        <v>192.33975523166009</v>
      </c>
      <c r="W23" s="20">
        <v>159.63099473156035</v>
      </c>
      <c r="X23" s="20">
        <v>158.07876012404449</v>
      </c>
      <c r="Y23" s="20">
        <v>169.32084791806119</v>
      </c>
      <c r="Z23" s="20">
        <v>132.5960828224197</v>
      </c>
      <c r="AA23" s="20">
        <v>165.40562670415966</v>
      </c>
      <c r="AB23" s="20">
        <v>191.79607066762401</v>
      </c>
      <c r="AC23" s="20">
        <v>169.89618289771897</v>
      </c>
      <c r="AD23" s="20">
        <v>213.03179424721748</v>
      </c>
      <c r="AE23" s="20">
        <v>213.08909241342917</v>
      </c>
      <c r="AF23" s="20">
        <v>155.58021901670145</v>
      </c>
      <c r="AG23" s="20">
        <v>183.86907400854398</v>
      </c>
      <c r="AH23" s="20">
        <v>187.94508820137708</v>
      </c>
      <c r="AI23" s="20">
        <v>193.56798235166934</v>
      </c>
      <c r="AJ23" s="20">
        <v>174.83533598424401</v>
      </c>
      <c r="AK23" s="20">
        <v>211.70520527521148</v>
      </c>
      <c r="AL23" s="20">
        <v>171.04697222821414</v>
      </c>
      <c r="AM23" s="20">
        <v>176.81686345968046</v>
      </c>
      <c r="AN23" s="20">
        <v>169.89132278540637</v>
      </c>
      <c r="AO23" s="20">
        <v>175.15204477676889</v>
      </c>
      <c r="AP23" s="20">
        <v>177.29992451750149</v>
      </c>
      <c r="AQ23" s="20">
        <v>184.69880602497142</v>
      </c>
      <c r="AR23" s="20">
        <v>170.27876752836164</v>
      </c>
      <c r="AS23" s="20">
        <v>185.53437017617398</v>
      </c>
      <c r="AT23" s="20">
        <v>187.53687287317007</v>
      </c>
      <c r="AU23" s="20">
        <v>173.63434254621097</v>
      </c>
      <c r="AV23" s="20">
        <v>178.22793312079739</v>
      </c>
      <c r="AW23" s="20">
        <v>200.83874447736889</v>
      </c>
      <c r="AX23" s="20">
        <v>191.37110926822061</v>
      </c>
      <c r="AY23" s="20">
        <v>193.09581817724393</v>
      </c>
    </row>
    <row r="24" spans="1:51" ht="13">
      <c r="A24" s="222">
        <v>23</v>
      </c>
      <c r="B24" s="20">
        <v>182.29763769413694</v>
      </c>
      <c r="C24" s="20">
        <v>194.90470082091633</v>
      </c>
      <c r="D24" s="20">
        <v>160.29292497551069</v>
      </c>
      <c r="E24" s="20">
        <v>186.58248323918087</v>
      </c>
      <c r="F24" s="20">
        <v>191.12762616787222</v>
      </c>
      <c r="G24" s="20">
        <v>155.6014329806203</v>
      </c>
      <c r="H24" s="20">
        <v>181.59125021229556</v>
      </c>
      <c r="I24" s="20">
        <v>172.64432914162171</v>
      </c>
      <c r="J24" s="20">
        <v>158.18244252004661</v>
      </c>
      <c r="K24" s="20">
        <v>163.3942905398726</v>
      </c>
      <c r="L24" s="20">
        <v>173.80939185459283</v>
      </c>
      <c r="M24" s="20">
        <v>179.45189698439208</v>
      </c>
      <c r="N24" s="20">
        <v>181.86408156980178</v>
      </c>
      <c r="O24" s="20">
        <v>195.73470568575431</v>
      </c>
      <c r="P24" s="20">
        <v>180.33299271410215</v>
      </c>
      <c r="Q24" s="20">
        <v>176.55243924382376</v>
      </c>
      <c r="R24" s="20">
        <v>197.41224592580693</v>
      </c>
      <c r="S24" s="20">
        <v>149.70558810164221</v>
      </c>
      <c r="T24" s="20">
        <v>178.78101390197116</v>
      </c>
      <c r="U24" s="20">
        <v>174.64367702887102</v>
      </c>
      <c r="V24" s="20">
        <v>201.29051323310705</v>
      </c>
      <c r="W24" s="20">
        <v>163.82146883261157</v>
      </c>
      <c r="X24" s="20">
        <v>177.98642817142536</v>
      </c>
      <c r="Y24" s="20">
        <v>138.47542037256062</v>
      </c>
      <c r="Z24" s="20">
        <v>198.86318556091283</v>
      </c>
      <c r="AA24" s="20">
        <v>203.32030077115633</v>
      </c>
      <c r="AB24" s="20">
        <v>170.10119437218236</v>
      </c>
      <c r="AC24" s="20">
        <v>165.20056407061929</v>
      </c>
      <c r="AD24" s="20">
        <v>164.50526105545578</v>
      </c>
      <c r="AE24" s="20">
        <v>159.05927499334211</v>
      </c>
      <c r="AF24" s="20">
        <v>147.74489942356013</v>
      </c>
      <c r="AG24" s="20">
        <v>177.47424054578005</v>
      </c>
      <c r="AH24" s="20">
        <v>193.33568603615277</v>
      </c>
      <c r="AI24" s="20">
        <v>155.27919900778215</v>
      </c>
      <c r="AJ24" s="20">
        <v>181.78135734233365</v>
      </c>
      <c r="AK24" s="20">
        <v>181.83478447172092</v>
      </c>
      <c r="AL24" s="20">
        <v>202.04841790546197</v>
      </c>
      <c r="AM24" s="20">
        <v>160.67232069035526</v>
      </c>
      <c r="AN24" s="20">
        <v>212.03480615513399</v>
      </c>
      <c r="AO24" s="20">
        <v>184.73702185547154</v>
      </c>
      <c r="AP24" s="20">
        <v>183.87591227183293</v>
      </c>
      <c r="AQ24" s="20">
        <v>199.06461589998798</v>
      </c>
      <c r="AR24" s="20">
        <v>184.56483745540027</v>
      </c>
      <c r="AS24" s="20">
        <v>178.94114181290206</v>
      </c>
      <c r="AT24" s="20">
        <v>194.66104719031136</v>
      </c>
      <c r="AU24" s="20">
        <v>196.89990482293069</v>
      </c>
      <c r="AV24" s="20">
        <v>183.58773319123429</v>
      </c>
      <c r="AW24" s="20">
        <v>169.80733663403953</v>
      </c>
      <c r="AX24" s="20">
        <v>157.50035559976823</v>
      </c>
      <c r="AY24" s="20">
        <v>142.60989233735017</v>
      </c>
    </row>
    <row r="25" spans="1:51" ht="13">
      <c r="A25" s="222">
        <v>24</v>
      </c>
      <c r="B25" s="20">
        <v>176.20672325465421</v>
      </c>
      <c r="C25" s="20">
        <v>188.15954705205513</v>
      </c>
      <c r="D25" s="20">
        <v>184.16049316401768</v>
      </c>
      <c r="E25" s="20">
        <v>175.19106209947495</v>
      </c>
      <c r="F25" s="20">
        <v>182.77150717112818</v>
      </c>
      <c r="G25" s="20">
        <v>182.51930997466843</v>
      </c>
      <c r="H25" s="20">
        <v>155.39843376318458</v>
      </c>
      <c r="I25" s="20">
        <v>195.78852503473172</v>
      </c>
      <c r="J25" s="20">
        <v>166.3472947810078</v>
      </c>
      <c r="K25" s="20">
        <v>171.88120624341536</v>
      </c>
      <c r="L25" s="20">
        <v>181.38588062429335</v>
      </c>
      <c r="M25" s="20">
        <v>172.17960008638329</v>
      </c>
      <c r="N25" s="20">
        <v>184.83782229013741</v>
      </c>
      <c r="O25" s="20">
        <v>160.46635424645501</v>
      </c>
      <c r="P25" s="20">
        <v>184.08455604076153</v>
      </c>
      <c r="Q25" s="20">
        <v>160.8093588045449</v>
      </c>
      <c r="R25" s="20">
        <v>157.01768676153733</v>
      </c>
      <c r="S25" s="20">
        <v>203.41634341166355</v>
      </c>
      <c r="T25" s="20">
        <v>167.2507981864328</v>
      </c>
      <c r="U25" s="20">
        <v>164.77469886085601</v>
      </c>
      <c r="V25" s="20">
        <v>161.42742866650224</v>
      </c>
      <c r="W25" s="20">
        <v>187.27357415700681</v>
      </c>
      <c r="X25" s="20">
        <v>148.00390077725751</v>
      </c>
      <c r="Y25" s="20">
        <v>179.56954580840829</v>
      </c>
      <c r="Z25" s="20">
        <v>189.32767930964474</v>
      </c>
      <c r="AA25" s="20">
        <v>157.77613713071332</v>
      </c>
      <c r="AB25" s="20">
        <v>175.87198941400857</v>
      </c>
      <c r="AC25" s="20">
        <v>187.00137376144994</v>
      </c>
      <c r="AD25" s="20">
        <v>162.06490487165865</v>
      </c>
      <c r="AE25" s="20">
        <v>159.17588358279318</v>
      </c>
      <c r="AF25" s="20">
        <v>201.81267687876243</v>
      </c>
      <c r="AG25" s="20">
        <v>173.20740299583122</v>
      </c>
      <c r="AH25" s="20">
        <v>187.13459199789213</v>
      </c>
      <c r="AI25" s="20">
        <v>202.24909791140817</v>
      </c>
      <c r="AJ25" s="20">
        <v>176.75100467458833</v>
      </c>
      <c r="AK25" s="20">
        <v>202.79888745862991</v>
      </c>
      <c r="AL25" s="20">
        <v>165.73420440254267</v>
      </c>
      <c r="AM25" s="20">
        <v>211.07437975006178</v>
      </c>
      <c r="AN25" s="20">
        <v>174.56446572468849</v>
      </c>
      <c r="AO25" s="20">
        <v>192.34197212499566</v>
      </c>
      <c r="AP25" s="20">
        <v>199.0687768382486</v>
      </c>
      <c r="AQ25" s="20">
        <v>198.9121618506033</v>
      </c>
      <c r="AR25" s="20">
        <v>156.48866779956734</v>
      </c>
      <c r="AS25" s="20">
        <v>166.54710508264543</v>
      </c>
      <c r="AT25" s="20">
        <v>186.93196794702089</v>
      </c>
      <c r="AU25" s="20">
        <v>176.89319280252676</v>
      </c>
      <c r="AV25" s="20">
        <v>191.69764060352463</v>
      </c>
      <c r="AW25" s="20">
        <v>171.01133140458842</v>
      </c>
      <c r="AX25" s="20">
        <v>204.08618625951931</v>
      </c>
      <c r="AY25" s="20">
        <v>173.2316694513429</v>
      </c>
    </row>
    <row r="26" spans="1:51" ht="13">
      <c r="A26" s="222">
        <v>25</v>
      </c>
      <c r="B26" s="20">
        <v>185.69207655746141</v>
      </c>
      <c r="C26" s="20">
        <v>195.88490873575211</v>
      </c>
      <c r="D26" s="20">
        <v>184.18953446671367</v>
      </c>
      <c r="E26" s="20">
        <v>169.93385303139803</v>
      </c>
      <c r="F26" s="20">
        <v>212.03480615513399</v>
      </c>
      <c r="G26" s="20">
        <v>183.84584778759745</v>
      </c>
      <c r="H26" s="20">
        <v>176.98343741431017</v>
      </c>
      <c r="I26" s="20">
        <v>139.20883690007031</v>
      </c>
      <c r="J26" s="20">
        <v>167.20224822238379</v>
      </c>
      <c r="K26" s="20">
        <v>172.55483486296725</v>
      </c>
      <c r="L26" s="20">
        <v>175.33567175705684</v>
      </c>
      <c r="M26" s="20">
        <v>188.98198037350085</v>
      </c>
      <c r="N26" s="20">
        <v>193.19598764996044</v>
      </c>
      <c r="O26" s="20">
        <v>167.74107267410727</v>
      </c>
      <c r="P26" s="20">
        <v>185.29052896228677</v>
      </c>
      <c r="Q26" s="20">
        <v>153.14327343803598</v>
      </c>
      <c r="R26" s="20">
        <v>167.78363702615025</v>
      </c>
      <c r="S26" s="20">
        <v>159.85807282122551</v>
      </c>
      <c r="T26" s="20">
        <v>196.36437160515925</v>
      </c>
      <c r="U26" s="20">
        <v>165.40419425000437</v>
      </c>
      <c r="V26" s="20">
        <v>167.61310676956782</v>
      </c>
      <c r="W26" s="20">
        <v>176.18830598694331</v>
      </c>
      <c r="X26" s="20">
        <v>177.32081447393284</v>
      </c>
      <c r="Y26" s="20">
        <v>174.69991790749191</v>
      </c>
      <c r="Z26" s="20">
        <v>191.18502665223787</v>
      </c>
      <c r="AA26" s="20">
        <v>157.23473767211544</v>
      </c>
      <c r="AB26" s="20">
        <v>164.42448087291268</v>
      </c>
      <c r="AC26" s="20">
        <v>184.42183078223024</v>
      </c>
      <c r="AD26" s="20">
        <v>175.16696617421985</v>
      </c>
      <c r="AE26" s="20">
        <v>172.12468934376375</v>
      </c>
      <c r="AF26" s="20">
        <v>175.69504721977864</v>
      </c>
      <c r="AG26" s="20">
        <v>177.48353444476379</v>
      </c>
      <c r="AH26" s="20">
        <v>165.41546629996446</v>
      </c>
      <c r="AI26" s="20">
        <v>181.73435920361953</v>
      </c>
      <c r="AJ26" s="20">
        <v>171.48728135070996</v>
      </c>
      <c r="AK26" s="20">
        <v>171.08141934004379</v>
      </c>
      <c r="AL26" s="20">
        <v>150.1824589111493</v>
      </c>
      <c r="AM26" s="20">
        <v>158.8252392692084</v>
      </c>
      <c r="AN26" s="20">
        <v>174.78369942255085</v>
      </c>
      <c r="AO26" s="20">
        <v>184.44839939620579</v>
      </c>
      <c r="AP26" s="20">
        <v>149.12578522926196</v>
      </c>
      <c r="AQ26" s="20">
        <v>183.43944008011022</v>
      </c>
      <c r="AR26" s="20">
        <v>170.36069026362384</v>
      </c>
      <c r="AS26" s="20">
        <v>174.86287662068207</v>
      </c>
      <c r="AT26" s="20">
        <v>191.00545829205657</v>
      </c>
      <c r="AU26" s="20">
        <v>202.04255166463554</v>
      </c>
      <c r="AV26" s="20">
        <v>178.03676870316849</v>
      </c>
      <c r="AW26" s="20">
        <v>194.49696297742776</v>
      </c>
      <c r="AX26" s="20">
        <v>203.29983714036644</v>
      </c>
      <c r="AY26" s="20">
        <v>175.58594196161721</v>
      </c>
    </row>
    <row r="27" spans="1:51" ht="13">
      <c r="A27" s="222">
        <v>26</v>
      </c>
      <c r="B27" s="20">
        <v>177.81221446130075</v>
      </c>
      <c r="C27" s="20">
        <v>139.97172105591744</v>
      </c>
      <c r="D27" s="20">
        <v>166.43389004530036</v>
      </c>
      <c r="E27" s="20">
        <v>203.98905222536996</v>
      </c>
      <c r="F27" s="20">
        <v>156.53034539427608</v>
      </c>
      <c r="G27" s="20">
        <v>170.05758978557424</v>
      </c>
      <c r="H27" s="20">
        <v>164.20113739586668</v>
      </c>
      <c r="I27" s="20">
        <v>163.28252500970848</v>
      </c>
      <c r="J27" s="20">
        <v>173.62051254240214</v>
      </c>
      <c r="K27" s="20">
        <v>193.78721604953171</v>
      </c>
      <c r="L27" s="20">
        <v>169.91076323465677</v>
      </c>
      <c r="M27" s="20">
        <v>168.20211827580351</v>
      </c>
      <c r="N27" s="20">
        <v>187.60208364328719</v>
      </c>
      <c r="O27" s="20">
        <v>171.54033331353276</v>
      </c>
      <c r="P27" s="20">
        <v>185.18190118884377</v>
      </c>
      <c r="Q27" s="20">
        <v>195.29330516961636</v>
      </c>
      <c r="R27" s="20">
        <v>165.77027155180986</v>
      </c>
      <c r="S27" s="20">
        <v>203.00611582642887</v>
      </c>
      <c r="T27" s="20">
        <v>161.77793655588175</v>
      </c>
      <c r="U27" s="20">
        <v>160.53228124364978</v>
      </c>
      <c r="V27" s="20">
        <v>145.75433384452481</v>
      </c>
      <c r="W27" s="20">
        <v>172.94592895341339</v>
      </c>
      <c r="X27" s="20">
        <v>177.97119981951255</v>
      </c>
      <c r="Y27" s="20">
        <v>170.10361590182583</v>
      </c>
      <c r="Z27" s="20">
        <v>187.75133172384812</v>
      </c>
      <c r="AA27" s="20">
        <v>171.74034825147828</v>
      </c>
      <c r="AB27" s="20">
        <v>169.83047758985776</v>
      </c>
      <c r="AC27" s="20">
        <v>160.82729858753737</v>
      </c>
      <c r="AD27" s="20">
        <v>162.96383806620724</v>
      </c>
      <c r="AE27" s="20">
        <v>193.01768121367786</v>
      </c>
      <c r="AF27" s="20">
        <v>174.17282593742129</v>
      </c>
      <c r="AG27" s="20">
        <v>171.10161012242315</v>
      </c>
      <c r="AH27" s="20">
        <v>171.87885292587453</v>
      </c>
      <c r="AI27" s="20">
        <v>194.56391315616202</v>
      </c>
      <c r="AJ27" s="20">
        <v>181.10307324677706</v>
      </c>
      <c r="AK27" s="20">
        <v>182.7728032010782</v>
      </c>
      <c r="AL27" s="20">
        <v>169.20480207845685</v>
      </c>
      <c r="AM27" s="20">
        <v>176.81686345968046</v>
      </c>
      <c r="AN27" s="20">
        <v>178.24907887261361</v>
      </c>
      <c r="AO27" s="20">
        <v>186.97136043629143</v>
      </c>
      <c r="AP27" s="20">
        <v>155.39570527907927</v>
      </c>
      <c r="AQ27" s="20">
        <v>169.61685433743696</v>
      </c>
      <c r="AR27" s="20">
        <v>183.49731804919429</v>
      </c>
      <c r="AS27" s="20">
        <v>177.71184035227634</v>
      </c>
      <c r="AT27" s="20">
        <v>180.71368445889675</v>
      </c>
      <c r="AU27" s="20">
        <v>184.57186330197146</v>
      </c>
      <c r="AV27" s="20">
        <v>163.08378904868732</v>
      </c>
      <c r="AW27" s="20">
        <v>198.20330168004148</v>
      </c>
      <c r="AX27" s="20">
        <v>180.79519792154315</v>
      </c>
      <c r="AY27" s="20">
        <v>168.33410869439831</v>
      </c>
    </row>
    <row r="28" spans="1:51" ht="13">
      <c r="A28" s="222">
        <v>27</v>
      </c>
      <c r="B28" s="20">
        <v>197.14601408923045</v>
      </c>
      <c r="C28" s="20">
        <v>175.09696350389277</v>
      </c>
      <c r="D28" s="20">
        <v>167.0600430414197</v>
      </c>
      <c r="E28" s="20">
        <v>197.53918864880688</v>
      </c>
      <c r="F28" s="20">
        <v>186.31836597778602</v>
      </c>
      <c r="G28" s="20">
        <v>152.68884441029513</v>
      </c>
      <c r="H28" s="20">
        <v>151.78912677656626</v>
      </c>
      <c r="I28" s="20">
        <v>207.81629687990062</v>
      </c>
      <c r="J28" s="20">
        <v>172.60599393994198</v>
      </c>
      <c r="K28" s="20">
        <v>156.96107071635197</v>
      </c>
      <c r="L28" s="20">
        <v>169.95813653993537</v>
      </c>
      <c r="M28" s="20">
        <v>156.00995526328916</v>
      </c>
      <c r="N28" s="20">
        <v>189.63671424062341</v>
      </c>
      <c r="O28" s="20">
        <v>151.68980995513266</v>
      </c>
      <c r="P28" s="20">
        <v>196.96006789745297</v>
      </c>
      <c r="Q28" s="20">
        <v>185.89273951038194</v>
      </c>
      <c r="R28" s="20">
        <v>163.19200754951453</v>
      </c>
      <c r="S28" s="20">
        <v>179.09695530834142</v>
      </c>
      <c r="T28" s="20">
        <v>189.02989937560051</v>
      </c>
      <c r="U28" s="20">
        <v>180.66805056223529</v>
      </c>
      <c r="V28" s="20">
        <v>166.68528574955417</v>
      </c>
      <c r="W28" s="20">
        <v>198.1239027925767</v>
      </c>
      <c r="X28" s="20">
        <v>151.46852989419131</v>
      </c>
      <c r="Y28" s="20">
        <v>179.45547811978031</v>
      </c>
      <c r="Z28" s="20">
        <v>168.66937117883936</v>
      </c>
      <c r="AA28" s="20">
        <v>149.18649400060531</v>
      </c>
      <c r="AB28" s="20">
        <v>181.90359343025193</v>
      </c>
      <c r="AC28" s="20">
        <v>202.51014562818455</v>
      </c>
      <c r="AD28" s="20">
        <v>181.21917024545837</v>
      </c>
      <c r="AE28" s="20">
        <v>202.33320343395462</v>
      </c>
      <c r="AF28" s="20">
        <v>160.5395799386315</v>
      </c>
      <c r="AG28" s="20">
        <v>192.3039779838291</v>
      </c>
      <c r="AH28" s="20">
        <v>167.99419073395256</v>
      </c>
      <c r="AI28" s="20">
        <v>164.96354406699538</v>
      </c>
      <c r="AJ28" s="20">
        <v>164.65132022021862</v>
      </c>
      <c r="AK28" s="20">
        <v>180.81869699090021</v>
      </c>
      <c r="AL28" s="20">
        <v>176.00537818070734</v>
      </c>
      <c r="AM28" s="20">
        <v>169.82924977201037</v>
      </c>
      <c r="AN28" s="20">
        <v>183.56070414556598</v>
      </c>
      <c r="AO28" s="20">
        <v>186.38405423262157</v>
      </c>
      <c r="AP28" s="20">
        <v>179.8661490836821</v>
      </c>
      <c r="AQ28" s="20">
        <v>170.14595856453525</v>
      </c>
      <c r="AR28" s="20">
        <v>177.07724610845617</v>
      </c>
      <c r="AS28" s="20">
        <v>166.9820425020589</v>
      </c>
      <c r="AT28" s="20">
        <v>152.98952335870126</v>
      </c>
      <c r="AU28" s="20">
        <v>181.50668425805634</v>
      </c>
      <c r="AV28" s="20">
        <v>191.46510554564884</v>
      </c>
      <c r="AW28" s="20">
        <v>177.8437625587685</v>
      </c>
      <c r="AX28" s="20">
        <v>165.83536295074737</v>
      </c>
      <c r="AY28" s="20">
        <v>140.93160176416859</v>
      </c>
    </row>
    <row r="29" spans="1:51" ht="13">
      <c r="A29" s="222">
        <v>28</v>
      </c>
      <c r="B29" s="20">
        <v>191.15835572010837</v>
      </c>
      <c r="C29" s="20">
        <v>199.31734174024314</v>
      </c>
      <c r="D29" s="20">
        <v>185.54610265782685</v>
      </c>
      <c r="E29" s="20">
        <v>182.25503923604265</v>
      </c>
      <c r="F29" s="20">
        <v>177.034391854977</v>
      </c>
      <c r="G29" s="20">
        <v>167.49370148390881</v>
      </c>
      <c r="H29" s="20">
        <v>177.0702884739876</v>
      </c>
      <c r="I29" s="20">
        <v>145.18053363717627</v>
      </c>
      <c r="J29" s="20">
        <v>166.26994225662202</v>
      </c>
      <c r="K29" s="20">
        <v>160.23156818919233</v>
      </c>
      <c r="L29" s="20">
        <v>158.62056885525817</v>
      </c>
      <c r="M29" s="20">
        <v>156.56458786979783</v>
      </c>
      <c r="N29" s="20">
        <v>183.6676095634175</v>
      </c>
      <c r="O29" s="20">
        <v>160.55236970787519</v>
      </c>
      <c r="P29" s="20">
        <v>198.18433871550951</v>
      </c>
      <c r="Q29" s="20">
        <v>196.78401246055728</v>
      </c>
      <c r="R29" s="20">
        <v>178.03792830891325</v>
      </c>
      <c r="S29" s="20">
        <v>183.10545657259354</v>
      </c>
      <c r="T29" s="20">
        <v>185.66840695784776</v>
      </c>
      <c r="U29" s="20">
        <v>184.24221126297198</v>
      </c>
      <c r="V29" s="20">
        <v>179.20664036937524</v>
      </c>
      <c r="W29" s="20">
        <v>175.23007942218101</v>
      </c>
      <c r="X29" s="20">
        <v>145.36047716392204</v>
      </c>
      <c r="Y29" s="20">
        <v>197.89689291501418</v>
      </c>
      <c r="Z29" s="20">
        <v>151.10830178018659</v>
      </c>
      <c r="AA29" s="20">
        <v>191.41278686292935</v>
      </c>
      <c r="AB29" s="20">
        <v>164.64693759262445</v>
      </c>
      <c r="AC29" s="20">
        <v>166.74541471802513</v>
      </c>
      <c r="AD29" s="20">
        <v>165.4506125858461</v>
      </c>
      <c r="AE29" s="20">
        <v>173.72303533265949</v>
      </c>
      <c r="AF29" s="20">
        <v>181.51677964924602</v>
      </c>
      <c r="AG29" s="20">
        <v>179.77068624604726</v>
      </c>
      <c r="AH29" s="20">
        <v>177.14097326534102</v>
      </c>
      <c r="AI29" s="20">
        <v>170.60683363597491</v>
      </c>
      <c r="AJ29" s="20">
        <v>172.59436377644306</v>
      </c>
      <c r="AK29" s="20">
        <v>199.90819497324992</v>
      </c>
      <c r="AL29" s="20">
        <v>152.40030721615767</v>
      </c>
      <c r="AM29" s="20">
        <v>164.10277554386994</v>
      </c>
      <c r="AN29" s="20">
        <v>163.53774059170973</v>
      </c>
      <c r="AO29" s="20">
        <v>162.678233992483</v>
      </c>
      <c r="AP29" s="20">
        <v>180.07100708091457</v>
      </c>
      <c r="AQ29" s="20">
        <v>150.39644027710892</v>
      </c>
      <c r="AR29" s="20">
        <v>183.6920294961601</v>
      </c>
      <c r="AS29" s="20">
        <v>170.96731754536449</v>
      </c>
      <c r="AT29" s="20">
        <v>174.31069964986818</v>
      </c>
      <c r="AU29" s="20">
        <v>195.8546907742857</v>
      </c>
      <c r="AV29" s="20">
        <v>193.93649823614396</v>
      </c>
      <c r="AW29" s="20">
        <v>172.96096972204396</v>
      </c>
      <c r="AX29" s="20">
        <v>187.5710812426405</v>
      </c>
      <c r="AY29" s="20">
        <v>191.28188783797668</v>
      </c>
    </row>
    <row r="30" spans="1:51" ht="13">
      <c r="A30" s="222">
        <v>29</v>
      </c>
      <c r="B30" s="20">
        <v>172.63271603114845</v>
      </c>
      <c r="C30" s="20">
        <v>176.56396708916873</v>
      </c>
      <c r="D30" s="20">
        <v>191.8068140737887</v>
      </c>
      <c r="E30" s="20">
        <v>150.76765053963754</v>
      </c>
      <c r="F30" s="20">
        <v>164.67896317481063</v>
      </c>
      <c r="G30" s="20">
        <v>162.35374902025796</v>
      </c>
      <c r="H30" s="20">
        <v>197.798053578299</v>
      </c>
      <c r="I30" s="20">
        <v>190.9004116540018</v>
      </c>
      <c r="J30" s="20">
        <v>173.04548451720621</v>
      </c>
      <c r="K30" s="20">
        <v>194.8165025722119</v>
      </c>
      <c r="L30" s="20">
        <v>172.85322870593518</v>
      </c>
      <c r="M30" s="20">
        <v>184.19645799513091</v>
      </c>
      <c r="N30" s="20">
        <v>186.78609636554029</v>
      </c>
      <c r="O30" s="20">
        <v>177.58946784015279</v>
      </c>
      <c r="P30" s="20">
        <v>187.81071035919013</v>
      </c>
      <c r="Q30" s="20">
        <v>176.9313574739499</v>
      </c>
      <c r="R30" s="20">
        <v>187.38458935404196</v>
      </c>
      <c r="S30" s="20">
        <v>177.43353497353382</v>
      </c>
      <c r="T30" s="20">
        <v>169.59848822880303</v>
      </c>
      <c r="U30" s="20">
        <v>169.14787907880964</v>
      </c>
      <c r="V30" s="20">
        <v>183.87865780896391</v>
      </c>
      <c r="W30" s="20">
        <v>182.32478611098486</v>
      </c>
      <c r="X30" s="20">
        <v>182.42577412893297</v>
      </c>
      <c r="Y30" s="20">
        <v>141.1105903214775</v>
      </c>
      <c r="Z30" s="20">
        <v>175.44126409193268</v>
      </c>
      <c r="AA30" s="20">
        <v>185.07813352771336</v>
      </c>
      <c r="AB30" s="20">
        <v>195.86076165142003</v>
      </c>
      <c r="AC30" s="20">
        <v>213.79249561578035</v>
      </c>
      <c r="AD30" s="20">
        <v>189.62562977394555</v>
      </c>
      <c r="AE30" s="20">
        <v>158.36194266812527</v>
      </c>
      <c r="AF30" s="20">
        <v>161.15386402889271</v>
      </c>
      <c r="AG30" s="20">
        <v>176.42788394441595</v>
      </c>
      <c r="AH30" s="20">
        <v>176.64476432473748</v>
      </c>
      <c r="AI30" s="20">
        <v>153.71448158548446</v>
      </c>
      <c r="AJ30" s="20">
        <v>193.91105512186186</v>
      </c>
      <c r="AK30" s="20">
        <v>173.13109070601058</v>
      </c>
      <c r="AL30" s="20">
        <v>172.7998868416762</v>
      </c>
      <c r="AM30" s="20">
        <v>201.86956577235833</v>
      </c>
      <c r="AN30" s="20">
        <v>149.12578522926196</v>
      </c>
      <c r="AO30" s="20">
        <v>206.73663571942598</v>
      </c>
      <c r="AP30" s="20">
        <v>187.77605861105258</v>
      </c>
      <c r="AQ30" s="20">
        <v>171.11821976941428</v>
      </c>
      <c r="AR30" s="20">
        <v>138.40829966356978</v>
      </c>
      <c r="AS30" s="20">
        <v>188.43147459920147</v>
      </c>
      <c r="AT30" s="20">
        <v>175.97891188488575</v>
      </c>
      <c r="AU30" s="20">
        <v>170.04063907806994</v>
      </c>
      <c r="AV30" s="20">
        <v>165.6577045294398</v>
      </c>
      <c r="AW30" s="20">
        <v>182.65232357480272</v>
      </c>
      <c r="AX30" s="20">
        <v>168.88072637884761</v>
      </c>
      <c r="AY30" s="20">
        <v>165.29696482466534</v>
      </c>
    </row>
    <row r="31" spans="1:51" ht="13">
      <c r="A31" s="222">
        <v>30</v>
      </c>
      <c r="B31" s="20">
        <v>174.26015448181715</v>
      </c>
      <c r="C31" s="20">
        <v>185.7557866613206</v>
      </c>
      <c r="D31" s="20">
        <v>203.69751369871665</v>
      </c>
      <c r="E31" s="20">
        <v>203.79096427932382</v>
      </c>
      <c r="F31" s="20">
        <v>161.8320287532697</v>
      </c>
      <c r="G31" s="20">
        <v>154.33367694713525</v>
      </c>
      <c r="H31" s="20">
        <v>180.9450940170791</v>
      </c>
      <c r="I31" s="20">
        <v>140.71632436825894</v>
      </c>
      <c r="J31" s="20">
        <v>185.99606379284523</v>
      </c>
      <c r="K31" s="20">
        <v>172.17960008638329</v>
      </c>
      <c r="L31" s="20">
        <v>196.89990482293069</v>
      </c>
      <c r="M31" s="20">
        <v>183.77630554896314</v>
      </c>
      <c r="N31" s="20">
        <v>186.33668092734297</v>
      </c>
      <c r="O31" s="20">
        <v>188.29837573393888</v>
      </c>
      <c r="P31" s="20">
        <v>155.88396750972606</v>
      </c>
      <c r="Q31" s="20">
        <v>176.05827666629921</v>
      </c>
      <c r="R31" s="20">
        <v>170.4148165670631</v>
      </c>
      <c r="S31" s="20">
        <v>193.2223857336794</v>
      </c>
      <c r="T31" s="20">
        <v>166.82940086939197</v>
      </c>
      <c r="U31" s="20">
        <v>172.54786017547303</v>
      </c>
      <c r="V31" s="20">
        <v>134.51748132938519</v>
      </c>
      <c r="W31" s="20">
        <v>179.21738377553993</v>
      </c>
      <c r="X31" s="20">
        <v>173.59055037632061</v>
      </c>
      <c r="Y31" s="20">
        <v>177.02975343199796</v>
      </c>
      <c r="Z31" s="20">
        <v>189.73865722800838</v>
      </c>
      <c r="AA31" s="20">
        <v>168.13847638404695</v>
      </c>
      <c r="AB31" s="20">
        <v>168.51852011386654</v>
      </c>
      <c r="AC31" s="20">
        <v>202.06594841583865</v>
      </c>
      <c r="AD31" s="20">
        <v>171.0030095280672</v>
      </c>
      <c r="AE31" s="20">
        <v>183.77630554896314</v>
      </c>
      <c r="AF31" s="20">
        <v>179.23650021730282</v>
      </c>
      <c r="AG31" s="20">
        <v>181.83860434946837</v>
      </c>
      <c r="AH31" s="20">
        <v>185.40991719492013</v>
      </c>
      <c r="AI31" s="20">
        <v>184.97196138996514</v>
      </c>
      <c r="AJ31" s="20">
        <v>171.82489715269185</v>
      </c>
      <c r="AK31" s="20">
        <v>203.59082997019868</v>
      </c>
      <c r="AL31" s="20">
        <v>180.86201167607214</v>
      </c>
      <c r="AM31" s="20">
        <v>201.3870333583327</v>
      </c>
      <c r="AN31" s="20">
        <v>167.77204096870264</v>
      </c>
      <c r="AO31" s="20">
        <v>196.3233079193742</v>
      </c>
      <c r="AP31" s="20">
        <v>151.10420905402862</v>
      </c>
      <c r="AQ31" s="20">
        <v>170.83271801384399</v>
      </c>
      <c r="AR31" s="20">
        <v>192.53821834427072</v>
      </c>
      <c r="AS31" s="20">
        <v>168.97912233689567</v>
      </c>
      <c r="AT31" s="20">
        <v>172.33246340838377</v>
      </c>
      <c r="AU31" s="20">
        <v>171.85774128010962</v>
      </c>
      <c r="AV31" s="20">
        <v>160.21478801194462</v>
      </c>
      <c r="AW31" s="20">
        <v>207.96881914138794</v>
      </c>
      <c r="AX31" s="20">
        <v>166.59548451643786</v>
      </c>
      <c r="AY31" s="20">
        <v>183.34953652883996</v>
      </c>
    </row>
    <row r="32" spans="1:51" ht="13">
      <c r="A32" s="222">
        <v>31</v>
      </c>
      <c r="B32" s="20">
        <v>141.00690792547539</v>
      </c>
      <c r="C32" s="20">
        <v>163.832075814571</v>
      </c>
      <c r="D32" s="20">
        <v>163.8562911110057</v>
      </c>
      <c r="E32" s="20">
        <v>185.63593799699447</v>
      </c>
      <c r="F32" s="20">
        <v>179.27829718319117</v>
      </c>
      <c r="G32" s="20">
        <v>152.87097072432516</v>
      </c>
      <c r="H32" s="20">
        <v>155.39031652297126</v>
      </c>
      <c r="I32" s="20">
        <v>143.20934029528871</v>
      </c>
      <c r="J32" s="20">
        <v>160.94520320693846</v>
      </c>
      <c r="K32" s="20">
        <v>182.4556169238349</v>
      </c>
      <c r="L32" s="20">
        <v>171.89292167204258</v>
      </c>
      <c r="M32" s="20">
        <v>161.78472366009373</v>
      </c>
      <c r="N32" s="20">
        <v>160.79138491550111</v>
      </c>
      <c r="O32" s="20">
        <v>169.7121978038922</v>
      </c>
      <c r="P32" s="20">
        <v>187.38779532286571</v>
      </c>
      <c r="Q32" s="20">
        <v>183.87865780896391</v>
      </c>
      <c r="R32" s="20">
        <v>147.41550317994552</v>
      </c>
      <c r="S32" s="20">
        <v>129.97564668767154</v>
      </c>
      <c r="T32" s="20">
        <v>170.2498285438196</v>
      </c>
      <c r="U32" s="20">
        <v>210.7715180143714</v>
      </c>
      <c r="V32" s="20">
        <v>182.64840137890133</v>
      </c>
      <c r="W32" s="20">
        <v>158.21893599495525</v>
      </c>
      <c r="X32" s="20">
        <v>154.30397057643859</v>
      </c>
      <c r="Y32" s="20">
        <v>163.85325567243854</v>
      </c>
      <c r="Z32" s="20">
        <v>196.46286988136126</v>
      </c>
      <c r="AA32" s="20">
        <v>176.76717094291234</v>
      </c>
      <c r="AB32" s="20">
        <v>185.65953938450548</v>
      </c>
      <c r="AC32" s="20">
        <v>184.69457687460817</v>
      </c>
      <c r="AD32" s="20">
        <v>188.14607516178512</v>
      </c>
      <c r="AE32" s="20">
        <v>173.18659830452816</v>
      </c>
      <c r="AF32" s="20">
        <v>191.80466539255576</v>
      </c>
      <c r="AG32" s="20">
        <v>172.07208075960807</v>
      </c>
      <c r="AH32" s="20">
        <v>168.86701574621839</v>
      </c>
      <c r="AI32" s="20">
        <v>169.73174057129654</v>
      </c>
      <c r="AJ32" s="20">
        <v>195.00200538532226</v>
      </c>
      <c r="AK32" s="20">
        <v>156.6981812728045</v>
      </c>
      <c r="AL32" s="20">
        <v>173.79213419262669</v>
      </c>
      <c r="AM32" s="20">
        <v>176.82726580533199</v>
      </c>
      <c r="AN32" s="20">
        <v>163.78811311442405</v>
      </c>
      <c r="AO32" s="20">
        <v>188.2271452457644</v>
      </c>
      <c r="AP32" s="20">
        <v>176.95681764125766</v>
      </c>
      <c r="AQ32" s="20">
        <v>166.9118010893726</v>
      </c>
      <c r="AR32" s="20">
        <v>169.08592543659324</v>
      </c>
      <c r="AS32" s="20">
        <v>167.87238097167574</v>
      </c>
      <c r="AT32" s="20">
        <v>179.66819756184123</v>
      </c>
      <c r="AU32" s="20">
        <v>186.16338808060391</v>
      </c>
      <c r="AV32" s="20">
        <v>174.56332317196939</v>
      </c>
      <c r="AW32" s="20">
        <v>165.90026676640264</v>
      </c>
      <c r="AX32" s="20">
        <v>168.46430854529899</v>
      </c>
      <c r="AY32" s="20">
        <v>186.81580273623695</v>
      </c>
    </row>
    <row r="33" spans="1:51" ht="13">
      <c r="A33" s="222">
        <v>32</v>
      </c>
      <c r="B33" s="20">
        <v>172.83235580252949</v>
      </c>
      <c r="C33" s="20">
        <v>161.41013689848478</v>
      </c>
      <c r="D33" s="20">
        <v>145.75433384452481</v>
      </c>
      <c r="E33" s="20">
        <v>162.03492565255146</v>
      </c>
      <c r="F33" s="20">
        <v>172.66755536256824</v>
      </c>
      <c r="G33" s="20">
        <v>172.51528889646579</v>
      </c>
      <c r="H33" s="20">
        <v>189.28245468559908</v>
      </c>
      <c r="I33" s="20">
        <v>166.19507947398233</v>
      </c>
      <c r="J33" s="20">
        <v>160.8308797229256</v>
      </c>
      <c r="K33" s="20">
        <v>189.2680278258922</v>
      </c>
      <c r="L33" s="20">
        <v>159.96086845989339</v>
      </c>
      <c r="M33" s="20">
        <v>189.44398094463395</v>
      </c>
      <c r="N33" s="20">
        <v>180.9264721130603</v>
      </c>
      <c r="O33" s="20">
        <v>182.04806666362856</v>
      </c>
      <c r="P33" s="20">
        <v>177.12939426091907</v>
      </c>
      <c r="Q33" s="20">
        <v>165.55439730000217</v>
      </c>
      <c r="R33" s="20">
        <v>142.63349372486118</v>
      </c>
      <c r="S33" s="20">
        <v>214.86151568824425</v>
      </c>
      <c r="T33" s="20">
        <v>166.11724946487811</v>
      </c>
      <c r="U33" s="20">
        <v>174.89041725712013</v>
      </c>
      <c r="V33" s="20">
        <v>200.99188064777991</v>
      </c>
      <c r="W33" s="20">
        <v>186.49302306657773</v>
      </c>
      <c r="X33" s="20">
        <v>174.9191004462773</v>
      </c>
      <c r="Y33" s="20">
        <v>197.17336714238627</v>
      </c>
      <c r="Z33" s="20">
        <v>204.00392246374395</v>
      </c>
      <c r="AA33" s="20">
        <v>205.37785063497722</v>
      </c>
      <c r="AB33" s="20">
        <v>178.51507196683087</v>
      </c>
      <c r="AC33" s="20">
        <v>165.51377699288423</v>
      </c>
      <c r="AD33" s="20">
        <v>137.13737176731229</v>
      </c>
      <c r="AE33" s="20">
        <v>158.13718378994963</v>
      </c>
      <c r="AF33" s="20">
        <v>169.30729076266289</v>
      </c>
      <c r="AG33" s="20">
        <v>173.12993110026582</v>
      </c>
      <c r="AH33" s="20">
        <v>183.51887307362631</v>
      </c>
      <c r="AI33" s="20">
        <v>162.16943991894368</v>
      </c>
      <c r="AJ33" s="20">
        <v>177.64422510554141</v>
      </c>
      <c r="AK33" s="20">
        <v>177.64188884102623</v>
      </c>
      <c r="AL33" s="20">
        <v>207.63048711232841</v>
      </c>
      <c r="AM33" s="20">
        <v>181.09434209764004</v>
      </c>
      <c r="AN33" s="20">
        <v>193.73203245850164</v>
      </c>
      <c r="AO33" s="20">
        <v>193.80737272585975</v>
      </c>
      <c r="AP33" s="20">
        <v>190.26849473520997</v>
      </c>
      <c r="AQ33" s="20">
        <v>170.54690930381184</v>
      </c>
      <c r="AR33" s="20">
        <v>169.35411837112042</v>
      </c>
      <c r="AS33" s="20">
        <v>198.29102244402748</v>
      </c>
      <c r="AT33" s="20">
        <v>173.27210217517859</v>
      </c>
      <c r="AU33" s="20">
        <v>167.14307422334969</v>
      </c>
      <c r="AV33" s="20">
        <v>173.6066825385933</v>
      </c>
      <c r="AW33" s="20">
        <v>185.87481678041513</v>
      </c>
      <c r="AX33" s="20">
        <v>167.22194446701906</v>
      </c>
      <c r="AY33" s="20">
        <v>171.42357124685077</v>
      </c>
    </row>
    <row r="34" spans="1:51" ht="13">
      <c r="A34" s="222">
        <v>33</v>
      </c>
      <c r="B34" s="20">
        <v>167.88651792994642</v>
      </c>
      <c r="C34" s="20">
        <v>168.40747081078007</v>
      </c>
      <c r="D34" s="20">
        <v>166.9489255262306</v>
      </c>
      <c r="E34" s="20">
        <v>159.27560967684258</v>
      </c>
      <c r="F34" s="20">
        <v>177.87413399746583</v>
      </c>
      <c r="G34" s="20">
        <v>159.81216607615352</v>
      </c>
      <c r="H34" s="20">
        <v>192.00824441286386</v>
      </c>
      <c r="I34" s="20">
        <v>182.96901531430194</v>
      </c>
      <c r="J34" s="20">
        <v>184.85774022410624</v>
      </c>
      <c r="K34" s="20">
        <v>156.10927208472276</v>
      </c>
      <c r="L34" s="20">
        <v>187.63642843696289</v>
      </c>
      <c r="M34" s="20">
        <v>161.89601170553942</v>
      </c>
      <c r="N34" s="20">
        <v>181.45000000076834</v>
      </c>
      <c r="O34" s="20">
        <v>176.29077761812368</v>
      </c>
      <c r="P34" s="20">
        <v>189.7182277032698</v>
      </c>
      <c r="Q34" s="20">
        <v>169.266568137391</v>
      </c>
      <c r="R34" s="20">
        <v>179.66819756184123</v>
      </c>
      <c r="S34" s="20">
        <v>179.88066120851727</v>
      </c>
      <c r="T34" s="20">
        <v>192.0672819876927</v>
      </c>
      <c r="U34" s="20">
        <v>183.13069505056774</v>
      </c>
      <c r="V34" s="20">
        <v>199.24503691145219</v>
      </c>
      <c r="W34" s="20">
        <v>159.96086845989339</v>
      </c>
      <c r="X34" s="20">
        <v>184.88055717243697</v>
      </c>
      <c r="Y34" s="20">
        <v>185.63443733073655</v>
      </c>
      <c r="Z34" s="20">
        <v>177.73516889137682</v>
      </c>
      <c r="AA34" s="20">
        <v>174.75614173308713</v>
      </c>
      <c r="AB34" s="20">
        <v>169.75612639798783</v>
      </c>
      <c r="AC34" s="20">
        <v>164.97358829910809</v>
      </c>
      <c r="AD34" s="20">
        <v>171.12650753988419</v>
      </c>
      <c r="AE34" s="20">
        <v>156.20777036092477</v>
      </c>
      <c r="AF34" s="20">
        <v>167.25605051833554</v>
      </c>
      <c r="AG34" s="20">
        <v>208.47522579133511</v>
      </c>
      <c r="AH34" s="20">
        <v>194.23813215398695</v>
      </c>
      <c r="AI34" s="20">
        <v>169.95450424547016</v>
      </c>
      <c r="AJ34" s="20">
        <v>176.0387168458692</v>
      </c>
      <c r="AK34" s="20">
        <v>167.27439957394381</v>
      </c>
      <c r="AL34" s="20">
        <v>192.71904862835072</v>
      </c>
      <c r="AM34" s="20">
        <v>197.81988145114155</v>
      </c>
      <c r="AN34" s="20">
        <v>171.039844063489</v>
      </c>
      <c r="AO34" s="20">
        <v>181.78898004480288</v>
      </c>
      <c r="AP34" s="20">
        <v>186.09688128053676</v>
      </c>
      <c r="AQ34" s="20">
        <v>173.67811766307568</v>
      </c>
      <c r="AR34" s="20">
        <v>179.00531234845403</v>
      </c>
      <c r="AS34" s="20">
        <v>175.12220198186697</v>
      </c>
      <c r="AT34" s="20">
        <v>170.29926526520285</v>
      </c>
      <c r="AU34" s="20">
        <v>205.17539711436257</v>
      </c>
      <c r="AV34" s="20">
        <v>164.06389464536915</v>
      </c>
      <c r="AW34" s="20">
        <v>179.6706190914847</v>
      </c>
      <c r="AX34" s="20">
        <v>175.28976501198485</v>
      </c>
      <c r="AY34" s="20">
        <v>180.39295115231653</v>
      </c>
    </row>
    <row r="35" spans="1:51" ht="13">
      <c r="A35" s="222">
        <v>34</v>
      </c>
      <c r="B35" s="20">
        <v>176.0847429621208</v>
      </c>
      <c r="C35" s="20">
        <v>176.60204649546358</v>
      </c>
      <c r="D35" s="20">
        <v>169.16520495287841</v>
      </c>
      <c r="E35" s="20">
        <v>164.20560528858914</v>
      </c>
      <c r="F35" s="20">
        <v>179.418319576871</v>
      </c>
      <c r="G35" s="20">
        <v>204.58317963930313</v>
      </c>
      <c r="H35" s="20">
        <v>145.18885551369749</v>
      </c>
      <c r="I35" s="20">
        <v>157.27863216015976</v>
      </c>
      <c r="J35" s="20">
        <v>185.3748902802181</v>
      </c>
      <c r="K35" s="20">
        <v>181.31558805253007</v>
      </c>
      <c r="L35" s="20">
        <v>163.92723169774399</v>
      </c>
      <c r="M35" s="20">
        <v>196.85010998800863</v>
      </c>
      <c r="N35" s="20">
        <v>168.54999999923166</v>
      </c>
      <c r="O35" s="20">
        <v>149.27680682449136</v>
      </c>
      <c r="P35" s="20">
        <v>169.83777628483949</v>
      </c>
      <c r="Q35" s="20">
        <v>189.81508888900862</v>
      </c>
      <c r="R35" s="20">
        <v>163.60063215033733</v>
      </c>
      <c r="S35" s="20">
        <v>186.96348193843733</v>
      </c>
      <c r="T35" s="20">
        <v>148.70416622288758</v>
      </c>
      <c r="U35" s="20">
        <v>180.47504441783531</v>
      </c>
      <c r="V35" s="20">
        <v>182.11733605385234</v>
      </c>
      <c r="W35" s="20">
        <v>184.51988567976514</v>
      </c>
      <c r="X35" s="20">
        <v>170.96614088659408</v>
      </c>
      <c r="Y35" s="20">
        <v>172.15390117671632</v>
      </c>
      <c r="Z35" s="20">
        <v>172.57577597847558</v>
      </c>
      <c r="AA35" s="20">
        <v>165.89474158608937</v>
      </c>
      <c r="AB35" s="20">
        <v>157.22549493220868</v>
      </c>
      <c r="AC35" s="20">
        <v>158.03316033343435</v>
      </c>
      <c r="AD35" s="20">
        <v>156.59872802716563</v>
      </c>
      <c r="AE35" s="20">
        <v>180.39782831765478</v>
      </c>
      <c r="AF35" s="20">
        <v>178.15163788400241</v>
      </c>
      <c r="AG35" s="20">
        <v>187.01085524371592</v>
      </c>
      <c r="AH35" s="20">
        <v>181.38083292869851</v>
      </c>
      <c r="AI35" s="20">
        <v>166.53769181248208</v>
      </c>
      <c r="AJ35" s="20">
        <v>210.50139808794484</v>
      </c>
      <c r="AK35" s="20">
        <v>182.99677764007356</v>
      </c>
      <c r="AL35" s="20">
        <v>207.48533175792545</v>
      </c>
      <c r="AM35" s="20">
        <v>182.78462094785937</v>
      </c>
      <c r="AN35" s="20">
        <v>199.1188445215812</v>
      </c>
      <c r="AO35" s="20">
        <v>169.09336055578024</v>
      </c>
      <c r="AP35" s="20">
        <v>166.52019540815672</v>
      </c>
      <c r="AQ35" s="20">
        <v>188.5743107421149</v>
      </c>
      <c r="AR35" s="20">
        <v>169.5813499380165</v>
      </c>
      <c r="AS35" s="20">
        <v>166.41226680876571</v>
      </c>
      <c r="AT35" s="20">
        <v>174.66893255987088</v>
      </c>
      <c r="AU35" s="20">
        <v>176.24585994853987</v>
      </c>
      <c r="AV35" s="20">
        <v>154.47797965025529</v>
      </c>
      <c r="AW35" s="20">
        <v>192.12880930426763</v>
      </c>
      <c r="AX35" s="20">
        <v>164.14904040248075</v>
      </c>
      <c r="AY35" s="20">
        <v>167.01643845481158</v>
      </c>
    </row>
    <row r="36" spans="1:51" ht="13">
      <c r="A36" s="222">
        <v>35</v>
      </c>
      <c r="B36" s="20">
        <v>162.86382207072165</v>
      </c>
      <c r="C36" s="20">
        <v>150.72945176216308</v>
      </c>
      <c r="D36" s="20">
        <v>180.71491227674414</v>
      </c>
      <c r="E36" s="20">
        <v>170.75156266473641</v>
      </c>
      <c r="F36" s="20">
        <v>170.05153596146556</v>
      </c>
      <c r="G36" s="20">
        <v>202.8117113339249</v>
      </c>
      <c r="H36" s="20">
        <v>178.33604930347065</v>
      </c>
      <c r="I36" s="20">
        <v>191.12967253095121</v>
      </c>
      <c r="J36" s="20">
        <v>150.98920344898943</v>
      </c>
      <c r="K36" s="20">
        <v>184.73843725660117</v>
      </c>
      <c r="L36" s="20">
        <v>173.31367745173338</v>
      </c>
      <c r="M36" s="20">
        <v>182.58184341975721</v>
      </c>
      <c r="N36" s="20">
        <v>164.24274677847279</v>
      </c>
      <c r="O36" s="20">
        <v>159.93238990704413</v>
      </c>
      <c r="P36" s="20">
        <v>165.87403921294026</v>
      </c>
      <c r="Q36" s="20">
        <v>163.06803205297911</v>
      </c>
      <c r="R36" s="20">
        <v>167.01115201685752</v>
      </c>
      <c r="S36" s="20">
        <v>176.51205767906504</v>
      </c>
      <c r="T36" s="20">
        <v>160.07236114164698</v>
      </c>
      <c r="U36" s="20">
        <v>165.09093016866245</v>
      </c>
      <c r="V36" s="20">
        <v>179.2293208935007</v>
      </c>
      <c r="W36" s="20">
        <v>179.41352767666103</v>
      </c>
      <c r="X36" s="20">
        <v>193.53350113378838</v>
      </c>
      <c r="Y36" s="20">
        <v>159.70643731707241</v>
      </c>
      <c r="Z36" s="20">
        <v>183.53370920594898</v>
      </c>
      <c r="AA36" s="20">
        <v>180.00908754474949</v>
      </c>
      <c r="AB36" s="20">
        <v>180.9363969739934</v>
      </c>
      <c r="AC36" s="20">
        <v>153.12001311103813</v>
      </c>
      <c r="AD36" s="20">
        <v>173.66544726501161</v>
      </c>
      <c r="AE36" s="20">
        <v>175.46651962293254</v>
      </c>
      <c r="AF36" s="20">
        <v>182.55967448640149</v>
      </c>
      <c r="AG36" s="20">
        <v>182.29376665731252</v>
      </c>
      <c r="AH36" s="20">
        <v>153.73954953320208</v>
      </c>
      <c r="AI36" s="20">
        <v>169.25916712425533</v>
      </c>
      <c r="AJ36" s="20">
        <v>211.30602805060335</v>
      </c>
      <c r="AK36" s="20">
        <v>186.73926875708275</v>
      </c>
      <c r="AL36" s="20">
        <v>174.50592268760374</v>
      </c>
      <c r="AM36" s="20">
        <v>207.93034751550294</v>
      </c>
      <c r="AN36" s="20">
        <v>180.3464475513465</v>
      </c>
      <c r="AO36" s="20">
        <v>186.67859409179073</v>
      </c>
      <c r="AP36" s="20">
        <v>192.90485839592293</v>
      </c>
      <c r="AQ36" s="20">
        <v>204.91946530528367</v>
      </c>
      <c r="AR36" s="20">
        <v>148.31119629961904</v>
      </c>
      <c r="AS36" s="20">
        <v>183.94025333764148</v>
      </c>
      <c r="AT36" s="20">
        <v>193.1768541551719</v>
      </c>
      <c r="AU36" s="20">
        <v>184.67619371294859</v>
      </c>
      <c r="AV36" s="20">
        <v>179.65496441393043</v>
      </c>
      <c r="AW36" s="20">
        <v>185.35159584716894</v>
      </c>
      <c r="AX36" s="20">
        <v>163.48849145360873</v>
      </c>
      <c r="AY36" s="20">
        <v>158.40010733954841</v>
      </c>
    </row>
    <row r="37" spans="1:51" ht="13">
      <c r="A37" s="222">
        <v>36</v>
      </c>
      <c r="B37" s="20">
        <v>163.91365748932003</v>
      </c>
      <c r="C37" s="20">
        <v>179.87581814923033</v>
      </c>
      <c r="D37" s="20">
        <v>167.99419073395256</v>
      </c>
      <c r="E37" s="20">
        <v>165.77305119499215</v>
      </c>
      <c r="F37" s="20">
        <v>187.12821416629595</v>
      </c>
      <c r="G37" s="20">
        <v>165.77305119499215</v>
      </c>
      <c r="H37" s="20">
        <v>185.65807282429887</v>
      </c>
      <c r="I37" s="20">
        <v>189.47501745133195</v>
      </c>
      <c r="J37" s="20">
        <v>174.28312490737881</v>
      </c>
      <c r="K37" s="20">
        <v>197.4368022827548</v>
      </c>
      <c r="L37" s="20">
        <v>197.93741090397816</v>
      </c>
      <c r="M37" s="20">
        <v>182.92544483374513</v>
      </c>
      <c r="N37" s="20">
        <v>140.8554770576302</v>
      </c>
      <c r="O37" s="20">
        <v>202.24909791140817</v>
      </c>
      <c r="P37" s="20">
        <v>191.66141997702653</v>
      </c>
      <c r="Q37" s="20">
        <v>157.87777316363645</v>
      </c>
      <c r="R37" s="20">
        <v>162.03492565255146</v>
      </c>
      <c r="S37" s="20">
        <v>184.26859229366528</v>
      </c>
      <c r="T37" s="20">
        <v>177.26392558033695</v>
      </c>
      <c r="U37" s="20">
        <v>166.04467178767663</v>
      </c>
      <c r="V37" s="20">
        <v>173.04664412295097</v>
      </c>
      <c r="W37" s="20">
        <v>183.52023731567897</v>
      </c>
      <c r="X37" s="20">
        <v>189.47136810384109</v>
      </c>
      <c r="Y37" s="20">
        <v>171.22964423906524</v>
      </c>
      <c r="Z37" s="20">
        <v>171.47548065695446</v>
      </c>
      <c r="AA37" s="20">
        <v>168.54495230363682</v>
      </c>
      <c r="AB37" s="20">
        <v>207.67959982622415</v>
      </c>
      <c r="AC37" s="20">
        <v>172.58041440145462</v>
      </c>
      <c r="AD37" s="20">
        <v>165.79660142342618</v>
      </c>
      <c r="AE37" s="20">
        <v>174.99138822204259</v>
      </c>
      <c r="AF37" s="20">
        <v>164.85420006647473</v>
      </c>
      <c r="AG37" s="20">
        <v>166.19098674782435</v>
      </c>
      <c r="AH37" s="20">
        <v>152.35017132072244</v>
      </c>
      <c r="AI37" s="20">
        <v>173.33908645996416</v>
      </c>
      <c r="AJ37" s="20">
        <v>171.47077402187278</v>
      </c>
      <c r="AK37" s="20">
        <v>177.17692104342859</v>
      </c>
      <c r="AL37" s="20">
        <v>174.32333594188094</v>
      </c>
      <c r="AM37" s="20">
        <v>195.6101503863465</v>
      </c>
      <c r="AN37" s="20">
        <v>174.64137487040716</v>
      </c>
      <c r="AO37" s="20">
        <v>160.03088818324613</v>
      </c>
      <c r="AP37" s="20">
        <v>171.70980628252437</v>
      </c>
      <c r="AQ37" s="20">
        <v>149.07994669629261</v>
      </c>
      <c r="AR37" s="20">
        <v>202.92780833260622</v>
      </c>
      <c r="AS37" s="20">
        <v>166.781447761241</v>
      </c>
      <c r="AT37" s="20">
        <v>193.00588051992236</v>
      </c>
      <c r="AU37" s="20">
        <v>167.1272660685645</v>
      </c>
      <c r="AV37" s="20">
        <v>168.23008523788303</v>
      </c>
      <c r="AW37" s="20">
        <v>170.29443925894157</v>
      </c>
      <c r="AX37" s="20">
        <v>175.51933284339611</v>
      </c>
      <c r="AY37" s="20">
        <v>182.92413175076945</v>
      </c>
    </row>
    <row r="38" spans="1:51" ht="13">
      <c r="A38" s="222">
        <v>37</v>
      </c>
      <c r="B38" s="20">
        <v>172.69891587675374</v>
      </c>
      <c r="C38" s="20">
        <v>176.48554022416647</v>
      </c>
      <c r="D38" s="20">
        <v>159.75268512265757</v>
      </c>
      <c r="E38" s="20">
        <v>174.56907004161621</v>
      </c>
      <c r="F38" s="20">
        <v>181.21417370894051</v>
      </c>
      <c r="G38" s="20">
        <v>208.09842213639058</v>
      </c>
      <c r="H38" s="20">
        <v>193.80986246760585</v>
      </c>
      <c r="I38" s="20">
        <v>186.41623329203867</v>
      </c>
      <c r="J38" s="20">
        <v>141.44100974663161</v>
      </c>
      <c r="K38" s="20">
        <v>150.12366007867968</v>
      </c>
      <c r="L38" s="20">
        <v>150.38320712919813</v>
      </c>
      <c r="M38" s="20">
        <v>161.94297573820222</v>
      </c>
      <c r="N38" s="20">
        <v>171.12059013998078</v>
      </c>
      <c r="O38" s="20">
        <v>160.83268734364538</v>
      </c>
      <c r="P38" s="20">
        <v>167.90962477971334</v>
      </c>
      <c r="Q38" s="20">
        <v>147.83998709463049</v>
      </c>
      <c r="R38" s="20">
        <v>164.20263806212461</v>
      </c>
      <c r="S38" s="20">
        <v>180.27925863025303</v>
      </c>
      <c r="T38" s="20">
        <v>184.95050868368708</v>
      </c>
      <c r="U38" s="20">
        <v>125.54240571334958</v>
      </c>
      <c r="V38" s="20">
        <v>172.25432644481771</v>
      </c>
      <c r="W38" s="20">
        <v>166.52556711123907</v>
      </c>
      <c r="X38" s="20">
        <v>181.70265762892086</v>
      </c>
      <c r="Y38" s="20">
        <v>207.4138454743661</v>
      </c>
      <c r="Z38" s="20">
        <v>151.33005932584638</v>
      </c>
      <c r="AA38" s="20">
        <v>149.09011029958492</v>
      </c>
      <c r="AB38" s="20">
        <v>166.67055193538545</v>
      </c>
      <c r="AC38" s="20">
        <v>141.3989910914097</v>
      </c>
      <c r="AD38" s="20">
        <v>184.57046495386749</v>
      </c>
      <c r="AE38" s="20">
        <v>175.13712337931793</v>
      </c>
      <c r="AF38" s="20">
        <v>213.41487341560423</v>
      </c>
      <c r="AG38" s="20">
        <v>188.47093530057464</v>
      </c>
      <c r="AH38" s="20">
        <v>135.33111528959125</v>
      </c>
      <c r="AI38" s="20">
        <v>170.73841478195391</v>
      </c>
      <c r="AJ38" s="20">
        <v>161.26767592213582</v>
      </c>
      <c r="AK38" s="20">
        <v>154.80655734863831</v>
      </c>
      <c r="AL38" s="20">
        <v>181.10430106462445</v>
      </c>
      <c r="AM38" s="20">
        <v>156.81117462081602</v>
      </c>
      <c r="AN38" s="20">
        <v>179.3476688915689</v>
      </c>
      <c r="AO38" s="20">
        <v>202.44868652371224</v>
      </c>
      <c r="AP38" s="20">
        <v>174.33022536424687</v>
      </c>
      <c r="AQ38" s="20">
        <v>166.6919705356122</v>
      </c>
      <c r="AR38" s="20">
        <v>153.95049546059454</v>
      </c>
      <c r="AS38" s="20">
        <v>184.30054966374882</v>
      </c>
      <c r="AT38" s="20">
        <v>163.17011146456935</v>
      </c>
      <c r="AU38" s="20">
        <v>172.03816229157383</v>
      </c>
      <c r="AV38" s="20">
        <v>172.00422677051392</v>
      </c>
      <c r="AW38" s="20">
        <v>167.83382408066245</v>
      </c>
      <c r="AX38" s="20">
        <v>162.50698750882293</v>
      </c>
      <c r="AY38" s="20">
        <v>177.70718487627164</v>
      </c>
    </row>
    <row r="39" spans="1:51" ht="13">
      <c r="A39" s="222">
        <v>38</v>
      </c>
      <c r="B39" s="20">
        <v>180.60280568606686</v>
      </c>
      <c r="C39" s="20">
        <v>178.39958887707326</v>
      </c>
      <c r="D39" s="20">
        <v>179.89880562781764</v>
      </c>
      <c r="E39" s="20">
        <v>166.9489255262306</v>
      </c>
      <c r="F39" s="20">
        <v>165.44358673927491</v>
      </c>
      <c r="G39" s="20">
        <v>128.6768882535398</v>
      </c>
      <c r="H39" s="20">
        <v>184.25191443457152</v>
      </c>
      <c r="I39" s="20">
        <v>179.4326952775009</v>
      </c>
      <c r="J39" s="20">
        <v>174.30955709714908</v>
      </c>
      <c r="K39" s="20">
        <v>178.11528083329904</v>
      </c>
      <c r="L39" s="20">
        <v>195.83961589960381</v>
      </c>
      <c r="M39" s="20">
        <v>167.81453710864298</v>
      </c>
      <c r="N39" s="20">
        <v>173.49716800781607</v>
      </c>
      <c r="O39" s="20">
        <v>190.76620434207143</v>
      </c>
      <c r="P39" s="20">
        <v>160.48105395457242</v>
      </c>
      <c r="Q39" s="20">
        <v>168.70195951087226</v>
      </c>
      <c r="R39" s="20">
        <v>163.73494178042165</v>
      </c>
      <c r="S39" s="20">
        <v>181.16918782725406</v>
      </c>
      <c r="T39" s="20">
        <v>180.62494051337126</v>
      </c>
      <c r="U39" s="20">
        <v>177.46492959377065</v>
      </c>
      <c r="V39" s="20">
        <v>173.40833879716229</v>
      </c>
      <c r="W39" s="20">
        <v>173.9141144851601</v>
      </c>
      <c r="X39" s="20">
        <v>198.09006958967075</v>
      </c>
      <c r="Y39" s="20">
        <v>186.43309873441467</v>
      </c>
      <c r="Z39" s="20">
        <v>185.45374347086181</v>
      </c>
      <c r="AA39" s="20">
        <v>161.13629941246472</v>
      </c>
      <c r="AB39" s="20">
        <v>186.6010539841227</v>
      </c>
      <c r="AC39" s="20">
        <v>148.44420989975333</v>
      </c>
      <c r="AD39" s="20">
        <v>178.31841647494002</v>
      </c>
      <c r="AE39" s="20">
        <v>194.88536268981989</v>
      </c>
      <c r="AF39" s="20">
        <v>184.37019422053709</v>
      </c>
      <c r="AG39" s="20">
        <v>168.35182678805722</v>
      </c>
      <c r="AH39" s="20">
        <v>175.85016154116602</v>
      </c>
      <c r="AI39" s="20">
        <v>194.53976607182994</v>
      </c>
      <c r="AJ39" s="20">
        <v>181.9930024437781</v>
      </c>
      <c r="AK39" s="20">
        <v>181.87680312694283</v>
      </c>
      <c r="AL39" s="20">
        <v>202.42426659096964</v>
      </c>
      <c r="AM39" s="20">
        <v>208.80155249033123</v>
      </c>
      <c r="AN39" s="20">
        <v>176.90475475392304</v>
      </c>
      <c r="AO39" s="20">
        <v>178.21500692734844</v>
      </c>
      <c r="AP39" s="20">
        <v>120.83195075392723</v>
      </c>
      <c r="AQ39" s="20">
        <v>180.53640120415366</v>
      </c>
      <c r="AR39" s="20">
        <v>162.84153376618633</v>
      </c>
      <c r="AS39" s="20">
        <v>146.54204720573034</v>
      </c>
      <c r="AT39" s="20">
        <v>175.54460542742163</v>
      </c>
      <c r="AU39" s="20">
        <v>164.93337726460595</v>
      </c>
      <c r="AV39" s="20">
        <v>191.8283349921694</v>
      </c>
      <c r="AW39" s="20">
        <v>188.10736479354091</v>
      </c>
      <c r="AX39" s="20">
        <v>166.14458546500828</v>
      </c>
      <c r="AY39" s="20">
        <v>174.95926032170246</v>
      </c>
    </row>
    <row r="40" spans="1:51" ht="13">
      <c r="A40" s="222">
        <v>39</v>
      </c>
      <c r="B40" s="20">
        <v>205.21905286004767</v>
      </c>
      <c r="C40" s="20">
        <v>176.34722313305247</v>
      </c>
      <c r="D40" s="20">
        <v>155.88911752347485</v>
      </c>
      <c r="E40" s="20">
        <v>175.5962760951661</v>
      </c>
      <c r="F40" s="20">
        <v>200.56971594458446</v>
      </c>
      <c r="G40" s="20">
        <v>147.58794337540166</v>
      </c>
      <c r="H40" s="20">
        <v>185.58140242093941</v>
      </c>
      <c r="I40" s="20">
        <v>184.70163682723069</v>
      </c>
      <c r="J40" s="20">
        <v>183.04575392976403</v>
      </c>
      <c r="K40" s="20">
        <v>172.75346850583446</v>
      </c>
      <c r="L40" s="20">
        <v>188.37161847914103</v>
      </c>
      <c r="M40" s="20">
        <v>153.11673893011175</v>
      </c>
      <c r="N40" s="20">
        <v>166.62901076488197</v>
      </c>
      <c r="O40" s="20">
        <v>186.80799245048547</v>
      </c>
      <c r="P40" s="20">
        <v>130.83239069674164</v>
      </c>
      <c r="Q40" s="20">
        <v>167.96987311936391</v>
      </c>
      <c r="R40" s="20">
        <v>182.87402996138553</v>
      </c>
      <c r="S40" s="20">
        <v>168.13975536097132</v>
      </c>
      <c r="T40" s="20">
        <v>169.2505212402466</v>
      </c>
      <c r="U40" s="20">
        <v>174.93287929100916</v>
      </c>
      <c r="V40" s="20">
        <v>156.27298113104189</v>
      </c>
      <c r="W40" s="20">
        <v>172.1562374412315</v>
      </c>
      <c r="X40" s="20">
        <v>181.37205062048452</v>
      </c>
      <c r="Y40" s="20">
        <v>209.33087840676308</v>
      </c>
      <c r="Z40" s="20">
        <v>174.55529119688435</v>
      </c>
      <c r="AA40" s="20">
        <v>165.52639623187133</v>
      </c>
      <c r="AB40" s="20">
        <v>176.65629217008245</v>
      </c>
      <c r="AC40" s="20">
        <v>155.81657395232469</v>
      </c>
      <c r="AD40" s="20">
        <v>154.45451468694955</v>
      </c>
      <c r="AE40" s="20">
        <v>158.19963196991012</v>
      </c>
      <c r="AF40" s="20">
        <v>178.73365764971823</v>
      </c>
      <c r="AG40" s="20">
        <v>151.98469087481499</v>
      </c>
      <c r="AH40" s="20">
        <v>176.41291138788802</v>
      </c>
      <c r="AI40" s="20">
        <v>179.6633886086056</v>
      </c>
      <c r="AJ40" s="20">
        <v>128.6768882535398</v>
      </c>
      <c r="AK40" s="20">
        <v>206.32886376988608</v>
      </c>
      <c r="AL40" s="20">
        <v>158.93359419424087</v>
      </c>
      <c r="AM40" s="20">
        <v>174.63220034260303</v>
      </c>
      <c r="AN40" s="20">
        <v>150.09637523762649</v>
      </c>
      <c r="AO40" s="20">
        <v>187.20155922965205</v>
      </c>
      <c r="AP40" s="20">
        <v>157.98957279985189</v>
      </c>
      <c r="AQ40" s="20">
        <v>173.21434357727412</v>
      </c>
      <c r="AR40" s="20">
        <v>192.31291376927402</v>
      </c>
      <c r="AS40" s="20">
        <v>184.23527068152907</v>
      </c>
      <c r="AT40" s="20">
        <v>169.44023615069455</v>
      </c>
      <c r="AU40" s="20">
        <v>183.73957333169528</v>
      </c>
      <c r="AV40" s="20">
        <v>208.96335159777664</v>
      </c>
      <c r="AW40" s="20">
        <v>170.06971448681725</v>
      </c>
      <c r="AX40" s="20">
        <v>168.80582949015661</v>
      </c>
      <c r="AY40" s="20">
        <v>176.42443923323299</v>
      </c>
    </row>
    <row r="41" spans="1:51" ht="13">
      <c r="A41" s="222">
        <v>40</v>
      </c>
      <c r="B41" s="20">
        <v>185.71722977030731</v>
      </c>
      <c r="C41" s="20">
        <v>184.70729843174922</v>
      </c>
      <c r="D41" s="20">
        <v>144.181089909398</v>
      </c>
      <c r="E41" s="20">
        <v>175.72031980380416</v>
      </c>
      <c r="F41" s="20">
        <v>177.8554438813444</v>
      </c>
      <c r="G41" s="20">
        <v>177.44166926677281</v>
      </c>
      <c r="H41" s="20">
        <v>160.27249545077211</v>
      </c>
      <c r="I41" s="20">
        <v>150.08266460499726</v>
      </c>
      <c r="J41" s="20">
        <v>183.55260395837831</v>
      </c>
      <c r="K41" s="20">
        <v>159.44948232645402</v>
      </c>
      <c r="L41" s="20">
        <v>188.77775333821774</v>
      </c>
      <c r="M41" s="20">
        <v>176.48207845995785</v>
      </c>
      <c r="N41" s="20">
        <v>184.41345774663205</v>
      </c>
      <c r="O41" s="20">
        <v>201.59439815033693</v>
      </c>
      <c r="P41" s="20">
        <v>184.65076765169215</v>
      </c>
      <c r="Q41" s="20">
        <v>189.21219621988712</v>
      </c>
      <c r="R41" s="20">
        <v>170.98278463963652</v>
      </c>
      <c r="S41" s="20">
        <v>171.42357124685077</v>
      </c>
      <c r="T41" s="20">
        <v>158.43813558676629</v>
      </c>
      <c r="U41" s="20">
        <v>174.3359722338937</v>
      </c>
      <c r="V41" s="20">
        <v>191.52601895330008</v>
      </c>
      <c r="W41" s="20">
        <v>190.93871274963021</v>
      </c>
      <c r="X41" s="20">
        <v>184.01985686141415</v>
      </c>
      <c r="Y41" s="20">
        <v>167.3672703516786</v>
      </c>
      <c r="Z41" s="20">
        <v>168.47564880736172</v>
      </c>
      <c r="AA41" s="20">
        <v>173.48794232093496</v>
      </c>
      <c r="AB41" s="20">
        <v>173.33562469575554</v>
      </c>
      <c r="AC41" s="20">
        <v>188.90773149978486</v>
      </c>
      <c r="AD41" s="20">
        <v>181.56347083349829</v>
      </c>
      <c r="AE41" s="20">
        <v>185.01923237708979</v>
      </c>
      <c r="AF41" s="20">
        <v>186.54697883976041</v>
      </c>
      <c r="AG41" s="20">
        <v>145.92131707177032</v>
      </c>
      <c r="AH41" s="20">
        <v>168.38978682317247</v>
      </c>
      <c r="AI41" s="20">
        <v>178.12114707412547</v>
      </c>
      <c r="AJ41" s="20">
        <v>199.12716639810242</v>
      </c>
      <c r="AK41" s="20">
        <v>159.90575308096595</v>
      </c>
      <c r="AL41" s="20">
        <v>157.00827349137398</v>
      </c>
      <c r="AM41" s="20">
        <v>174.05672893873998</v>
      </c>
      <c r="AN41" s="20">
        <v>160.82371745214914</v>
      </c>
      <c r="AO41" s="20">
        <v>188.51909304503351</v>
      </c>
      <c r="AP41" s="20">
        <v>205.29790605069138</v>
      </c>
      <c r="AQ41" s="20">
        <v>187.84048494198942</v>
      </c>
      <c r="AR41" s="20">
        <v>156.73194626360782</v>
      </c>
      <c r="AS41" s="20">
        <v>160.90243421858759</v>
      </c>
      <c r="AT41" s="20">
        <v>175.5503352440428</v>
      </c>
      <c r="AU41" s="20">
        <v>202.16001290536951</v>
      </c>
      <c r="AV41" s="20">
        <v>176.20442109619034</v>
      </c>
      <c r="AW41" s="20">
        <v>177.45098021878221</v>
      </c>
      <c r="AX41" s="20">
        <v>167.14571744232671</v>
      </c>
      <c r="AY41" s="20">
        <v>206.4313183480408</v>
      </c>
    </row>
    <row r="42" spans="1:51" ht="13">
      <c r="A42" s="222">
        <v>41</v>
      </c>
      <c r="B42" s="20">
        <v>178.91977437175228</v>
      </c>
      <c r="C42" s="20">
        <v>165.00655179770547</v>
      </c>
      <c r="D42" s="20">
        <v>184.24637220123259</v>
      </c>
      <c r="E42" s="20">
        <v>179.38718075201905</v>
      </c>
      <c r="F42" s="20">
        <v>182.94657353253569</v>
      </c>
      <c r="G42" s="20">
        <v>180.21582137480436</v>
      </c>
      <c r="H42" s="20">
        <v>175.78351831689361</v>
      </c>
      <c r="I42" s="20">
        <v>174.68844122122391</v>
      </c>
      <c r="J42" s="20">
        <v>158.89484971994534</v>
      </c>
      <c r="K42" s="20">
        <v>182.34675040803268</v>
      </c>
      <c r="L42" s="20">
        <v>175.46766217565164</v>
      </c>
      <c r="M42" s="20">
        <v>166.95025566223194</v>
      </c>
      <c r="N42" s="20">
        <v>184.22556750992953</v>
      </c>
      <c r="O42" s="20">
        <v>194.45163603522815</v>
      </c>
      <c r="P42" s="20">
        <v>201.57789082149975</v>
      </c>
      <c r="Q42" s="20">
        <v>176.63898334903934</v>
      </c>
      <c r="R42" s="20">
        <v>177.61509853771713</v>
      </c>
      <c r="S42" s="20">
        <v>176.29538193505141</v>
      </c>
      <c r="T42" s="20">
        <v>199.24080776108894</v>
      </c>
      <c r="U42" s="20">
        <v>205.7247773889685</v>
      </c>
      <c r="V42" s="20">
        <v>207.89214873802848</v>
      </c>
      <c r="W42" s="20">
        <v>171.49671167389897</v>
      </c>
      <c r="X42" s="20">
        <v>151.84969912370434</v>
      </c>
      <c r="Y42" s="20">
        <v>157.62665030779317</v>
      </c>
      <c r="Z42" s="20">
        <v>145.72350197413471</v>
      </c>
      <c r="AA42" s="20">
        <v>154.0695937917917</v>
      </c>
      <c r="AB42" s="20">
        <v>149.7624769952381</v>
      </c>
      <c r="AC42" s="20">
        <v>214.33764674002305</v>
      </c>
      <c r="AD42" s="20">
        <v>170.85894556730636</v>
      </c>
      <c r="AE42" s="20">
        <v>180.71738496546459</v>
      </c>
      <c r="AF42" s="20">
        <v>175.70309624788933</v>
      </c>
      <c r="AG42" s="20">
        <v>177.26276597459218</v>
      </c>
      <c r="AH42" s="20">
        <v>164.76313690945972</v>
      </c>
      <c r="AI42" s="20">
        <v>199.6433273787261</v>
      </c>
      <c r="AJ42" s="20">
        <v>173.1854386987834</v>
      </c>
      <c r="AK42" s="20">
        <v>194.85500830414821</v>
      </c>
      <c r="AL42" s="20">
        <v>187.14891653944505</v>
      </c>
      <c r="AM42" s="20">
        <v>174.52428879623767</v>
      </c>
      <c r="AN42" s="20">
        <v>177.38704842558946</v>
      </c>
      <c r="AO42" s="20">
        <v>183.54046220410964</v>
      </c>
      <c r="AP42" s="20">
        <v>214.48225639760494</v>
      </c>
      <c r="AQ42" s="20">
        <v>188.41950337518938</v>
      </c>
      <c r="AR42" s="20">
        <v>165.68693341541803</v>
      </c>
      <c r="AS42" s="20">
        <v>143.16595739801414</v>
      </c>
      <c r="AT42" s="20">
        <v>172.64200993013219</v>
      </c>
      <c r="AU42" s="20">
        <v>182.29634166418691</v>
      </c>
      <c r="AV42" s="20">
        <v>169.19368350572768</v>
      </c>
      <c r="AW42" s="20">
        <v>187.75791419175221</v>
      </c>
      <c r="AX42" s="20">
        <v>179.00769977204618</v>
      </c>
      <c r="AY42" s="20">
        <v>185.24556013362599</v>
      </c>
    </row>
    <row r="43" spans="1:51" ht="13">
      <c r="A43" s="222">
        <v>42</v>
      </c>
      <c r="B43" s="20">
        <v>142.57442204398103</v>
      </c>
      <c r="C43" s="20">
        <v>174.82385929797601</v>
      </c>
      <c r="D43" s="20">
        <v>178.98866859541158</v>
      </c>
      <c r="E43" s="20">
        <v>152.73727500316454</v>
      </c>
      <c r="F43" s="20">
        <v>174.09581447354867</v>
      </c>
      <c r="G43" s="20">
        <v>189.03344640493742</v>
      </c>
      <c r="H43" s="20">
        <v>181.23919049758115</v>
      </c>
      <c r="I43" s="20">
        <v>163.21861026954139</v>
      </c>
      <c r="J43" s="20">
        <v>183.72463488121866</v>
      </c>
      <c r="K43" s="20">
        <v>158.41068021545652</v>
      </c>
      <c r="L43" s="20">
        <v>168.26818169720354</v>
      </c>
      <c r="M43" s="20">
        <v>167.21669213511632</v>
      </c>
      <c r="N43" s="20">
        <v>180.01515842188383</v>
      </c>
      <c r="O43" s="20">
        <v>180.61510091756645</v>
      </c>
      <c r="P43" s="20">
        <v>187.60535782421357</v>
      </c>
      <c r="Q43" s="20">
        <v>179.92786398353928</v>
      </c>
      <c r="R43" s="20">
        <v>156.75360360619379</v>
      </c>
      <c r="S43" s="20">
        <v>184.04874468687922</v>
      </c>
      <c r="T43" s="20">
        <v>165.37179350125371</v>
      </c>
      <c r="U43" s="20">
        <v>167.52359543788771</v>
      </c>
      <c r="V43" s="20">
        <v>169.6462025945948</v>
      </c>
      <c r="W43" s="20">
        <v>181.85642476128123</v>
      </c>
      <c r="X43" s="20">
        <v>180.10016775479016</v>
      </c>
      <c r="Y43" s="20">
        <v>179.17205683334032</v>
      </c>
      <c r="Z43" s="20">
        <v>202.06594841583865</v>
      </c>
      <c r="AA43" s="20">
        <v>152.8505753056379</v>
      </c>
      <c r="AB43" s="20">
        <v>181.78263631925802</v>
      </c>
      <c r="AC43" s="20">
        <v>167.32153413686319</v>
      </c>
      <c r="AD43" s="20">
        <v>202.06594841583865</v>
      </c>
      <c r="AE43" s="20">
        <v>162.02658672300458</v>
      </c>
      <c r="AF43" s="20">
        <v>187.71841938432772</v>
      </c>
      <c r="AG43" s="20">
        <v>188.7375423037156</v>
      </c>
      <c r="AH43" s="20">
        <v>176.74176193468156</v>
      </c>
      <c r="AI43" s="20">
        <v>178.57642875314923</v>
      </c>
      <c r="AJ43" s="20">
        <v>177.33360424317652</v>
      </c>
      <c r="AK43" s="20">
        <v>173.2120243657846</v>
      </c>
      <c r="AL43" s="20">
        <v>175.5388585577748</v>
      </c>
      <c r="AM43" s="20">
        <v>166.37979784791241</v>
      </c>
      <c r="AN43" s="20">
        <v>159.39238879655022</v>
      </c>
      <c r="AO43" s="20">
        <v>172.63039681965893</v>
      </c>
      <c r="AP43" s="20">
        <v>162.68307705176994</v>
      </c>
      <c r="AQ43" s="20">
        <v>179.49268782176659</v>
      </c>
      <c r="AR43" s="20">
        <v>192.54732465997222</v>
      </c>
      <c r="AS43" s="20">
        <v>159.73535924858879</v>
      </c>
      <c r="AT43" s="20">
        <v>225.02075340598822</v>
      </c>
      <c r="AU43" s="20">
        <v>171.28527120876242</v>
      </c>
      <c r="AV43" s="20">
        <v>144.91941770829726</v>
      </c>
      <c r="AW43" s="20">
        <v>164.91323764130357</v>
      </c>
      <c r="AX43" s="20">
        <v>153.70500010321848</v>
      </c>
      <c r="AY43" s="20">
        <v>163.65110910628573</v>
      </c>
    </row>
    <row r="44" spans="1:51" ht="13">
      <c r="A44" s="222">
        <v>43</v>
      </c>
      <c r="B44" s="20">
        <v>194.96575065277284</v>
      </c>
      <c r="C44" s="20">
        <v>200.73819983808789</v>
      </c>
      <c r="D44" s="20">
        <v>178.63785375157022</v>
      </c>
      <c r="E44" s="20">
        <v>177.85077135231404</v>
      </c>
      <c r="F44" s="20">
        <v>182.83192604103533</v>
      </c>
      <c r="G44" s="20">
        <v>170.64155359621509</v>
      </c>
      <c r="H44" s="20">
        <v>195.61901795968879</v>
      </c>
      <c r="I44" s="20">
        <v>186.0501900962845</v>
      </c>
      <c r="J44" s="20">
        <v>184.98771838567336</v>
      </c>
      <c r="K44" s="20">
        <v>154.70382992207306</v>
      </c>
      <c r="L44" s="20">
        <v>151.68217019963777</v>
      </c>
      <c r="M44" s="20">
        <v>162.7568484407675</v>
      </c>
      <c r="N44" s="20">
        <v>197.95957983733388</v>
      </c>
      <c r="O44" s="20">
        <v>180.81622430217976</v>
      </c>
      <c r="P44" s="20">
        <v>149.8189566162182</v>
      </c>
      <c r="Q44" s="20">
        <v>136.52400854043663</v>
      </c>
      <c r="R44" s="20">
        <v>196.12658421538072</v>
      </c>
      <c r="S44" s="20">
        <v>179.48306991529535</v>
      </c>
      <c r="T44" s="20">
        <v>164.87868821131997</v>
      </c>
      <c r="U44" s="20">
        <v>175.96052872322616</v>
      </c>
      <c r="V44" s="20">
        <v>180.79148036194965</v>
      </c>
      <c r="W44" s="20">
        <v>175.40224676922662</v>
      </c>
      <c r="X44" s="20">
        <v>173.38987037037441</v>
      </c>
      <c r="Y44" s="20">
        <v>189.82630977989174</v>
      </c>
      <c r="Z44" s="20">
        <v>157.31775180101977</v>
      </c>
      <c r="AA44" s="20">
        <v>164.47297967788472</v>
      </c>
      <c r="AB44" s="20">
        <v>186.00206645787694</v>
      </c>
      <c r="AC44" s="20">
        <v>180.67545157537097</v>
      </c>
      <c r="AD44" s="20">
        <v>183.31070678941614</v>
      </c>
      <c r="AE44" s="20">
        <v>182.14173893356929</v>
      </c>
      <c r="AF44" s="20">
        <v>216.81347321718931</v>
      </c>
      <c r="AG44" s="20">
        <v>183.19322849565651</v>
      </c>
      <c r="AH44" s="20">
        <v>152.17643509531626</v>
      </c>
      <c r="AI44" s="20">
        <v>182.55316023060004</v>
      </c>
      <c r="AJ44" s="20">
        <v>184.3269818535191</v>
      </c>
      <c r="AK44" s="20">
        <v>165.838125540904</v>
      </c>
      <c r="AL44" s="20">
        <v>191.97990228421986</v>
      </c>
      <c r="AM44" s="20">
        <v>169.70242642019002</v>
      </c>
      <c r="AN44" s="20">
        <v>183.44348164719122</v>
      </c>
      <c r="AO44" s="20">
        <v>178.26787130688899</v>
      </c>
      <c r="AP44" s="20">
        <v>174.74352249410003</v>
      </c>
      <c r="AQ44" s="20">
        <v>186.39172809416777</v>
      </c>
      <c r="AR44" s="20">
        <v>181.62919319438515</v>
      </c>
      <c r="AS44" s="20">
        <v>209.99335434753448</v>
      </c>
      <c r="AT44" s="20">
        <v>188.79351033392595</v>
      </c>
      <c r="AU44" s="20">
        <v>152.36811110371491</v>
      </c>
      <c r="AV44" s="20">
        <v>167.34375422929588</v>
      </c>
      <c r="AW44" s="20">
        <v>179.31656417276827</v>
      </c>
      <c r="AX44" s="20">
        <v>166.06934751580411</v>
      </c>
      <c r="AY44" s="20">
        <v>146.50725903338753</v>
      </c>
    </row>
    <row r="45" spans="1:51" ht="13">
      <c r="A45" s="222">
        <v>44</v>
      </c>
      <c r="B45" s="20">
        <v>176.41175178214326</v>
      </c>
      <c r="C45" s="20">
        <v>164.37146301614121</v>
      </c>
      <c r="D45" s="20">
        <v>169.52495558216469</v>
      </c>
      <c r="E45" s="20">
        <v>156.48866779956734</v>
      </c>
      <c r="F45" s="20">
        <v>183.19721890366054</v>
      </c>
      <c r="G45" s="20">
        <v>169.0486986815813</v>
      </c>
      <c r="H45" s="20">
        <v>180.79767061026359</v>
      </c>
      <c r="I45" s="20">
        <v>135.76876414008439</v>
      </c>
      <c r="J45" s="20">
        <v>191.36694832996</v>
      </c>
      <c r="K45" s="20">
        <v>190.96292804606492</v>
      </c>
      <c r="L45" s="20">
        <v>182.36617380425741</v>
      </c>
      <c r="M45" s="20">
        <v>182.8398215919151</v>
      </c>
      <c r="N45" s="20">
        <v>187.58738393516978</v>
      </c>
      <c r="O45" s="20">
        <v>180.31955492988345</v>
      </c>
      <c r="P45" s="20">
        <v>178.3395792797819</v>
      </c>
      <c r="Q45" s="20">
        <v>161.53936472692294</v>
      </c>
      <c r="R45" s="20">
        <v>143.34903868148103</v>
      </c>
      <c r="S45" s="20">
        <v>166.07756707417138</v>
      </c>
      <c r="T45" s="20">
        <v>191.01763415237656</v>
      </c>
      <c r="U45" s="20">
        <v>181.33564241070417</v>
      </c>
      <c r="V45" s="20">
        <v>164.03094819979742</v>
      </c>
      <c r="W45" s="20">
        <v>159.30538425964187</v>
      </c>
      <c r="X45" s="20">
        <v>166.28488070709864</v>
      </c>
      <c r="Y45" s="20">
        <v>175.51244342103018</v>
      </c>
      <c r="Z45" s="20">
        <v>179.27471604780294</v>
      </c>
      <c r="AA45" s="20">
        <v>169.033794337156</v>
      </c>
      <c r="AB45" s="20">
        <v>166.91313122537395</v>
      </c>
      <c r="AC45" s="20">
        <v>187.16006921822554</v>
      </c>
      <c r="AD45" s="20">
        <v>170.83510543743614</v>
      </c>
      <c r="AE45" s="20">
        <v>173.4786995810282</v>
      </c>
      <c r="AF45" s="20">
        <v>185.3079571545095</v>
      </c>
      <c r="AG45" s="20">
        <v>177.17808064917335</v>
      </c>
      <c r="AH45" s="20">
        <v>141.60717442864552</v>
      </c>
      <c r="AI45" s="20">
        <v>185.89572378987214</v>
      </c>
      <c r="AJ45" s="20">
        <v>174.80204847815912</v>
      </c>
      <c r="AK45" s="20">
        <v>188.13091502197494</v>
      </c>
      <c r="AL45" s="20">
        <v>173.93827862251783</v>
      </c>
      <c r="AM45" s="20">
        <v>190.22043930890504</v>
      </c>
      <c r="AN45" s="20">
        <v>179.05647142542875</v>
      </c>
      <c r="AO45" s="20">
        <v>166.76543497014791</v>
      </c>
      <c r="AP45" s="20">
        <v>208.83074727025814</v>
      </c>
      <c r="AQ45" s="20">
        <v>160.0968151804409</v>
      </c>
      <c r="AR45" s="20">
        <v>188.35797605861444</v>
      </c>
      <c r="AS45" s="20">
        <v>205.75288077525329</v>
      </c>
      <c r="AT45" s="20">
        <v>182.60923057896434</v>
      </c>
      <c r="AU45" s="20">
        <v>180.2633822633652</v>
      </c>
      <c r="AV45" s="20">
        <v>192.06509920040844</v>
      </c>
      <c r="AW45" s="20">
        <v>175.28287558961893</v>
      </c>
      <c r="AX45" s="20">
        <v>174.09006760390184</v>
      </c>
      <c r="AY45" s="20">
        <v>185.66543973138323</v>
      </c>
    </row>
    <row r="46" spans="1:51" ht="13">
      <c r="A46" s="222">
        <v>45</v>
      </c>
      <c r="B46" s="20">
        <v>171.07548488711473</v>
      </c>
      <c r="C46" s="20">
        <v>168.07217422028771</v>
      </c>
      <c r="D46" s="20">
        <v>179.90243792228284</v>
      </c>
      <c r="E46" s="20">
        <v>164.27240199009248</v>
      </c>
      <c r="F46" s="20">
        <v>139.68468452803791</v>
      </c>
      <c r="G46" s="20">
        <v>190.63325895403977</v>
      </c>
      <c r="H46" s="20">
        <v>174.2934590409277</v>
      </c>
      <c r="I46" s="20">
        <v>184.29219368117629</v>
      </c>
      <c r="J46" s="20">
        <v>163.95584667479852</v>
      </c>
      <c r="K46" s="20">
        <v>173.51561938157829</v>
      </c>
      <c r="L46" s="20">
        <v>180.96869540459011</v>
      </c>
      <c r="M46" s="20">
        <v>184.73560645434191</v>
      </c>
      <c r="N46" s="20">
        <v>141.41290636034682</v>
      </c>
      <c r="O46" s="20">
        <v>174.32103378341708</v>
      </c>
      <c r="P46" s="20">
        <v>155.2273578097811</v>
      </c>
      <c r="Q46" s="20">
        <v>156.14723211983801</v>
      </c>
      <c r="R46" s="20">
        <v>167.85568605955632</v>
      </c>
      <c r="S46" s="20">
        <v>155.5590050527826</v>
      </c>
      <c r="T46" s="20">
        <v>176.73019998328527</v>
      </c>
      <c r="U46" s="20">
        <v>162.23055796290282</v>
      </c>
      <c r="V46" s="20">
        <v>180.89918727200711</v>
      </c>
      <c r="W46" s="20">
        <v>169.49061078848899</v>
      </c>
      <c r="X46" s="20">
        <v>180.07951654071803</v>
      </c>
      <c r="Y46" s="20">
        <v>169.06979327432055</v>
      </c>
      <c r="Z46" s="20">
        <v>204.01879270211793</v>
      </c>
      <c r="AA46" s="20">
        <v>156.63764303171774</v>
      </c>
      <c r="AB46" s="20">
        <v>160.85594767064322</v>
      </c>
      <c r="AC46" s="20">
        <v>174.20844970802136</v>
      </c>
      <c r="AD46" s="20">
        <v>189.91068815084873</v>
      </c>
      <c r="AE46" s="20">
        <v>158.90709379236796</v>
      </c>
      <c r="AF46" s="20">
        <v>195.68115918518743</v>
      </c>
      <c r="AG46" s="20">
        <v>177.02049363906553</v>
      </c>
      <c r="AH46" s="20">
        <v>165.38308260423946</v>
      </c>
      <c r="AI46" s="20">
        <v>166.040562008493</v>
      </c>
      <c r="AJ46" s="20">
        <v>168.70572822954273</v>
      </c>
      <c r="AK46" s="20">
        <v>187.33784701071272</v>
      </c>
      <c r="AL46" s="20">
        <v>156.6011495568091</v>
      </c>
      <c r="AM46" s="20">
        <v>184.95906930256751</v>
      </c>
      <c r="AN46" s="20">
        <v>181.02834688834264</v>
      </c>
      <c r="AO46" s="20">
        <v>165.62424649309833</v>
      </c>
      <c r="AP46" s="20">
        <v>176.21593188850966</v>
      </c>
      <c r="AQ46" s="20">
        <v>179.31059561378788</v>
      </c>
      <c r="AR46" s="20">
        <v>184.14942575036548</v>
      </c>
      <c r="AS46" s="20">
        <v>188.37332378170686</v>
      </c>
      <c r="AT46" s="20">
        <v>164.41566445864737</v>
      </c>
      <c r="AU46" s="20">
        <v>174.44622004477424</v>
      </c>
      <c r="AV46" s="20">
        <v>205.25397745659575</v>
      </c>
      <c r="AW46" s="20">
        <v>194.97970002776128</v>
      </c>
      <c r="AX46" s="20">
        <v>156.64978478598641</v>
      </c>
      <c r="AY46" s="20">
        <v>169.78174004252651</v>
      </c>
    </row>
    <row r="47" spans="1:51" ht="13">
      <c r="A47" s="222">
        <v>46</v>
      </c>
      <c r="B47" s="20">
        <v>138.38592609390616</v>
      </c>
      <c r="C47" s="20">
        <v>172.01005890528904</v>
      </c>
      <c r="D47" s="20">
        <v>207.99446689197794</v>
      </c>
      <c r="E47" s="20">
        <v>191.23645857762313</v>
      </c>
      <c r="F47" s="20">
        <v>152.29260030610021</v>
      </c>
      <c r="G47" s="20">
        <v>191.0847548613674</v>
      </c>
      <c r="H47" s="20">
        <v>154.66938281024341</v>
      </c>
      <c r="I47" s="20">
        <v>178.17041326525214</v>
      </c>
      <c r="J47" s="20">
        <v>139.2677721567452</v>
      </c>
      <c r="K47" s="20">
        <v>155.41456592545728</v>
      </c>
      <c r="L47" s="20">
        <v>198.99012828391278</v>
      </c>
      <c r="M47" s="20">
        <v>204.20746737800073</v>
      </c>
      <c r="N47" s="20">
        <v>196.81368472520262</v>
      </c>
      <c r="O47" s="20">
        <v>158.45078893180471</v>
      </c>
      <c r="P47" s="20">
        <v>164.92906284911442</v>
      </c>
      <c r="Q47" s="20">
        <v>169.89618289771897</v>
      </c>
      <c r="R47" s="20">
        <v>153.73330812581116</v>
      </c>
      <c r="S47" s="20">
        <v>195.64562067971565</v>
      </c>
      <c r="T47" s="20">
        <v>176.69440568242862</v>
      </c>
      <c r="U47" s="20">
        <v>177.37889707932482</v>
      </c>
      <c r="V47" s="20">
        <v>166.97145257312513</v>
      </c>
      <c r="W47" s="20">
        <v>183.67439666762948</v>
      </c>
      <c r="X47" s="20">
        <v>158.40433648991166</v>
      </c>
      <c r="Y47" s="20">
        <v>182.61966703066719</v>
      </c>
      <c r="Z47" s="20">
        <v>176.02031663118396</v>
      </c>
      <c r="AA47" s="20">
        <v>161.55822537330096</v>
      </c>
      <c r="AB47" s="20">
        <v>159.88863184320508</v>
      </c>
      <c r="AC47" s="20">
        <v>181.09807671025919</v>
      </c>
      <c r="AD47" s="20">
        <v>180.61632873541384</v>
      </c>
      <c r="AE47" s="20">
        <v>174.60119794195634</v>
      </c>
      <c r="AF47" s="20">
        <v>162.01156300739967</v>
      </c>
      <c r="AG47" s="20">
        <v>194.73713779079844</v>
      </c>
      <c r="AH47" s="20">
        <v>163.14818127357285</v>
      </c>
      <c r="AI47" s="20">
        <v>182.43615942155884</v>
      </c>
      <c r="AJ47" s="20">
        <v>168.55629256569955</v>
      </c>
      <c r="AK47" s="20">
        <v>191.8541873790673</v>
      </c>
      <c r="AL47" s="20">
        <v>168.62668745561677</v>
      </c>
      <c r="AM47" s="20">
        <v>187.40072151631466</v>
      </c>
      <c r="AN47" s="20">
        <v>156.3154090588796</v>
      </c>
      <c r="AO47" s="20">
        <v>187.53199570783181</v>
      </c>
      <c r="AP47" s="20">
        <v>165.12657099228818</v>
      </c>
      <c r="AQ47" s="20">
        <v>177.87179773295065</v>
      </c>
      <c r="AR47" s="20">
        <v>160.89530605386244</v>
      </c>
      <c r="AS47" s="20">
        <v>167.06266920737107</v>
      </c>
      <c r="AT47" s="20">
        <v>192.57921381795313</v>
      </c>
      <c r="AU47" s="20">
        <v>180.55853603145806</v>
      </c>
      <c r="AV47" s="20">
        <v>162.41913032063167</v>
      </c>
      <c r="AW47" s="20">
        <v>169.11196540677338</v>
      </c>
      <c r="AX47" s="20">
        <v>190.52698449813761</v>
      </c>
      <c r="AY47" s="20">
        <v>190.71644361320068</v>
      </c>
    </row>
    <row r="48" spans="1:51" ht="13">
      <c r="A48" s="222">
        <v>47</v>
      </c>
      <c r="B48" s="20">
        <v>188.03690169152105</v>
      </c>
      <c r="C48" s="20">
        <v>152.8880237499834</v>
      </c>
      <c r="D48" s="20">
        <v>168.90690277323301</v>
      </c>
      <c r="E48" s="20">
        <v>175.6651703188254</v>
      </c>
      <c r="F48" s="20">
        <v>133.45828379970044</v>
      </c>
      <c r="G48" s="20">
        <v>151.14902440545848</v>
      </c>
      <c r="H48" s="20">
        <v>164.5725522947032</v>
      </c>
      <c r="I48" s="20">
        <v>175.84441467151919</v>
      </c>
      <c r="J48" s="20">
        <v>141.95369191002101</v>
      </c>
      <c r="K48" s="20">
        <v>174.84567011779291</v>
      </c>
      <c r="L48" s="20">
        <v>191.0847548613674</v>
      </c>
      <c r="M48" s="20">
        <v>188.39041091341642</v>
      </c>
      <c r="N48" s="20">
        <v>195.48116130026756</v>
      </c>
      <c r="O48" s="20">
        <v>196.76423095079372</v>
      </c>
      <c r="P48" s="20">
        <v>188.06036665482679</v>
      </c>
      <c r="Q48" s="20">
        <v>168.58773834501335</v>
      </c>
      <c r="R48" s="20">
        <v>200.43342816352379</v>
      </c>
      <c r="S48" s="20">
        <v>190.96899892319925</v>
      </c>
      <c r="T48" s="20">
        <v>166.03781647136202</v>
      </c>
      <c r="U48" s="20">
        <v>195.60128281300422</v>
      </c>
      <c r="V48" s="20">
        <v>140.90131559059955</v>
      </c>
      <c r="W48" s="20">
        <v>151.55843344546156</v>
      </c>
      <c r="X48" s="20">
        <v>164.77759787521791</v>
      </c>
      <c r="Y48" s="20">
        <v>160.30404354823986</v>
      </c>
      <c r="Z48" s="20">
        <v>149.09522620728239</v>
      </c>
      <c r="AA48" s="20">
        <v>188.36479726887774</v>
      </c>
      <c r="AB48" s="20">
        <v>196.54949925170513</v>
      </c>
      <c r="AC48" s="20">
        <v>192.43409256960149</v>
      </c>
      <c r="AD48" s="20">
        <v>204.34621079475619</v>
      </c>
      <c r="AE48" s="20">
        <v>192.12222683636355</v>
      </c>
      <c r="AF48" s="20">
        <v>197.41927177237812</v>
      </c>
      <c r="AG48" s="20">
        <v>142.00553310802206</v>
      </c>
      <c r="AH48" s="20">
        <v>196.3359271583613</v>
      </c>
      <c r="AI48" s="20">
        <v>172.9018980411638</v>
      </c>
      <c r="AJ48" s="20">
        <v>175.6077527814341</v>
      </c>
      <c r="AK48" s="20">
        <v>185.01493501462392</v>
      </c>
      <c r="AL48" s="20">
        <v>158.46555685202475</v>
      </c>
      <c r="AM48" s="20">
        <v>200.61896508268546</v>
      </c>
      <c r="AN48" s="20">
        <v>169.37997075801832</v>
      </c>
      <c r="AO48" s="20">
        <v>180.70505562791368</v>
      </c>
      <c r="AP48" s="20">
        <v>178.54812073055655</v>
      </c>
      <c r="AQ48" s="20">
        <v>194.40651372933644</v>
      </c>
      <c r="AR48" s="20">
        <v>159.9000573703961</v>
      </c>
      <c r="AS48" s="20">
        <v>175.20941115508322</v>
      </c>
      <c r="AT48" s="20">
        <v>180.88431703363312</v>
      </c>
      <c r="AU48" s="20">
        <v>176.3449209745886</v>
      </c>
      <c r="AV48" s="20">
        <v>183.22655010779272</v>
      </c>
      <c r="AW48" s="20">
        <v>189.99557811257546</v>
      </c>
      <c r="AX48" s="20">
        <v>180.38070707989391</v>
      </c>
      <c r="AY48" s="20">
        <v>182.89906380305183</v>
      </c>
    </row>
    <row r="49" spans="1:51" ht="13">
      <c r="A49" s="222">
        <v>48</v>
      </c>
      <c r="B49" s="20">
        <v>174.869766043048</v>
      </c>
      <c r="C49" s="20">
        <v>179.92544245389581</v>
      </c>
      <c r="D49" s="20">
        <v>188.49327476418694</v>
      </c>
      <c r="E49" s="20">
        <v>177.92558297587675</v>
      </c>
      <c r="F49" s="20">
        <v>178.91264620702714</v>
      </c>
      <c r="G49" s="20">
        <v>165.32805249044031</v>
      </c>
      <c r="H49" s="20">
        <v>178.75497393179103</v>
      </c>
      <c r="I49" s="20">
        <v>179.7972548600228</v>
      </c>
      <c r="J49" s="20">
        <v>214.19631126336753</v>
      </c>
      <c r="K49" s="20">
        <v>166.48382130442769</v>
      </c>
      <c r="L49" s="20">
        <v>173.81515577726532</v>
      </c>
      <c r="M49" s="20">
        <v>175.2656520337041</v>
      </c>
      <c r="N49" s="20">
        <v>193.26805373639218</v>
      </c>
      <c r="O49" s="20">
        <v>202.04841790546197</v>
      </c>
      <c r="P49" s="20">
        <v>172.95172698213719</v>
      </c>
      <c r="Q49" s="20">
        <v>165.70222997943347</v>
      </c>
      <c r="R49" s="20">
        <v>168.02872311091051</v>
      </c>
      <c r="S49" s="20">
        <v>159.41210209421115</v>
      </c>
      <c r="T49" s="20">
        <v>177.26276597459218</v>
      </c>
      <c r="U49" s="20">
        <v>177.2372375951818</v>
      </c>
      <c r="V49" s="20">
        <v>179.4099465412728</v>
      </c>
      <c r="W49" s="20">
        <v>176.54435610966175</v>
      </c>
      <c r="X49" s="20">
        <v>162.88290440643323</v>
      </c>
      <c r="Y49" s="20">
        <v>161.56678599218139</v>
      </c>
      <c r="Z49" s="20">
        <v>191.61899204918882</v>
      </c>
      <c r="AA49" s="20">
        <v>190.15147687314311</v>
      </c>
      <c r="AB49" s="20">
        <v>188.77076159769786</v>
      </c>
      <c r="AC49" s="20">
        <v>185.07668402053241</v>
      </c>
      <c r="AD49" s="20">
        <v>157.22317572071915</v>
      </c>
      <c r="AE49" s="20">
        <v>190.74229600009858</v>
      </c>
      <c r="AF49" s="20">
        <v>183.32675368656055</v>
      </c>
      <c r="AG49" s="20">
        <v>182.34030436433386</v>
      </c>
      <c r="AH49" s="20">
        <v>170.94709265693382</v>
      </c>
      <c r="AI49" s="20">
        <v>136.27189660910517</v>
      </c>
      <c r="AJ49" s="20">
        <v>177.39866153606272</v>
      </c>
      <c r="AK49" s="20">
        <v>173.8865056366194</v>
      </c>
      <c r="AL49" s="20">
        <v>163.32450955887907</v>
      </c>
      <c r="AM49" s="20">
        <v>171.99368800065713</v>
      </c>
      <c r="AN49" s="20">
        <v>172.0896283230104</v>
      </c>
      <c r="AO49" s="20">
        <v>164.69785792723997</v>
      </c>
      <c r="AP49" s="20">
        <v>187.96340315093403</v>
      </c>
      <c r="AQ49" s="20">
        <v>204.46380845969543</v>
      </c>
      <c r="AR49" s="20">
        <v>179.15534486819524</v>
      </c>
      <c r="AS49" s="20">
        <v>183.6553995970462</v>
      </c>
      <c r="AT49" s="20">
        <v>177.27437908506545</v>
      </c>
      <c r="AU49" s="20">
        <v>172.15040530645638</v>
      </c>
      <c r="AV49" s="20">
        <v>173.65393647269229</v>
      </c>
      <c r="AW49" s="20">
        <v>176.07897903944831</v>
      </c>
      <c r="AX49" s="20">
        <v>148.97715105762472</v>
      </c>
      <c r="AY49" s="20">
        <v>157.30165374479839</v>
      </c>
    </row>
    <row r="50" spans="1:51" ht="13">
      <c r="A50" s="222">
        <v>49</v>
      </c>
      <c r="B50" s="20">
        <v>168.68691874224169</v>
      </c>
      <c r="C50" s="20">
        <v>197.80535227328073</v>
      </c>
      <c r="D50" s="20">
        <v>152.49621343245963</v>
      </c>
      <c r="E50" s="20">
        <v>168.64928271461395</v>
      </c>
      <c r="F50" s="20">
        <v>183.17724981061474</v>
      </c>
      <c r="G50" s="20">
        <v>151.73578491230728</v>
      </c>
      <c r="H50" s="20">
        <v>154.88012410132797</v>
      </c>
      <c r="I50" s="20">
        <v>185.80331344383012</v>
      </c>
      <c r="J50" s="20">
        <v>191.26326593395788</v>
      </c>
      <c r="K50" s="20">
        <v>174.58513399178628</v>
      </c>
      <c r="L50" s="20">
        <v>175.78005655268498</v>
      </c>
      <c r="M50" s="20">
        <v>160.61792153850547</v>
      </c>
      <c r="N50" s="20">
        <v>143.95994627266191</v>
      </c>
      <c r="O50" s="20">
        <v>175.33567175705684</v>
      </c>
      <c r="P50" s="20">
        <v>158.8682811059698</v>
      </c>
      <c r="Q50" s="20">
        <v>186.02461055779713</v>
      </c>
      <c r="R50" s="20">
        <v>168.40368503908394</v>
      </c>
      <c r="S50" s="20">
        <v>185.69354311766801</v>
      </c>
      <c r="T50" s="20">
        <v>165.9264602138137</v>
      </c>
      <c r="U50" s="20">
        <v>169.6180651022587</v>
      </c>
      <c r="V50" s="20">
        <v>179.79844857181888</v>
      </c>
      <c r="W50" s="20">
        <v>178.55755105374556</v>
      </c>
      <c r="X50" s="20">
        <v>190.6906253323541</v>
      </c>
      <c r="Y50" s="20">
        <v>183.37634388517472</v>
      </c>
      <c r="Z50" s="20">
        <v>169.41441786984797</v>
      </c>
      <c r="AA50" s="20">
        <v>192.72368705132976</v>
      </c>
      <c r="AB50" s="20">
        <v>153.13999925710959</v>
      </c>
      <c r="AC50" s="20">
        <v>165.9099187789252</v>
      </c>
      <c r="AD50" s="20">
        <v>178.66740664503595</v>
      </c>
      <c r="AE50" s="20">
        <v>179.66579308522341</v>
      </c>
      <c r="AF50" s="20">
        <v>184.78239995674812</v>
      </c>
      <c r="AG50" s="20">
        <v>183.29465989227174</v>
      </c>
      <c r="AH50" s="20">
        <v>177.15836735151242</v>
      </c>
      <c r="AI50" s="20">
        <v>151.9884425404598</v>
      </c>
      <c r="AJ50" s="20">
        <v>146.0996235080529</v>
      </c>
      <c r="AK50" s="20">
        <v>168.17031438295089</v>
      </c>
      <c r="AL50" s="20">
        <v>173.58364390092902</v>
      </c>
      <c r="AM50" s="20">
        <v>180.74330556446512</v>
      </c>
      <c r="AN50" s="20">
        <v>183.50403694130364</v>
      </c>
      <c r="AO50" s="20">
        <v>191.1542629939504</v>
      </c>
      <c r="AP50" s="20">
        <v>164.73704578020261</v>
      </c>
      <c r="AQ50" s="20">
        <v>178.16572368319612</v>
      </c>
      <c r="AR50" s="20">
        <v>182.0736973611929</v>
      </c>
      <c r="AS50" s="20">
        <v>184.83782229013741</v>
      </c>
      <c r="AT50" s="20">
        <v>199.69660103088245</v>
      </c>
      <c r="AU50" s="20">
        <v>165.45905383354693</v>
      </c>
      <c r="AV50" s="20">
        <v>182.67846586313681</v>
      </c>
      <c r="AW50" s="20">
        <v>167.19305664155399</v>
      </c>
      <c r="AX50" s="20">
        <v>163.52542830718448</v>
      </c>
      <c r="AY50" s="20">
        <v>170.50252027802344</v>
      </c>
    </row>
    <row r="51" spans="1:51" ht="13">
      <c r="A51" s="222">
        <v>50</v>
      </c>
      <c r="B51" s="20">
        <v>163.73951199129806</v>
      </c>
      <c r="C51" s="20">
        <v>199.21966200927272</v>
      </c>
      <c r="D51" s="20">
        <v>190.40979610581417</v>
      </c>
      <c r="E51" s="20">
        <v>211.65936674224213</v>
      </c>
      <c r="F51" s="20">
        <v>171.58627416465606</v>
      </c>
      <c r="G51" s="20">
        <v>195.55425056823879</v>
      </c>
      <c r="H51" s="20">
        <v>182.65493268772843</v>
      </c>
      <c r="I51" s="20">
        <v>166.18552977961372</v>
      </c>
      <c r="J51" s="20">
        <v>189.35121248505311</v>
      </c>
      <c r="K51" s="20">
        <v>176.52474513015477</v>
      </c>
      <c r="L51" s="20">
        <v>211.3706931238994</v>
      </c>
      <c r="M51" s="20">
        <v>169.18253082694719</v>
      </c>
      <c r="N51" s="20">
        <v>165.91268136908184</v>
      </c>
      <c r="O51" s="20">
        <v>180.0175799515273</v>
      </c>
      <c r="P51" s="20">
        <v>168.93805865111062</v>
      </c>
      <c r="Q51" s="20">
        <v>188.87601287206053</v>
      </c>
      <c r="R51" s="20">
        <v>155.53506260475842</v>
      </c>
      <c r="S51" s="20">
        <v>200.2422978519462</v>
      </c>
      <c r="T51" s="20">
        <v>170.52293274973636</v>
      </c>
      <c r="U51" s="20">
        <v>174.19695596872771</v>
      </c>
      <c r="V51" s="20">
        <v>171.48728135070996</v>
      </c>
      <c r="W51" s="20">
        <v>170.29443925894157</v>
      </c>
      <c r="X51" s="20">
        <v>174.40143879939569</v>
      </c>
      <c r="Y51" s="20">
        <v>185.96304913517088</v>
      </c>
      <c r="Z51" s="20">
        <v>180.62371269552386</v>
      </c>
      <c r="AA51" s="20">
        <v>182.44654471418471</v>
      </c>
      <c r="AB51" s="20">
        <v>171.91519292355224</v>
      </c>
      <c r="AC51" s="20">
        <v>173.19700065017969</v>
      </c>
      <c r="AD51" s="20">
        <v>187.33946704815025</v>
      </c>
      <c r="AE51" s="20">
        <v>180.37579580850434</v>
      </c>
      <c r="AF51" s="20">
        <v>170.32697643189749</v>
      </c>
      <c r="AG51" s="20">
        <v>160.50117652484914</v>
      </c>
      <c r="AH51" s="20">
        <v>188.78999741064035</v>
      </c>
      <c r="AI51" s="20">
        <v>162.74726464034757</v>
      </c>
      <c r="AJ51" s="20">
        <v>165.50115775389713</v>
      </c>
      <c r="AK51" s="20">
        <v>160.91314351870096</v>
      </c>
      <c r="AL51" s="20">
        <v>176.40944962367939</v>
      </c>
      <c r="AM51" s="20">
        <v>181.21166691416875</v>
      </c>
      <c r="AN51" s="20">
        <v>180.80880623601843</v>
      </c>
      <c r="AO51" s="20">
        <v>155.51903276063967</v>
      </c>
      <c r="AP51" s="20">
        <v>175.80304403127229</v>
      </c>
      <c r="AQ51" s="20">
        <v>171.93512791054673</v>
      </c>
      <c r="AR51" s="20">
        <v>168.50214920923463</v>
      </c>
      <c r="AS51" s="20">
        <v>195.75861402772716</v>
      </c>
      <c r="AT51" s="20">
        <v>165.25729948698427</v>
      </c>
      <c r="AU51" s="20">
        <v>164.78629491830361</v>
      </c>
      <c r="AV51" s="20">
        <v>190.4253825712658</v>
      </c>
      <c r="AW51" s="20">
        <v>136.49290382163599</v>
      </c>
      <c r="AX51" s="20">
        <v>160.04787299680174</v>
      </c>
      <c r="AY51" s="20">
        <v>189.18347892467864</v>
      </c>
    </row>
    <row r="52" spans="1:51" ht="13">
      <c r="A52" s="222">
        <v>51</v>
      </c>
      <c r="B52" s="20">
        <v>194.82475623663049</v>
      </c>
      <c r="C52" s="20">
        <v>174.36238737063832</v>
      </c>
      <c r="D52" s="20">
        <v>179.45547811978031</v>
      </c>
      <c r="E52" s="20">
        <v>163.50390738880378</v>
      </c>
      <c r="F52" s="20">
        <v>156.4960347066517</v>
      </c>
      <c r="G52" s="20">
        <v>182.0929331741354</v>
      </c>
      <c r="H52" s="20">
        <v>184.75968532657134</v>
      </c>
      <c r="I52" s="20">
        <v>166.040562008493</v>
      </c>
      <c r="J52" s="20">
        <v>191.96465687928139</v>
      </c>
      <c r="K52" s="20">
        <v>209.20591383473948</v>
      </c>
      <c r="L52" s="20">
        <v>200.73315214249305</v>
      </c>
      <c r="M52" s="20">
        <v>174.18201751825109</v>
      </c>
      <c r="N52" s="20">
        <v>202.36342139542103</v>
      </c>
      <c r="O52" s="20">
        <v>191.12148707863525</v>
      </c>
      <c r="P52" s="20">
        <v>153.83624018868431</v>
      </c>
      <c r="Q52" s="20">
        <v>168.0836509065557</v>
      </c>
      <c r="R52" s="20">
        <v>177.88114279101137</v>
      </c>
      <c r="S52" s="20">
        <v>165.98976104505709</v>
      </c>
      <c r="T52" s="20">
        <v>153.26203070871998</v>
      </c>
      <c r="U52" s="20">
        <v>182.10449512553168</v>
      </c>
      <c r="V52" s="20">
        <v>165.97465206432389</v>
      </c>
      <c r="W52" s="20">
        <v>172.40004454906739</v>
      </c>
      <c r="X52" s="20">
        <v>156.81594946800033</v>
      </c>
      <c r="Y52" s="20">
        <v>165.06664666012512</v>
      </c>
      <c r="Z52" s="20">
        <v>189.25898972229334</v>
      </c>
      <c r="AA52" s="20">
        <v>198.17676717211725</v>
      </c>
      <c r="AB52" s="20">
        <v>156.54750073808827</v>
      </c>
      <c r="AC52" s="20">
        <v>178.12465999741107</v>
      </c>
      <c r="AD52" s="20">
        <v>165.21618464212224</v>
      </c>
      <c r="AE52" s="20">
        <v>167.38555119518423</v>
      </c>
      <c r="AF52" s="20">
        <v>170.29805450038111</v>
      </c>
      <c r="AG52" s="20">
        <v>183.15063003756222</v>
      </c>
      <c r="AH52" s="20">
        <v>136.142020765692</v>
      </c>
      <c r="AI52" s="20">
        <v>132.5960828224197</v>
      </c>
      <c r="AJ52" s="20">
        <v>177.73984142040717</v>
      </c>
      <c r="AK52" s="20">
        <v>200.37565251259366</v>
      </c>
      <c r="AL52" s="20">
        <v>182.36746983420744</v>
      </c>
      <c r="AM52" s="20">
        <v>192.144259345514</v>
      </c>
      <c r="AN52" s="20">
        <v>177.97822566608374</v>
      </c>
      <c r="AO52" s="20">
        <v>196.38333456969121</v>
      </c>
      <c r="AP52" s="20">
        <v>166.48651568248169</v>
      </c>
      <c r="AQ52" s="20">
        <v>161.75423285021679</v>
      </c>
      <c r="AR52" s="20">
        <v>174.33941694507666</v>
      </c>
      <c r="AS52" s="20">
        <v>160.44984691761783</v>
      </c>
      <c r="AT52" s="20">
        <v>161.67780118921655</v>
      </c>
      <c r="AU52" s="20">
        <v>156.30545009189518</v>
      </c>
      <c r="AV52" s="20">
        <v>167.33722292046878</v>
      </c>
      <c r="AW52" s="20">
        <v>180.01879071634903</v>
      </c>
      <c r="AX52" s="20">
        <v>144.79840943822637</v>
      </c>
      <c r="AY52" s="20">
        <v>189.70335746489582</v>
      </c>
    </row>
    <row r="53" spans="1:51" ht="13">
      <c r="A53" s="222">
        <v>52</v>
      </c>
      <c r="B53" s="20">
        <v>180.33790398549172</v>
      </c>
      <c r="C53" s="20">
        <v>169.94843336833583</v>
      </c>
      <c r="D53" s="20">
        <v>180.66927838008269</v>
      </c>
      <c r="E53" s="20">
        <v>166.3079705038399</v>
      </c>
      <c r="F53" s="20">
        <v>190.80614252816304</v>
      </c>
      <c r="G53" s="20">
        <v>176.78219465851726</v>
      </c>
      <c r="H53" s="20">
        <v>163.69993191874528</v>
      </c>
      <c r="I53" s="20">
        <v>172.54204509372357</v>
      </c>
      <c r="J53" s="20">
        <v>143.18764884665143</v>
      </c>
      <c r="K53" s="20">
        <v>167.67134285219072</v>
      </c>
      <c r="L53" s="20">
        <v>186.89891918329522</v>
      </c>
      <c r="M53" s="20">
        <v>168.25928001780994</v>
      </c>
      <c r="N53" s="20">
        <v>162.07322674817988</v>
      </c>
      <c r="O53" s="20">
        <v>175.23466668608307</v>
      </c>
      <c r="P53" s="20">
        <v>161.14332525903592</v>
      </c>
      <c r="Q53" s="20">
        <v>186.72992369902204</v>
      </c>
      <c r="R53" s="20">
        <v>166.49865743675036</v>
      </c>
      <c r="S53" s="20">
        <v>187.23193066834938</v>
      </c>
      <c r="T53" s="20">
        <v>188.84262304782169</v>
      </c>
      <c r="U53" s="20">
        <v>187.4055645756016</v>
      </c>
      <c r="V53" s="20">
        <v>149.57134668366052</v>
      </c>
      <c r="W53" s="20">
        <v>163.11049408686813</v>
      </c>
      <c r="X53" s="20">
        <v>160.69946910720319</v>
      </c>
      <c r="Y53" s="20">
        <v>186.32447096097167</v>
      </c>
      <c r="Z53" s="20">
        <v>173.21434357727412</v>
      </c>
      <c r="AA53" s="20">
        <v>183.27593567009899</v>
      </c>
      <c r="AB53" s="20">
        <v>165.95950897753937</v>
      </c>
      <c r="AC53" s="20">
        <v>173.66890902922023</v>
      </c>
      <c r="AD53" s="20">
        <v>154.22044485676452</v>
      </c>
      <c r="AE53" s="20">
        <v>179.87339661958686</v>
      </c>
      <c r="AF53" s="20">
        <v>169.93264226657629</v>
      </c>
      <c r="AG53" s="20">
        <v>188.21021159128577</v>
      </c>
      <c r="AH53" s="20">
        <v>180.18292608830961</v>
      </c>
      <c r="AI53" s="20">
        <v>185.78249169950141</v>
      </c>
      <c r="AJ53" s="20">
        <v>193.07682110666065</v>
      </c>
      <c r="AK53" s="20">
        <v>177.01355305762263</v>
      </c>
      <c r="AL53" s="20">
        <v>166.06387349456782</v>
      </c>
      <c r="AM53" s="20">
        <v>200.85395577625604</v>
      </c>
      <c r="AN53" s="20">
        <v>187.45246039616177</v>
      </c>
      <c r="AO53" s="20">
        <v>189.37842911400367</v>
      </c>
      <c r="AP53" s="20">
        <v>200.09686964913271</v>
      </c>
      <c r="AQ53" s="20">
        <v>186.20278056987445</v>
      </c>
      <c r="AR53" s="20">
        <v>182.12504402144987</v>
      </c>
      <c r="AS53" s="20">
        <v>177.84725842902844</v>
      </c>
      <c r="AT53" s="20">
        <v>168.71449348473107</v>
      </c>
      <c r="AU53" s="20">
        <v>167.10618852885091</v>
      </c>
      <c r="AV53" s="20">
        <v>173.42910938241403</v>
      </c>
      <c r="AW53" s="20">
        <v>205.00377546413802</v>
      </c>
      <c r="AX53" s="20">
        <v>176.80762071977369</v>
      </c>
      <c r="AY53" s="20">
        <v>179.14700593864836</v>
      </c>
    </row>
    <row r="54" spans="1:51" ht="13">
      <c r="A54" s="222">
        <v>53</v>
      </c>
      <c r="B54" s="20">
        <v>158.76766825458617</v>
      </c>
      <c r="C54" s="20">
        <v>188.09392700932221</v>
      </c>
      <c r="D54" s="20">
        <v>167.66876784531632</v>
      </c>
      <c r="E54" s="20">
        <v>192.98701987354434</v>
      </c>
      <c r="F54" s="20">
        <v>177.50797143053205</v>
      </c>
      <c r="G54" s="20">
        <v>192.37109869281994</v>
      </c>
      <c r="H54" s="20">
        <v>184.18953446671367</v>
      </c>
      <c r="I54" s="20">
        <v>186.12256313717808</v>
      </c>
      <c r="J54" s="20">
        <v>174.5185589796165</v>
      </c>
      <c r="K54" s="20">
        <v>170.99823468088289</v>
      </c>
      <c r="L54" s="20">
        <v>166.27401792975434</v>
      </c>
      <c r="M54" s="20">
        <v>201.61649887159001</v>
      </c>
      <c r="N54" s="20">
        <v>195.24753484874964</v>
      </c>
      <c r="O54" s="20">
        <v>176.97765643861203</v>
      </c>
      <c r="P54" s="20">
        <v>164.64113956390065</v>
      </c>
      <c r="Q54" s="20">
        <v>177.67103246187617</v>
      </c>
      <c r="R54" s="20">
        <v>158.48240524137509</v>
      </c>
      <c r="S54" s="20">
        <v>151.75870417879196</v>
      </c>
      <c r="T54" s="20">
        <v>161.80668795714155</v>
      </c>
      <c r="U54" s="20">
        <v>167.11278804978065</v>
      </c>
      <c r="V54" s="20">
        <v>169.15531419799663</v>
      </c>
      <c r="W54" s="20">
        <v>201.2004050455289</v>
      </c>
      <c r="X54" s="20">
        <v>181.60262458040961</v>
      </c>
      <c r="Y54" s="20">
        <v>200.04127678548684</v>
      </c>
      <c r="Z54" s="20">
        <v>163.66485384496627</v>
      </c>
      <c r="AA54" s="20">
        <v>173.73110141379584</v>
      </c>
      <c r="AB54" s="20">
        <v>188.36991317657521</v>
      </c>
      <c r="AC54" s="20">
        <v>167.76300286510377</v>
      </c>
      <c r="AD54" s="20">
        <v>171.58745082342648</v>
      </c>
      <c r="AE54" s="20">
        <v>159.07946577572147</v>
      </c>
      <c r="AF54" s="20">
        <v>197.53564161946997</v>
      </c>
      <c r="AG54" s="20">
        <v>197.49321369163226</v>
      </c>
      <c r="AH54" s="20">
        <v>167.2507981864328</v>
      </c>
      <c r="AI54" s="20">
        <v>161.13452589779627</v>
      </c>
      <c r="AJ54" s="20">
        <v>189.52447122574085</v>
      </c>
      <c r="AK54" s="20">
        <v>189.20141870767111</v>
      </c>
      <c r="AL54" s="20">
        <v>149.60511167446384</v>
      </c>
      <c r="AM54" s="20">
        <v>146.58365658833645</v>
      </c>
      <c r="AN54" s="20">
        <v>200.96104877738981</v>
      </c>
      <c r="AO54" s="20">
        <v>181.5470487697894</v>
      </c>
      <c r="AP54" s="20">
        <v>157.59517042242805</v>
      </c>
      <c r="AQ54" s="20">
        <v>165.54738850645663</v>
      </c>
      <c r="AR54" s="20">
        <v>149.50838691293029</v>
      </c>
      <c r="AS54" s="20">
        <v>172.8056848704</v>
      </c>
      <c r="AT54" s="20">
        <v>174.33941694507666</v>
      </c>
      <c r="AU54" s="20">
        <v>188.93774482494337</v>
      </c>
      <c r="AV54" s="20">
        <v>172.44545675639529</v>
      </c>
      <c r="AW54" s="20">
        <v>159.20787505892804</v>
      </c>
      <c r="AX54" s="20">
        <v>177.75268234872783</v>
      </c>
      <c r="AY54" s="20">
        <v>175.82601445683395</v>
      </c>
    </row>
    <row r="55" spans="1:51" ht="13">
      <c r="A55" s="222">
        <v>54</v>
      </c>
      <c r="B55" s="20">
        <v>182.38041308068205</v>
      </c>
      <c r="C55" s="20">
        <v>176.65861138157197</v>
      </c>
      <c r="D55" s="20">
        <v>163.29654259679955</v>
      </c>
      <c r="E55" s="20">
        <v>151.56232153531164</v>
      </c>
      <c r="F55" s="20">
        <v>183.0047243500303</v>
      </c>
      <c r="G55" s="20">
        <v>174.98107114151935</v>
      </c>
      <c r="H55" s="20">
        <v>183.87727651388559</v>
      </c>
      <c r="I55" s="20">
        <v>167.99163278010383</v>
      </c>
      <c r="J55" s="20">
        <v>195.18778104684316</v>
      </c>
      <c r="K55" s="20">
        <v>197.99300376762403</v>
      </c>
      <c r="L55" s="20">
        <v>157.95461409725249</v>
      </c>
      <c r="M55" s="20">
        <v>164.83830664656125</v>
      </c>
      <c r="N55" s="20">
        <v>187.45246039616177</v>
      </c>
      <c r="O55" s="20">
        <v>199.82654508639826</v>
      </c>
      <c r="P55" s="20">
        <v>135.09919414063916</v>
      </c>
      <c r="Q55" s="20">
        <v>153.40855030517559</v>
      </c>
      <c r="R55" s="20">
        <v>168.88447804449243</v>
      </c>
      <c r="S55" s="20">
        <v>155.16975268910755</v>
      </c>
      <c r="T55" s="20">
        <v>183.27996018415433</v>
      </c>
      <c r="U55" s="20">
        <v>160.93094687748817</v>
      </c>
      <c r="V55" s="20">
        <v>177.36146888710209</v>
      </c>
      <c r="W55" s="20">
        <v>170.34384187427349</v>
      </c>
      <c r="X55" s="20">
        <v>175.23007942218101</v>
      </c>
      <c r="Y55" s="20">
        <v>169.08964299618674</v>
      </c>
      <c r="Z55" s="20">
        <v>187.87527311433223</v>
      </c>
      <c r="AA55" s="20">
        <v>146.78802004782483</v>
      </c>
      <c r="AB55" s="20">
        <v>172.78597157273907</v>
      </c>
      <c r="AC55" s="20">
        <v>187.2191408991057</v>
      </c>
      <c r="AD55" s="20">
        <v>198.7058884522412</v>
      </c>
      <c r="AE55" s="20">
        <v>175.16810872693895</v>
      </c>
      <c r="AF55" s="20">
        <v>171.44244894625444</v>
      </c>
      <c r="AG55" s="20">
        <v>177.36030928135733</v>
      </c>
      <c r="AH55" s="20">
        <v>159.27161926883855</v>
      </c>
      <c r="AI55" s="20">
        <v>188.6349171953043</v>
      </c>
      <c r="AJ55" s="20">
        <v>165.94160330059822</v>
      </c>
      <c r="AK55" s="20">
        <v>186.29244537878549</v>
      </c>
      <c r="AL55" s="20">
        <v>169.93385303139803</v>
      </c>
      <c r="AM55" s="20">
        <v>183.58636894918163</v>
      </c>
      <c r="AN55" s="20">
        <v>175.67205974119133</v>
      </c>
      <c r="AO55" s="20">
        <v>169.77198571184999</v>
      </c>
      <c r="AP55" s="20">
        <v>162.30620518472278</v>
      </c>
      <c r="AQ55" s="20">
        <v>183.23188770482375</v>
      </c>
      <c r="AR55" s="20">
        <v>164.31975824234542</v>
      </c>
      <c r="AS55" s="20">
        <v>181.30806766821479</v>
      </c>
      <c r="AT55" s="20">
        <v>165.97877889653319</v>
      </c>
      <c r="AU55" s="20">
        <v>175.17499814930488</v>
      </c>
      <c r="AV55" s="20">
        <v>202.59070412139408</v>
      </c>
      <c r="AW55" s="20">
        <v>177.99577322948608</v>
      </c>
      <c r="AX55" s="20">
        <v>190.67875642649597</v>
      </c>
      <c r="AY55" s="20">
        <v>193.01058715500403</v>
      </c>
    </row>
    <row r="56" spans="1:51" ht="13">
      <c r="A56" s="222">
        <v>55</v>
      </c>
      <c r="B56" s="20">
        <v>162.01156300739967</v>
      </c>
      <c r="C56" s="20">
        <v>181.17043269812712</v>
      </c>
      <c r="D56" s="20">
        <v>185.07813352771336</v>
      </c>
      <c r="E56" s="20">
        <v>176.12960947262764</v>
      </c>
      <c r="F56" s="20">
        <v>212.10738383233547</v>
      </c>
      <c r="G56" s="20">
        <v>188.85667474096408</v>
      </c>
      <c r="H56" s="20">
        <v>165.838125540904</v>
      </c>
      <c r="I56" s="20">
        <v>190.28585471533006</v>
      </c>
      <c r="J56" s="20">
        <v>182.01348312759364</v>
      </c>
      <c r="K56" s="20">
        <v>147.46509337855969</v>
      </c>
      <c r="L56" s="20">
        <v>167.27308649096813</v>
      </c>
      <c r="M56" s="20">
        <v>167.79779103744659</v>
      </c>
      <c r="N56" s="20">
        <v>192.28167262626812</v>
      </c>
      <c r="O56" s="20">
        <v>183.46904413265293</v>
      </c>
      <c r="P56" s="20">
        <v>163.45612481090939</v>
      </c>
      <c r="Q56" s="20">
        <v>171.42592456439161</v>
      </c>
      <c r="R56" s="20">
        <v>195.48695932899136</v>
      </c>
      <c r="S56" s="20">
        <v>159.83515355474083</v>
      </c>
      <c r="T56" s="20">
        <v>185.63443733073655</v>
      </c>
      <c r="U56" s="20">
        <v>177.36496475736203</v>
      </c>
      <c r="V56" s="20">
        <v>206.41058186884038</v>
      </c>
      <c r="W56" s="20">
        <v>184.19369540497428</v>
      </c>
      <c r="X56" s="20">
        <v>176.06172137748217</v>
      </c>
      <c r="Y56" s="20">
        <v>168.21610175684327</v>
      </c>
      <c r="Z56" s="20">
        <v>194.09024831547868</v>
      </c>
      <c r="AA56" s="20">
        <v>160.29664253510418</v>
      </c>
      <c r="AB56" s="20">
        <v>166.33644905668916</v>
      </c>
      <c r="AC56" s="20">
        <v>155.09802766318899</v>
      </c>
      <c r="AD56" s="20">
        <v>199.28323568892665</v>
      </c>
      <c r="AE56" s="20">
        <v>181.78898004480288</v>
      </c>
      <c r="AF56" s="20">
        <v>181.20917717242264</v>
      </c>
      <c r="AG56" s="20">
        <v>177.47540015152481</v>
      </c>
      <c r="AH56" s="20">
        <v>181.26045562057698</v>
      </c>
      <c r="AI56" s="20">
        <v>164.38619683030993</v>
      </c>
      <c r="AJ56" s="20">
        <v>175.21171331354708</v>
      </c>
      <c r="AK56" s="20">
        <v>171.65689074390684</v>
      </c>
      <c r="AL56" s="20">
        <v>203.78373379644472</v>
      </c>
      <c r="AM56" s="20">
        <v>186.41623329203867</v>
      </c>
      <c r="AN56" s="20">
        <v>172.51179302620585</v>
      </c>
      <c r="AO56" s="20">
        <v>160.39647094730753</v>
      </c>
      <c r="AP56" s="20">
        <v>179.63811602458009</v>
      </c>
      <c r="AQ56" s="20">
        <v>176.01226760307327</v>
      </c>
      <c r="AR56" s="20">
        <v>188.79351033392595</v>
      </c>
      <c r="AS56" s="20">
        <v>194.74259475900908</v>
      </c>
      <c r="AT56" s="20">
        <v>164.91900156397605</v>
      </c>
      <c r="AU56" s="20">
        <v>171.72626245228457</v>
      </c>
      <c r="AV56" s="20">
        <v>190.29745077277767</v>
      </c>
      <c r="AW56" s="20">
        <v>184.94334641291061</v>
      </c>
      <c r="AX56" s="20">
        <v>153.04327449557604</v>
      </c>
      <c r="AY56" s="20">
        <v>181.26170049145003</v>
      </c>
    </row>
    <row r="57" spans="1:51" ht="13">
      <c r="A57" s="222">
        <v>56</v>
      </c>
      <c r="B57" s="20">
        <v>185.61526972989668</v>
      </c>
      <c r="C57" s="20">
        <v>180.92028186474636</v>
      </c>
      <c r="D57" s="20">
        <v>175.69733232521685</v>
      </c>
      <c r="E57" s="20">
        <v>173.43141154087789</v>
      </c>
      <c r="F57" s="20">
        <v>147.07219166739378</v>
      </c>
      <c r="G57" s="20">
        <v>180.47258878214052</v>
      </c>
      <c r="H57" s="20">
        <v>187.47677801075042</v>
      </c>
      <c r="I57" s="20">
        <v>197.66060619149357</v>
      </c>
      <c r="J57" s="20">
        <v>175.72376451498712</v>
      </c>
      <c r="K57" s="20">
        <v>191.79177330515813</v>
      </c>
      <c r="L57" s="20">
        <v>184.23388938645076</v>
      </c>
      <c r="M57" s="20">
        <v>164.98792989368667</v>
      </c>
      <c r="N57" s="20">
        <v>169.00398564830539</v>
      </c>
      <c r="O57" s="20">
        <v>180.87812678531918</v>
      </c>
      <c r="P57" s="20">
        <v>188.25763605564134</v>
      </c>
      <c r="Q57" s="20">
        <v>153.35670910717454</v>
      </c>
      <c r="R57" s="20">
        <v>178.83079168386757</v>
      </c>
      <c r="S57" s="20">
        <v>202.59697963483632</v>
      </c>
      <c r="T57" s="20">
        <v>191.3981894729659</v>
      </c>
      <c r="U57" s="20">
        <v>162.52158489878639</v>
      </c>
      <c r="V57" s="20">
        <v>177.56035832535417</v>
      </c>
      <c r="W57" s="20">
        <v>171.95738210903073</v>
      </c>
      <c r="X57" s="20">
        <v>163.41905153312837</v>
      </c>
      <c r="Y57" s="20">
        <v>181.20291871200607</v>
      </c>
      <c r="Z57" s="20">
        <v>178.24319557876152</v>
      </c>
      <c r="AA57" s="20">
        <v>165.26722434791736</v>
      </c>
      <c r="AB57" s="20">
        <v>189.58691940570134</v>
      </c>
      <c r="AC57" s="20">
        <v>137.24760252516717</v>
      </c>
      <c r="AD57" s="20">
        <v>164.46123014320619</v>
      </c>
      <c r="AE57" s="20">
        <v>172.56762463221094</v>
      </c>
      <c r="AF57" s="20">
        <v>162.80162968614604</v>
      </c>
      <c r="AG57" s="20">
        <v>159.77765075222123</v>
      </c>
      <c r="AH57" s="20">
        <v>145.8685209043324</v>
      </c>
      <c r="AI57" s="20">
        <v>165.37885345387622</v>
      </c>
      <c r="AJ57" s="20">
        <v>177.36728396885155</v>
      </c>
      <c r="AK57" s="20">
        <v>174.78484197526996</v>
      </c>
      <c r="AL57" s="20">
        <v>157.48221118046786</v>
      </c>
      <c r="AM57" s="20">
        <v>181.55842313790345</v>
      </c>
      <c r="AN57" s="20">
        <v>159.74688709393376</v>
      </c>
      <c r="AO57" s="20">
        <v>177.50215634878259</v>
      </c>
      <c r="AP57" s="20">
        <v>173.7161288572679</v>
      </c>
      <c r="AQ57" s="20">
        <v>180.54131247554324</v>
      </c>
      <c r="AR57" s="20">
        <v>158.49921952467412</v>
      </c>
      <c r="AS57" s="20">
        <v>156.5425894666987</v>
      </c>
      <c r="AT57" s="20">
        <v>185.74241708920454</v>
      </c>
      <c r="AU57" s="20">
        <v>188.71489588564145</v>
      </c>
      <c r="AV57" s="20">
        <v>191.93208560027415</v>
      </c>
      <c r="AW57" s="20">
        <v>184.24221126297198</v>
      </c>
      <c r="AX57" s="20">
        <v>178.20562776323641</v>
      </c>
      <c r="AY57" s="20">
        <v>187.39587845702772</v>
      </c>
    </row>
    <row r="58" spans="1:51" ht="13">
      <c r="A58" s="222">
        <v>57</v>
      </c>
      <c r="B58" s="20">
        <v>156.9799654687813</v>
      </c>
      <c r="C58" s="20">
        <v>221.45844455808401</v>
      </c>
      <c r="D58" s="20">
        <v>163.69230921627604</v>
      </c>
      <c r="E58" s="20">
        <v>162.23877752127009</v>
      </c>
      <c r="F58" s="20">
        <v>201.52291186677758</v>
      </c>
      <c r="G58" s="20">
        <v>163.76079416731955</v>
      </c>
      <c r="H58" s="20">
        <v>173.76334868531558</v>
      </c>
      <c r="I58" s="20">
        <v>140.80936567625031</v>
      </c>
      <c r="J58" s="20">
        <v>201.26391051308019</v>
      </c>
      <c r="K58" s="20">
        <v>184.69597522271215</v>
      </c>
      <c r="L58" s="20">
        <v>194.68816150110797</v>
      </c>
      <c r="M58" s="20">
        <v>163.71669504296733</v>
      </c>
      <c r="N58" s="20">
        <v>167.84410705513437</v>
      </c>
      <c r="O58" s="20">
        <v>194.71807250811253</v>
      </c>
      <c r="P58" s="20">
        <v>219.34550646692514</v>
      </c>
      <c r="Q58" s="20">
        <v>167.65582459884172</v>
      </c>
      <c r="R58" s="20">
        <v>178.04379454973969</v>
      </c>
      <c r="S58" s="20">
        <v>182.42188603908289</v>
      </c>
      <c r="T58" s="20">
        <v>174.74123738866183</v>
      </c>
      <c r="U58" s="20">
        <v>177.70952114078682</v>
      </c>
      <c r="V58" s="20">
        <v>183.82265567270224</v>
      </c>
      <c r="W58" s="20">
        <v>151.00571077782661</v>
      </c>
      <c r="X58" s="20">
        <v>170.52532017332851</v>
      </c>
      <c r="Y58" s="20">
        <v>193.08869001251878</v>
      </c>
      <c r="Z58" s="20">
        <v>140.29641066445038</v>
      </c>
      <c r="AA58" s="20">
        <v>199.52463832014473</v>
      </c>
      <c r="AB58" s="20">
        <v>151.10011632787064</v>
      </c>
      <c r="AC58" s="20">
        <v>194.03619022414205</v>
      </c>
      <c r="AD58" s="20">
        <v>178.70289399143076</v>
      </c>
      <c r="AE58" s="20">
        <v>161.39281102441601</v>
      </c>
      <c r="AF58" s="20">
        <v>187.01559598484891</v>
      </c>
      <c r="AG58" s="20">
        <v>159.69098727582605</v>
      </c>
      <c r="AH58" s="20">
        <v>162.90834752071532</v>
      </c>
      <c r="AI58" s="20">
        <v>203.30665835062973</v>
      </c>
      <c r="AJ58" s="20">
        <v>164.52722535250359</v>
      </c>
      <c r="AK58" s="20">
        <v>164.55355522411992</v>
      </c>
      <c r="AL58" s="20">
        <v>191.37527020648122</v>
      </c>
      <c r="AM58" s="20">
        <v>172.1924580677296</v>
      </c>
      <c r="AN58" s="20">
        <v>157.1744381733879</v>
      </c>
      <c r="AO58" s="20">
        <v>173.51099801162491</v>
      </c>
      <c r="AP58" s="20">
        <v>210.83072611945681</v>
      </c>
      <c r="AQ58" s="20">
        <v>186.34432068283786</v>
      </c>
      <c r="AR58" s="20">
        <v>179.54309656561236</v>
      </c>
      <c r="AS58" s="20">
        <v>145.81545188848395</v>
      </c>
      <c r="AT58" s="20">
        <v>196.29182803400909</v>
      </c>
      <c r="AU58" s="20">
        <v>178.39372263624682</v>
      </c>
      <c r="AV58" s="20">
        <v>194.1730578080751</v>
      </c>
      <c r="AW58" s="20">
        <v>170.9018509798625</v>
      </c>
      <c r="AX58" s="20">
        <v>152.7510538478964</v>
      </c>
      <c r="AY58" s="20">
        <v>187.75462295780017</v>
      </c>
    </row>
    <row r="59" spans="1:51" ht="13">
      <c r="A59" s="222">
        <v>58</v>
      </c>
      <c r="B59" s="20">
        <v>157.53429112082813</v>
      </c>
      <c r="C59" s="20">
        <v>181.71913085170672</v>
      </c>
      <c r="D59" s="20">
        <v>186.64598870673217</v>
      </c>
      <c r="E59" s="20">
        <v>187.78594936593436</v>
      </c>
      <c r="F59" s="20">
        <v>167.64806547216722</v>
      </c>
      <c r="G59" s="20">
        <v>183.64185949467355</v>
      </c>
      <c r="H59" s="20">
        <v>164.16989625286078</v>
      </c>
      <c r="I59" s="20">
        <v>170.45690343438764</v>
      </c>
      <c r="J59" s="20">
        <v>180.51307266505319</v>
      </c>
      <c r="K59" s="20">
        <v>192.12440962364781</v>
      </c>
      <c r="L59" s="20">
        <v>166.38385646801908</v>
      </c>
      <c r="M59" s="20">
        <v>187.99846417168737</v>
      </c>
      <c r="N59" s="20">
        <v>168.18557684091502</v>
      </c>
      <c r="O59" s="20">
        <v>200.21392161725089</v>
      </c>
      <c r="P59" s="20">
        <v>181.2541971601604</v>
      </c>
      <c r="Q59" s="20">
        <v>189.20499984305934</v>
      </c>
      <c r="R59" s="20">
        <v>184.43721261137398</v>
      </c>
      <c r="S59" s="20">
        <v>173.38294684195716</v>
      </c>
      <c r="T59" s="20">
        <v>173.91871880208782</v>
      </c>
      <c r="U59" s="20">
        <v>191.4002699420962</v>
      </c>
      <c r="V59" s="20">
        <v>203.01266418828163</v>
      </c>
      <c r="W59" s="20">
        <v>177.15140971704386</v>
      </c>
      <c r="X59" s="20">
        <v>168.18939671866246</v>
      </c>
      <c r="Y59" s="20">
        <v>160.77702626789687</v>
      </c>
      <c r="Z59" s="20">
        <v>172.88914237797144</v>
      </c>
      <c r="AA59" s="20">
        <v>194.222511582484</v>
      </c>
      <c r="AB59" s="20">
        <v>153.95356500521302</v>
      </c>
      <c r="AC59" s="20">
        <v>166.65181066018704</v>
      </c>
      <c r="AD59" s="20">
        <v>184.28943109101965</v>
      </c>
      <c r="AE59" s="20">
        <v>184.72285079114954</v>
      </c>
      <c r="AF59" s="20">
        <v>177.15140971704386</v>
      </c>
      <c r="AG59" s="20">
        <v>174.88582999321807</v>
      </c>
      <c r="AH59" s="20">
        <v>165.61029711810988</v>
      </c>
      <c r="AI59" s="20">
        <v>173.16809577168897</v>
      </c>
      <c r="AJ59" s="20">
        <v>159.23577380890492</v>
      </c>
      <c r="AK59" s="20">
        <v>179.56352609035093</v>
      </c>
      <c r="AL59" s="20">
        <v>153.63562839484075</v>
      </c>
      <c r="AM59" s="20">
        <v>195.93647708534263</v>
      </c>
      <c r="AN59" s="20">
        <v>183.80628476807033</v>
      </c>
      <c r="AO59" s="20">
        <v>196.20420958817704</v>
      </c>
      <c r="AP59" s="20">
        <v>163.86232788208872</v>
      </c>
      <c r="AQ59" s="20">
        <v>193.29939719755203</v>
      </c>
      <c r="AR59" s="20">
        <v>185.03072611638345</v>
      </c>
      <c r="AS59" s="20">
        <v>170.83629914923222</v>
      </c>
      <c r="AT59" s="20">
        <v>154.66075397926033</v>
      </c>
      <c r="AU59" s="20">
        <v>185.7810251392948</v>
      </c>
      <c r="AV59" s="20">
        <v>141.87538441619836</v>
      </c>
      <c r="AW59" s="20">
        <v>161.81344095530221</v>
      </c>
      <c r="AX59" s="20">
        <v>155.91752786422148</v>
      </c>
      <c r="AY59" s="20">
        <v>193.91613692350802</v>
      </c>
    </row>
    <row r="60" spans="1:51" ht="13">
      <c r="A60" s="222">
        <v>59</v>
      </c>
      <c r="B60" s="20">
        <v>191.69337734711007</v>
      </c>
      <c r="C60" s="20">
        <v>176.88855437954771</v>
      </c>
      <c r="D60" s="20">
        <v>164.23087787261466</v>
      </c>
      <c r="E60" s="20">
        <v>194.99085270654177</v>
      </c>
      <c r="F60" s="20">
        <v>170.70018189842813</v>
      </c>
      <c r="G60" s="20">
        <v>194.11862455017399</v>
      </c>
      <c r="H60" s="20">
        <v>183.89506281964714</v>
      </c>
      <c r="I60" s="20">
        <v>152.77861153736012</v>
      </c>
      <c r="J60" s="20">
        <v>170.35467054556648</v>
      </c>
      <c r="K60" s="20">
        <v>174.71598185766197</v>
      </c>
      <c r="L60" s="20">
        <v>166.30660626178724</v>
      </c>
      <c r="M60" s="20">
        <v>165.19062215666054</v>
      </c>
      <c r="N60" s="20">
        <v>178.96847781303222</v>
      </c>
      <c r="O60" s="20">
        <v>168.96916336991126</v>
      </c>
      <c r="P60" s="20">
        <v>173.56865429137542</v>
      </c>
      <c r="Q60" s="20">
        <v>176.59050159709295</v>
      </c>
      <c r="R60" s="20">
        <v>160.26877789117862</v>
      </c>
      <c r="S60" s="20">
        <v>183.72054215506068</v>
      </c>
      <c r="T60" s="20">
        <v>166.39064357223106</v>
      </c>
      <c r="U60" s="20">
        <v>196.53981313313125</v>
      </c>
      <c r="V60" s="20">
        <v>171.65453742636601</v>
      </c>
      <c r="W60" s="20">
        <v>210.99197953008115</v>
      </c>
      <c r="X60" s="20">
        <v>187.39587845702772</v>
      </c>
      <c r="Y60" s="20">
        <v>164.57548541511642</v>
      </c>
      <c r="Z60" s="20">
        <v>169.064830843854</v>
      </c>
      <c r="AA60" s="20">
        <v>157.75393409130629</v>
      </c>
      <c r="AB60" s="20">
        <v>185.19781166178291</v>
      </c>
      <c r="AC60" s="20">
        <v>188.13260327151511</v>
      </c>
      <c r="AD60" s="20">
        <v>190.00881126048625</v>
      </c>
      <c r="AE60" s="20">
        <v>177.97588940156857</v>
      </c>
      <c r="AF60" s="20">
        <v>144.3124664190691</v>
      </c>
      <c r="AG60" s="20">
        <v>186.28330495703267</v>
      </c>
      <c r="AH60" s="20">
        <v>181.21166691416875</v>
      </c>
      <c r="AI60" s="20">
        <v>194.71807250811253</v>
      </c>
      <c r="AJ60" s="20">
        <v>195.55721779470332</v>
      </c>
      <c r="AK60" s="20">
        <v>186.54851361206966</v>
      </c>
      <c r="AL60" s="20">
        <v>180.23899643667392</v>
      </c>
      <c r="AM60" s="20">
        <v>189.44398094463395</v>
      </c>
      <c r="AN60" s="20">
        <v>154.06352291465737</v>
      </c>
      <c r="AO60" s="20">
        <v>195.19344265136169</v>
      </c>
      <c r="AP60" s="20">
        <v>197.6929387281416</v>
      </c>
      <c r="AQ60" s="20">
        <v>155.32810708536999</v>
      </c>
      <c r="AR60" s="20">
        <v>156.75841255942942</v>
      </c>
      <c r="AS60" s="20">
        <v>174.6367876065051</v>
      </c>
      <c r="AT60" s="20">
        <v>187.72827603315818</v>
      </c>
      <c r="AU60" s="20">
        <v>188.72185352011002</v>
      </c>
      <c r="AV60" s="20">
        <v>176.15493321573013</v>
      </c>
      <c r="AW60" s="20">
        <v>184.49323180066131</v>
      </c>
      <c r="AX60" s="20">
        <v>183.15196017356357</v>
      </c>
      <c r="AY60" s="20">
        <v>183.93476226337953</v>
      </c>
    </row>
    <row r="61" spans="1:51" ht="13">
      <c r="A61" s="222">
        <v>60</v>
      </c>
      <c r="B61" s="20">
        <v>167.79393705364782</v>
      </c>
      <c r="C61" s="20">
        <v>189.16195800629794</v>
      </c>
      <c r="D61" s="20">
        <v>166.25906242625206</v>
      </c>
      <c r="E61" s="20">
        <v>196.179312170716</v>
      </c>
      <c r="F61" s="20">
        <v>179.14105443269364</v>
      </c>
      <c r="G61" s="20">
        <v>170.92209292131884</v>
      </c>
      <c r="H61" s="20">
        <v>201.42482286319137</v>
      </c>
      <c r="I61" s="20">
        <v>179.12079543821164</v>
      </c>
      <c r="J61" s="20">
        <v>186.2589532363927</v>
      </c>
      <c r="K61" s="20">
        <v>203.48578333214391</v>
      </c>
      <c r="L61" s="20">
        <v>185.20792410599825</v>
      </c>
      <c r="M61" s="20">
        <v>172.16090997026186</v>
      </c>
      <c r="N61" s="20">
        <v>173.18197693457478</v>
      </c>
      <c r="O61" s="20">
        <v>173.47409526410047</v>
      </c>
      <c r="P61" s="20">
        <v>212.33166522579268</v>
      </c>
      <c r="Q61" s="20">
        <v>185.3079571545095</v>
      </c>
      <c r="R61" s="20">
        <v>186.61498630608548</v>
      </c>
      <c r="S61" s="20">
        <v>154.80935404484626</v>
      </c>
      <c r="T61" s="20">
        <v>177.36262849284685</v>
      </c>
      <c r="U61" s="20">
        <v>185.2774492916069</v>
      </c>
      <c r="V61" s="20">
        <v>172.10715883338707</v>
      </c>
      <c r="W61" s="20">
        <v>200.97646471258486</v>
      </c>
      <c r="X61" s="20">
        <v>171.1704020279285</v>
      </c>
      <c r="Y61" s="20">
        <v>171.08972416353936</v>
      </c>
      <c r="Z61" s="20">
        <v>177.70952114078682</v>
      </c>
      <c r="AA61" s="20">
        <v>180.86572923566564</v>
      </c>
      <c r="AB61" s="20">
        <v>186.18913814934785</v>
      </c>
      <c r="AC61" s="20">
        <v>167.47808091240586</v>
      </c>
      <c r="AD61" s="20">
        <v>177.74451394943753</v>
      </c>
      <c r="AE61" s="20">
        <v>206.48288669763133</v>
      </c>
      <c r="AF61" s="20">
        <v>161.54107002948876</v>
      </c>
      <c r="AG61" s="20">
        <v>181.24543190497207</v>
      </c>
      <c r="AH61" s="20">
        <v>168.88570586233982</v>
      </c>
      <c r="AI61" s="20">
        <v>170.2498285438196</v>
      </c>
      <c r="AJ61" s="20">
        <v>168.46052277360286</v>
      </c>
      <c r="AK61" s="20">
        <v>198.77819328103215</v>
      </c>
      <c r="AL61" s="20">
        <v>163.11837258472224</v>
      </c>
      <c r="AM61" s="20">
        <v>199.43337052682182</v>
      </c>
      <c r="AN61" s="20">
        <v>138.65086190053262</v>
      </c>
      <c r="AO61" s="20">
        <v>190.17057626188034</v>
      </c>
      <c r="AP61" s="20">
        <v>170.83391172564006</v>
      </c>
      <c r="AQ61" s="20">
        <v>186.93039906866034</v>
      </c>
      <c r="AR61" s="20">
        <v>170.5289183617424</v>
      </c>
      <c r="AS61" s="20">
        <v>152.26729361602338</v>
      </c>
      <c r="AT61" s="20">
        <v>180.26583789905999</v>
      </c>
      <c r="AU61" s="20">
        <v>174.18776438789791</v>
      </c>
      <c r="AV61" s="20">
        <v>176.47631453728536</v>
      </c>
      <c r="AW61" s="20">
        <v>168.23134716178174</v>
      </c>
      <c r="AX61" s="20">
        <v>170.88756054436089</v>
      </c>
      <c r="AY61" s="20">
        <v>171.76267066206492</v>
      </c>
    </row>
    <row r="62" spans="1:51" ht="13">
      <c r="A62" s="222">
        <v>61</v>
      </c>
      <c r="B62" s="20">
        <v>182.26666939954157</v>
      </c>
      <c r="C62" s="20">
        <v>169.21963821077952</v>
      </c>
      <c r="D62" s="20">
        <v>197.90057636855636</v>
      </c>
      <c r="E62" s="20">
        <v>194.33253770403098</v>
      </c>
      <c r="F62" s="20">
        <v>200.05048541934229</v>
      </c>
      <c r="G62" s="20">
        <v>156.33034750935622</v>
      </c>
      <c r="H62" s="20">
        <v>187.01242412207648</v>
      </c>
      <c r="I62" s="20">
        <v>179.0886334318202</v>
      </c>
      <c r="J62" s="20">
        <v>160.60155063387356</v>
      </c>
      <c r="K62" s="20">
        <v>155.58021901670145</v>
      </c>
      <c r="L62" s="20">
        <v>203.16505002556369</v>
      </c>
      <c r="M62" s="20">
        <v>170.51092741967295</v>
      </c>
      <c r="N62" s="20">
        <v>176.37027882374241</v>
      </c>
      <c r="O62" s="20">
        <v>202.14227775868494</v>
      </c>
      <c r="P62" s="20">
        <v>167.58200205076719</v>
      </c>
      <c r="Q62" s="20">
        <v>204.13898242695723</v>
      </c>
      <c r="R62" s="20">
        <v>178.89010210710694</v>
      </c>
      <c r="S62" s="20">
        <v>162.38809381393366</v>
      </c>
      <c r="T62" s="20">
        <v>172.70820977573749</v>
      </c>
      <c r="U62" s="20">
        <v>181.9201860242174</v>
      </c>
      <c r="V62" s="20">
        <v>172.47107040093397</v>
      </c>
      <c r="W62" s="20">
        <v>164.55208866391331</v>
      </c>
      <c r="X62" s="20">
        <v>179.65134917249088</v>
      </c>
      <c r="Y62" s="20">
        <v>173.10218582751986</v>
      </c>
      <c r="Z62" s="20">
        <v>171.33377001373447</v>
      </c>
      <c r="AA62" s="20">
        <v>184.6832536655711</v>
      </c>
      <c r="AB62" s="20">
        <v>155.73045617275056</v>
      </c>
      <c r="AC62" s="20">
        <v>175.47455159801757</v>
      </c>
      <c r="AD62" s="20">
        <v>175.06483560355264</v>
      </c>
      <c r="AE62" s="20">
        <v>165.27005515017663</v>
      </c>
      <c r="AF62" s="20">
        <v>154.69237028883072</v>
      </c>
      <c r="AG62" s="20">
        <v>208.97835826035589</v>
      </c>
      <c r="AH62" s="20">
        <v>177.21520508603135</v>
      </c>
      <c r="AI62" s="20">
        <v>163.21547251282027</v>
      </c>
      <c r="AJ62" s="20">
        <v>154.74673533462919</v>
      </c>
      <c r="AK62" s="20">
        <v>178.24554889630235</v>
      </c>
      <c r="AL62" s="20">
        <v>167.42859303194564</v>
      </c>
      <c r="AM62" s="20">
        <v>168.68190515269816</v>
      </c>
      <c r="AN62" s="20">
        <v>181.65956463308248</v>
      </c>
      <c r="AO62" s="20">
        <v>192.46795987855876</v>
      </c>
      <c r="AP62" s="20">
        <v>181.84878500578634</v>
      </c>
      <c r="AQ62" s="20">
        <v>170.59366870016675</v>
      </c>
      <c r="AR62" s="20">
        <v>170.63677874903078</v>
      </c>
      <c r="AS62" s="20">
        <v>162.24208580824779</v>
      </c>
      <c r="AT62" s="20">
        <v>163.98140916026023</v>
      </c>
      <c r="AU62" s="20">
        <v>174.03947127677384</v>
      </c>
      <c r="AV62" s="20">
        <v>199.85819550201995</v>
      </c>
      <c r="AW62" s="20">
        <v>182.13403096597176</v>
      </c>
      <c r="AX62" s="20">
        <v>160.09869101326331</v>
      </c>
      <c r="AY62" s="20">
        <v>184.56906660576351</v>
      </c>
    </row>
    <row r="63" spans="1:51" ht="13">
      <c r="A63" s="222">
        <v>62</v>
      </c>
      <c r="B63" s="20">
        <v>170.92091626254842</v>
      </c>
      <c r="C63" s="20">
        <v>175.19334720491315</v>
      </c>
      <c r="D63" s="20">
        <v>183.5094427504373</v>
      </c>
      <c r="E63" s="20">
        <v>179.65496441393043</v>
      </c>
      <c r="F63" s="20">
        <v>165.67022145027295</v>
      </c>
      <c r="G63" s="20">
        <v>188.15449935646029</v>
      </c>
      <c r="H63" s="20">
        <v>175.53427129387273</v>
      </c>
      <c r="I63" s="20">
        <v>178.84975464839954</v>
      </c>
      <c r="J63" s="20">
        <v>180.4762722356827</v>
      </c>
      <c r="K63" s="20">
        <v>171.21068127453327</v>
      </c>
      <c r="L63" s="20">
        <v>179.45788259639812</v>
      </c>
      <c r="M63" s="20">
        <v>178.58234615305264</v>
      </c>
      <c r="N63" s="20">
        <v>209.23701855354011</v>
      </c>
      <c r="O63" s="20">
        <v>182.82665665610693</v>
      </c>
      <c r="P63" s="20">
        <v>185.79289404515293</v>
      </c>
      <c r="Q63" s="20">
        <v>190.6628971126338</v>
      </c>
      <c r="R63" s="20">
        <v>179.92302092425234</v>
      </c>
      <c r="S63" s="20">
        <v>141.88848113990389</v>
      </c>
      <c r="T63" s="20">
        <v>183.11076006357325</v>
      </c>
      <c r="U63" s="20">
        <v>179.09100380238669</v>
      </c>
      <c r="V63" s="20">
        <v>195.26469019256183</v>
      </c>
      <c r="W63" s="20">
        <v>180.43826104149048</v>
      </c>
      <c r="X63" s="20">
        <v>140.37935658125207</v>
      </c>
      <c r="Y63" s="20">
        <v>165.81046553328633</v>
      </c>
      <c r="Z63" s="20">
        <v>185.81670006897184</v>
      </c>
      <c r="AA63" s="20">
        <v>190.15338681201683</v>
      </c>
      <c r="AB63" s="20">
        <v>165.84226942613896</v>
      </c>
      <c r="AC63" s="20">
        <v>172.61412823318096</v>
      </c>
      <c r="AD63" s="20">
        <v>186.33514615503373</v>
      </c>
      <c r="AE63" s="20">
        <v>163.38654846622376</v>
      </c>
      <c r="AF63" s="20">
        <v>156.12953107920475</v>
      </c>
      <c r="AG63" s="20">
        <v>175.40911913856689</v>
      </c>
      <c r="AH63" s="20">
        <v>173.67005158193933</v>
      </c>
      <c r="AI63" s="20">
        <v>175.410261691286</v>
      </c>
      <c r="AJ63" s="20">
        <v>191.32540715945652</v>
      </c>
      <c r="AK63" s="20">
        <v>162.55401975358836</v>
      </c>
      <c r="AL63" s="20">
        <v>194.89088787013316</v>
      </c>
      <c r="AM63" s="20">
        <v>170.14353703489178</v>
      </c>
      <c r="AN63" s="20">
        <v>172.99340457684593</v>
      </c>
      <c r="AO63" s="20">
        <v>182.92808805272216</v>
      </c>
      <c r="AP63" s="20">
        <v>169.27768671012018</v>
      </c>
      <c r="AQ63" s="20">
        <v>158.50760961329797</v>
      </c>
      <c r="AR63" s="20">
        <v>159.5375782570045</v>
      </c>
      <c r="AS63" s="20">
        <v>186.76580326500698</v>
      </c>
      <c r="AT63" s="20">
        <v>215.02031346317381</v>
      </c>
      <c r="AU63" s="20">
        <v>155.09529917908367</v>
      </c>
      <c r="AV63" s="20">
        <v>195.74070835078601</v>
      </c>
      <c r="AW63" s="20">
        <v>181.34067305327335</v>
      </c>
      <c r="AX63" s="20">
        <v>178.31488649862877</v>
      </c>
      <c r="AY63" s="20">
        <v>168.96791849903821</v>
      </c>
    </row>
    <row r="64" spans="1:51" ht="13">
      <c r="A64" s="222">
        <v>63</v>
      </c>
      <c r="B64" s="20">
        <v>196.44056452380028</v>
      </c>
      <c r="C64" s="20">
        <v>190.20509158581262</v>
      </c>
      <c r="D64" s="20">
        <v>206.06938493147027</v>
      </c>
      <c r="E64" s="20">
        <v>184.311668236478</v>
      </c>
      <c r="F64" s="20">
        <v>196.01577365465346</v>
      </c>
      <c r="G64" s="20">
        <v>185.71871338353958</v>
      </c>
      <c r="H64" s="20">
        <v>168.50844177570252</v>
      </c>
      <c r="I64" s="20">
        <v>193.69707375590224</v>
      </c>
      <c r="J64" s="20">
        <v>161.6812117943482</v>
      </c>
      <c r="K64" s="20">
        <v>175.16466401575599</v>
      </c>
      <c r="L64" s="20">
        <v>153.32417193421861</v>
      </c>
      <c r="M64" s="20">
        <v>200.75818598415935</v>
      </c>
      <c r="N64" s="20">
        <v>177.42540068029484</v>
      </c>
      <c r="O64" s="20">
        <v>170.33180243815877</v>
      </c>
      <c r="P64" s="20">
        <v>168.23262613870611</v>
      </c>
      <c r="Q64" s="20">
        <v>197.31463440693915</v>
      </c>
      <c r="R64" s="20">
        <v>171.75914068575366</v>
      </c>
      <c r="S64" s="20">
        <v>179.45428440798423</v>
      </c>
      <c r="T64" s="20">
        <v>194.76172825379763</v>
      </c>
      <c r="U64" s="20">
        <v>167.22061433101771</v>
      </c>
      <c r="V64" s="20">
        <v>202.01349330891389</v>
      </c>
      <c r="W64" s="20">
        <v>132.5960828224197</v>
      </c>
      <c r="X64" s="20">
        <v>178.52097231370863</v>
      </c>
      <c r="Y64" s="20">
        <v>191.88010797806783</v>
      </c>
      <c r="Z64" s="20">
        <v>194.50763817148982</v>
      </c>
      <c r="AA64" s="20">
        <v>182.0865212364879</v>
      </c>
      <c r="AB64" s="20">
        <v>187.25113237524056</v>
      </c>
      <c r="AC64" s="20">
        <v>169.98970169042877</v>
      </c>
      <c r="AD64" s="20">
        <v>181.26922087576531</v>
      </c>
      <c r="AE64" s="20">
        <v>202.10694388952106</v>
      </c>
      <c r="AF64" s="20">
        <v>166.11179249666748</v>
      </c>
      <c r="AG64" s="20">
        <v>193.45495489760651</v>
      </c>
      <c r="AH64" s="20">
        <v>165.64515350255533</v>
      </c>
      <c r="AI64" s="20">
        <v>170.44007209806296</v>
      </c>
      <c r="AJ64" s="20">
        <v>158.25965862022713</v>
      </c>
      <c r="AK64" s="20">
        <v>180.44069962415961</v>
      </c>
      <c r="AL64" s="20">
        <v>161.34079929615837</v>
      </c>
      <c r="AM64" s="20">
        <v>186.39631535806984</v>
      </c>
      <c r="AN64" s="20">
        <v>178.67450070370978</v>
      </c>
      <c r="AO64" s="20">
        <v>153.50834461132763</v>
      </c>
      <c r="AP64" s="20">
        <v>149.49378952296684</v>
      </c>
      <c r="AQ64" s="20">
        <v>184.46661202760879</v>
      </c>
      <c r="AR64" s="20">
        <v>196.30127541022375</v>
      </c>
      <c r="AS64" s="20">
        <v>196.61409611289855</v>
      </c>
      <c r="AT64" s="20">
        <v>182.94128709458164</v>
      </c>
      <c r="AU64" s="20">
        <v>156.18508983679931</v>
      </c>
      <c r="AV64" s="20">
        <v>197.0306674236781</v>
      </c>
      <c r="AW64" s="20">
        <v>160.08177441181033</v>
      </c>
      <c r="AX64" s="20">
        <v>172.9018980411638</v>
      </c>
      <c r="AY64" s="20">
        <v>194.00027655210579</v>
      </c>
    </row>
    <row r="65" spans="1:51" ht="13">
      <c r="A65" s="222">
        <v>64</v>
      </c>
      <c r="B65" s="20">
        <v>171.44952595190261</v>
      </c>
      <c r="C65" s="20">
        <v>171.7873463901924</v>
      </c>
      <c r="D65" s="20">
        <v>191.23441221454414</v>
      </c>
      <c r="E65" s="20">
        <v>170.0818221350346</v>
      </c>
      <c r="F65" s="20">
        <v>142.15860106633045</v>
      </c>
      <c r="G65" s="20">
        <v>195.02714154514251</v>
      </c>
      <c r="H65" s="20">
        <v>162.48587586305803</v>
      </c>
      <c r="I65" s="20">
        <v>176.90939317690209</v>
      </c>
      <c r="J65" s="20">
        <v>190.11900791228982</v>
      </c>
      <c r="K65" s="20">
        <v>170.71332978121063</v>
      </c>
      <c r="L65" s="20">
        <v>181.90105252942885</v>
      </c>
      <c r="M65" s="20">
        <v>204.01128937082831</v>
      </c>
      <c r="N65" s="20">
        <v>166.67858391047048</v>
      </c>
      <c r="O65" s="20">
        <v>157.77170334404218</v>
      </c>
      <c r="P65" s="20">
        <v>177.7036890060117</v>
      </c>
      <c r="Q65" s="20">
        <v>200.2422978519462</v>
      </c>
      <c r="R65" s="20">
        <v>171.20713424519636</v>
      </c>
      <c r="S65" s="20">
        <v>175.57216311688535</v>
      </c>
      <c r="T65" s="20">
        <v>179.02911837227293</v>
      </c>
      <c r="U65" s="20">
        <v>158.22967940111994</v>
      </c>
      <c r="V65" s="20">
        <v>169.0300767775625</v>
      </c>
      <c r="W65" s="20">
        <v>166.06112795743684</v>
      </c>
      <c r="X65" s="20">
        <v>172.64200993013219</v>
      </c>
      <c r="Y65" s="20">
        <v>178.67687107427628</v>
      </c>
      <c r="Z65" s="20">
        <v>160.90420773325604</v>
      </c>
      <c r="AA65" s="20">
        <v>188.15281110692013</v>
      </c>
      <c r="AB65" s="20">
        <v>183.2732753980963</v>
      </c>
      <c r="AC65" s="20">
        <v>169.79272219105042</v>
      </c>
      <c r="AD65" s="20">
        <v>175.28516069505713</v>
      </c>
      <c r="AE65" s="20">
        <v>184.89194859357667</v>
      </c>
      <c r="AF65" s="20">
        <v>177.04597085939895</v>
      </c>
      <c r="AG65" s="20">
        <v>174.50706524032285</v>
      </c>
      <c r="AH65" s="20">
        <v>168.54747615143424</v>
      </c>
      <c r="AI65" s="20">
        <v>161.69140950369183</v>
      </c>
      <c r="AJ65" s="20">
        <v>201.46281700435793</v>
      </c>
      <c r="AK65" s="20">
        <v>178.12701331495191</v>
      </c>
      <c r="AL65" s="20">
        <v>176.68978431247524</v>
      </c>
      <c r="AM65" s="20">
        <v>183.60396767166094</v>
      </c>
      <c r="AN65" s="20">
        <v>194.95742877625162</v>
      </c>
      <c r="AO65" s="20">
        <v>151.50379555125255</v>
      </c>
      <c r="AP65" s="20">
        <v>170.90543211525073</v>
      </c>
      <c r="AQ65" s="20">
        <v>181.23668370280939</v>
      </c>
      <c r="AR65" s="20">
        <v>181.62793127048644</v>
      </c>
      <c r="AS65" s="20">
        <v>188.47093530057464</v>
      </c>
      <c r="AT65" s="20">
        <v>175.00402451405535</v>
      </c>
      <c r="AU65" s="20">
        <v>181.80552147969138</v>
      </c>
      <c r="AV65" s="20">
        <v>162.75524545635562</v>
      </c>
      <c r="AW65" s="20">
        <v>183.26125301500724</v>
      </c>
      <c r="AX65" s="20">
        <v>178.81892277800944</v>
      </c>
      <c r="AY65" s="20">
        <v>159.85998276009923</v>
      </c>
    </row>
    <row r="66" spans="1:51" ht="13">
      <c r="A66" s="222">
        <v>65</v>
      </c>
      <c r="B66" s="20">
        <v>147.68487277324311</v>
      </c>
      <c r="C66" s="20">
        <v>177.10737880479428</v>
      </c>
      <c r="D66" s="20">
        <v>180.69640974390495</v>
      </c>
      <c r="E66" s="20">
        <v>176.27696466734051</v>
      </c>
      <c r="F66" s="20">
        <v>174.71712441038107</v>
      </c>
      <c r="G66" s="20">
        <v>200.93546923890244</v>
      </c>
      <c r="H66" s="20">
        <v>173.67121118768409</v>
      </c>
      <c r="I66" s="20">
        <v>200.05976226530038</v>
      </c>
      <c r="J66" s="20">
        <v>188.22206344411825</v>
      </c>
      <c r="K66" s="20">
        <v>184.38414359552553</v>
      </c>
      <c r="L66" s="20">
        <v>177.8951774311281</v>
      </c>
      <c r="M66" s="20">
        <v>170.90899619761331</v>
      </c>
      <c r="N66" s="20">
        <v>192.48607019180781</v>
      </c>
      <c r="O66" s="20">
        <v>164.07586586938123</v>
      </c>
      <c r="P66" s="20">
        <v>170.9554315864807</v>
      </c>
      <c r="Q66" s="20">
        <v>185.11411541185225</v>
      </c>
      <c r="R66" s="20">
        <v>157.5907025297056</v>
      </c>
      <c r="S66" s="20">
        <v>167.7926410236978</v>
      </c>
      <c r="T66" s="20">
        <v>170.9934939397499</v>
      </c>
      <c r="U66" s="20">
        <v>195.35367288044654</v>
      </c>
      <c r="V66" s="20">
        <v>171.73330535188143</v>
      </c>
      <c r="W66" s="20">
        <v>166.26179091035738</v>
      </c>
      <c r="X66" s="20">
        <v>173.76102947382606</v>
      </c>
      <c r="Y66" s="20">
        <v>169.63886979356175</v>
      </c>
      <c r="Z66" s="20">
        <v>170.48572304775007</v>
      </c>
      <c r="AA66" s="20">
        <v>175.82947622104257</v>
      </c>
      <c r="AB66" s="20">
        <v>152.15815425181063</v>
      </c>
      <c r="AC66" s="20">
        <v>168.10662133211736</v>
      </c>
      <c r="AD66" s="20">
        <v>153.20282260363456</v>
      </c>
      <c r="AE66" s="20">
        <v>162.24208580824779</v>
      </c>
      <c r="AF66" s="20">
        <v>168.3986373434891</v>
      </c>
      <c r="AG66" s="20">
        <v>145.44888004893437</v>
      </c>
      <c r="AH66" s="20">
        <v>168.76831283370848</v>
      </c>
      <c r="AI66" s="20">
        <v>182.08268430571479</v>
      </c>
      <c r="AJ66" s="20">
        <v>190.89638713994646</v>
      </c>
      <c r="AK66" s="20">
        <v>150.0873030279763</v>
      </c>
      <c r="AL66" s="20">
        <v>191.67206106503727</v>
      </c>
      <c r="AM66" s="20">
        <v>155.5590050527826</v>
      </c>
      <c r="AN66" s="20">
        <v>163.03179437345534</v>
      </c>
      <c r="AO66" s="20">
        <v>169.30851858051028</v>
      </c>
      <c r="AP66" s="20">
        <v>165.42530589576927</v>
      </c>
      <c r="AQ66" s="20">
        <v>182.84244775786647</v>
      </c>
      <c r="AR66" s="20">
        <v>197.35638021375053</v>
      </c>
      <c r="AS66" s="20">
        <v>201.90387645998271</v>
      </c>
      <c r="AT66" s="20">
        <v>154.0513811603887</v>
      </c>
      <c r="AU66" s="20">
        <v>170.83152430204791</v>
      </c>
      <c r="AV66" s="20">
        <v>153.35670910717454</v>
      </c>
      <c r="AW66" s="20">
        <v>193.39151764215785</v>
      </c>
      <c r="AX66" s="20">
        <v>164.09979126437975</v>
      </c>
      <c r="AY66" s="20">
        <v>159.85425294347806</v>
      </c>
    </row>
    <row r="67" spans="1:51" ht="13">
      <c r="A67" s="222">
        <v>66</v>
      </c>
      <c r="B67" s="20">
        <v>151.05918906629086</v>
      </c>
      <c r="C67" s="20">
        <v>165.88647086864512</v>
      </c>
      <c r="D67" s="20">
        <v>180.44438307770179</v>
      </c>
      <c r="E67" s="20">
        <v>182.68764039094094</v>
      </c>
      <c r="F67" s="20">
        <v>192.26386926748091</v>
      </c>
      <c r="G67" s="20">
        <v>167.62606706906809</v>
      </c>
      <c r="H67" s="20">
        <v>178.07425125356531</v>
      </c>
      <c r="I67" s="20">
        <v>147.02007762098219</v>
      </c>
      <c r="J67" s="20">
        <v>171.88589582547138</v>
      </c>
      <c r="K67" s="20">
        <v>139.49860191205516</v>
      </c>
      <c r="L67" s="20">
        <v>178.80589426640654</v>
      </c>
      <c r="M67" s="20">
        <v>170.27153704548255</v>
      </c>
      <c r="N67" s="20">
        <v>202.54104571067728</v>
      </c>
      <c r="O67" s="20">
        <v>164.15202468197094</v>
      </c>
      <c r="P67" s="20">
        <v>172.09430085204076</v>
      </c>
      <c r="Q67" s="20">
        <v>150.06902218447067</v>
      </c>
      <c r="R67" s="20">
        <v>178.79049538423715</v>
      </c>
      <c r="S67" s="20">
        <v>160.85059302058653</v>
      </c>
      <c r="T67" s="20">
        <v>185.08386334433453</v>
      </c>
      <c r="U67" s="20">
        <v>182.81352582635009</v>
      </c>
      <c r="V67" s="20">
        <v>179.40513758803718</v>
      </c>
      <c r="W67" s="20">
        <v>181.30931253908784</v>
      </c>
      <c r="X67" s="20">
        <v>169.13178102258826</v>
      </c>
      <c r="Y67" s="20">
        <v>180.81252379561192</v>
      </c>
      <c r="Z67" s="20">
        <v>180.82983261665504</v>
      </c>
      <c r="AA67" s="20">
        <v>174.1015613431955</v>
      </c>
      <c r="AB67" s="20">
        <v>169.63397557519784</v>
      </c>
      <c r="AC67" s="20">
        <v>179.55032704849145</v>
      </c>
      <c r="AD67" s="20">
        <v>180.5695863920846</v>
      </c>
      <c r="AE67" s="20">
        <v>150.47536167985527</v>
      </c>
      <c r="AF67" s="20">
        <v>163.04439655941678</v>
      </c>
      <c r="AG67" s="20">
        <v>178.70998805010458</v>
      </c>
      <c r="AH67" s="20">
        <v>167.1022322268982</v>
      </c>
      <c r="AI67" s="20">
        <v>184.02674628378008</v>
      </c>
      <c r="AJ67" s="20">
        <v>149.7624769952381</v>
      </c>
      <c r="AK67" s="20">
        <v>161.98148147013853</v>
      </c>
      <c r="AL67" s="20">
        <v>162.6718220548355</v>
      </c>
      <c r="AM67" s="20">
        <v>216.54171620029956</v>
      </c>
      <c r="AN67" s="20">
        <v>152.97608557448257</v>
      </c>
      <c r="AO67" s="20">
        <v>161.63861333625391</v>
      </c>
      <c r="AP67" s="20">
        <v>166.24274268069712</v>
      </c>
      <c r="AQ67" s="20">
        <v>189.25721620762488</v>
      </c>
      <c r="AR67" s="20">
        <v>185.14148551803373</v>
      </c>
      <c r="AS67" s="20">
        <v>179.15058707403659</v>
      </c>
      <c r="AT67" s="20">
        <v>181.61780177324545</v>
      </c>
      <c r="AU67" s="20">
        <v>177.23375877794751</v>
      </c>
      <c r="AV67" s="20">
        <v>163.51928921794752</v>
      </c>
      <c r="AW67" s="20">
        <v>155.89685959712369</v>
      </c>
      <c r="AX67" s="20">
        <v>187.32497197634075</v>
      </c>
      <c r="AY67" s="20">
        <v>171.86009459765046</v>
      </c>
    </row>
    <row r="68" spans="1:51" ht="13">
      <c r="A68" s="222">
        <v>67</v>
      </c>
      <c r="B68" s="20">
        <v>191.19733893676312</v>
      </c>
      <c r="C68" s="20">
        <v>190.68271272844868</v>
      </c>
      <c r="D68" s="20">
        <v>180.92152673561941</v>
      </c>
      <c r="E68" s="20">
        <v>162.14791900056298</v>
      </c>
      <c r="F68" s="20">
        <v>170.69779447483597</v>
      </c>
      <c r="G68" s="20">
        <v>193.03657596610719</v>
      </c>
      <c r="H68" s="20">
        <v>155.16975268910755</v>
      </c>
      <c r="I68" s="20">
        <v>156.13457877479959</v>
      </c>
      <c r="J68" s="20">
        <v>172.84511146572186</v>
      </c>
      <c r="K68" s="20">
        <v>207.91752364020795</v>
      </c>
      <c r="L68" s="20">
        <v>159.743033110135</v>
      </c>
      <c r="M68" s="20">
        <v>168.53236717070104</v>
      </c>
      <c r="N68" s="20">
        <v>140.31332726590335</v>
      </c>
      <c r="O68" s="20">
        <v>148.40560184966307</v>
      </c>
      <c r="P68" s="20">
        <v>161.30601112381555</v>
      </c>
      <c r="Q68" s="20">
        <v>169.80124870387954</v>
      </c>
      <c r="R68" s="20">
        <v>179.31298303738004</v>
      </c>
      <c r="S68" s="20">
        <v>152.17281985387672</v>
      </c>
      <c r="T68" s="20">
        <v>189.24459696863778</v>
      </c>
      <c r="U68" s="20">
        <v>177.12707504942955</v>
      </c>
      <c r="V68" s="20">
        <v>182.20478396942781</v>
      </c>
      <c r="W68" s="20">
        <v>184.58734744926915</v>
      </c>
      <c r="X68" s="20">
        <v>180.73713236917683</v>
      </c>
      <c r="Y68" s="20">
        <v>147.89305611047894</v>
      </c>
      <c r="Z68" s="20">
        <v>143.40197127312422</v>
      </c>
      <c r="AA68" s="20">
        <v>181.40723101241747</v>
      </c>
      <c r="AB68" s="20">
        <v>170.48091409451445</v>
      </c>
      <c r="AC68" s="20">
        <v>172.18544927418407</v>
      </c>
      <c r="AD68" s="20">
        <v>182.9294181887235</v>
      </c>
      <c r="AE68" s="20">
        <v>161.99150864922558</v>
      </c>
      <c r="AF68" s="20">
        <v>180.13057329953881</v>
      </c>
      <c r="AG68" s="20">
        <v>173.02350316713273</v>
      </c>
      <c r="AH68" s="20">
        <v>173.10680719747324</v>
      </c>
      <c r="AI68" s="20">
        <v>150.85605342464987</v>
      </c>
      <c r="AJ68" s="20">
        <v>154.65212514827726</v>
      </c>
      <c r="AK68" s="20">
        <v>195.84265133817098</v>
      </c>
      <c r="AL68" s="20">
        <v>184.12043560674647</v>
      </c>
      <c r="AM68" s="20">
        <v>179.05766513722483</v>
      </c>
      <c r="AN68" s="20">
        <v>194.00027655210579</v>
      </c>
      <c r="AO68" s="20">
        <v>161.17320215998916</v>
      </c>
      <c r="AP68" s="20">
        <v>178.34075593855232</v>
      </c>
      <c r="AQ68" s="20">
        <v>201.88675522222184</v>
      </c>
      <c r="AR68" s="20">
        <v>172.54786017547303</v>
      </c>
      <c r="AS68" s="20">
        <v>174.71483930494287</v>
      </c>
      <c r="AT68" s="20">
        <v>179.12674694416637</v>
      </c>
      <c r="AU68" s="20">
        <v>186.71747499029152</v>
      </c>
      <c r="AV68" s="20">
        <v>147.75090208859183</v>
      </c>
      <c r="AW68" s="20">
        <v>172.37209464001353</v>
      </c>
      <c r="AX68" s="20">
        <v>191.1501361617411</v>
      </c>
      <c r="AY68" s="20">
        <v>139.64812284102663</v>
      </c>
    </row>
    <row r="69" spans="1:51" ht="13">
      <c r="A69" s="222">
        <v>68</v>
      </c>
      <c r="B69" s="20">
        <v>193.93394028229523</v>
      </c>
      <c r="C69" s="20">
        <v>186.79859623334778</v>
      </c>
      <c r="D69" s="20">
        <v>166.52826148929307</v>
      </c>
      <c r="E69" s="20">
        <v>168.97040824078431</v>
      </c>
      <c r="F69" s="20">
        <v>187.95006768486928</v>
      </c>
      <c r="G69" s="20">
        <v>148.07886587805115</v>
      </c>
      <c r="H69" s="20">
        <v>172.20296273153508</v>
      </c>
      <c r="I69" s="20">
        <v>183.80764901012299</v>
      </c>
      <c r="J69" s="20">
        <v>188.85490122629562</v>
      </c>
      <c r="K69" s="20">
        <v>195.90005182253662</v>
      </c>
      <c r="L69" s="20">
        <v>191.12353344171424</v>
      </c>
      <c r="M69" s="20">
        <v>178.05784624288208</v>
      </c>
      <c r="N69" s="20">
        <v>178.56699842996022</v>
      </c>
      <c r="O69" s="20">
        <v>154.58568656031275</v>
      </c>
      <c r="P69" s="20">
        <v>167.19697883745539</v>
      </c>
      <c r="Q69" s="20">
        <v>162.711964877235</v>
      </c>
      <c r="R69" s="20">
        <v>173.47985918677296</v>
      </c>
      <c r="S69" s="20">
        <v>173.18427909303864</v>
      </c>
      <c r="T69" s="20">
        <v>185.20357558445539</v>
      </c>
      <c r="U69" s="20">
        <v>196.49486135749612</v>
      </c>
      <c r="V69" s="20">
        <v>207.64276529080234</v>
      </c>
      <c r="W69" s="20">
        <v>161.54622004323755</v>
      </c>
      <c r="X69" s="20">
        <v>178.26904796565941</v>
      </c>
      <c r="Y69" s="20">
        <v>172.39654867880745</v>
      </c>
      <c r="Z69" s="20">
        <v>155.68321929167723</v>
      </c>
      <c r="AA69" s="20">
        <v>198.46100700378884</v>
      </c>
      <c r="AB69" s="20">
        <v>144.08572938991711</v>
      </c>
      <c r="AC69" s="20">
        <v>149.14092831604648</v>
      </c>
      <c r="AD69" s="20">
        <v>174.16133219812764</v>
      </c>
      <c r="AE69" s="20">
        <v>168.19447852030862</v>
      </c>
      <c r="AF69" s="20">
        <v>189.4604200613685</v>
      </c>
      <c r="AG69" s="20">
        <v>158.38100795081118</v>
      </c>
      <c r="AH69" s="20">
        <v>168.87699176622846</v>
      </c>
      <c r="AI69" s="20">
        <v>158.25536125776125</v>
      </c>
      <c r="AJ69" s="20">
        <v>186.16488874686183</v>
      </c>
      <c r="AK69" s="20">
        <v>177.45445903601649</v>
      </c>
      <c r="AL69" s="20">
        <v>167.67780594891519</v>
      </c>
      <c r="AM69" s="20">
        <v>171.07192080475215</v>
      </c>
      <c r="AN69" s="20">
        <v>176.19637206807965</v>
      </c>
      <c r="AO69" s="20">
        <v>169.60338244716695</v>
      </c>
      <c r="AP69" s="20">
        <v>174.82271674525691</v>
      </c>
      <c r="AQ69" s="20">
        <v>186.46225940829027</v>
      </c>
      <c r="AR69" s="20">
        <v>183.85814301909704</v>
      </c>
      <c r="AS69" s="20">
        <v>172.32663127360865</v>
      </c>
      <c r="AT69" s="20">
        <v>172.42451564088697</v>
      </c>
      <c r="AU69" s="20">
        <v>167.70880834956188</v>
      </c>
      <c r="AV69" s="20">
        <v>184.13424855752965</v>
      </c>
      <c r="AW69" s="20">
        <v>179.53228494734503</v>
      </c>
      <c r="AX69" s="20">
        <v>155.20546172483591</v>
      </c>
      <c r="AY69" s="20">
        <v>153.70817196599091</v>
      </c>
    </row>
    <row r="70" spans="1:51" ht="13">
      <c r="A70" s="222">
        <v>69</v>
      </c>
      <c r="B70" s="20">
        <v>191.80466539255576</v>
      </c>
      <c r="C70" s="20">
        <v>190.78015371705987</v>
      </c>
      <c r="D70" s="20">
        <v>177.22680114347895</v>
      </c>
      <c r="E70" s="20">
        <v>185.92413413061877</v>
      </c>
      <c r="F70" s="20">
        <v>185.54023641700041</v>
      </c>
      <c r="G70" s="20">
        <v>181.77373463986441</v>
      </c>
      <c r="H70" s="20">
        <v>176.50399159792869</v>
      </c>
      <c r="I70" s="20">
        <v>185.01636746877921</v>
      </c>
      <c r="J70" s="20">
        <v>166.63037500693463</v>
      </c>
      <c r="K70" s="20">
        <v>197.68939169880468</v>
      </c>
      <c r="L70" s="20">
        <v>171.49081132702122</v>
      </c>
      <c r="M70" s="20">
        <v>178.99581381316239</v>
      </c>
      <c r="N70" s="20">
        <v>156.789619596384</v>
      </c>
      <c r="O70" s="20">
        <v>199.70997060299851</v>
      </c>
      <c r="P70" s="20">
        <v>192.47474698277074</v>
      </c>
      <c r="Q70" s="20">
        <v>183.20656396172126</v>
      </c>
      <c r="R70" s="20">
        <v>152.64361978624947</v>
      </c>
      <c r="S70" s="20">
        <v>191.96683966656565</v>
      </c>
      <c r="T70" s="20">
        <v>141.16925272974186</v>
      </c>
      <c r="U70" s="20">
        <v>189.75540329920477</v>
      </c>
      <c r="V70" s="20">
        <v>172.04750734963454</v>
      </c>
      <c r="W70" s="20">
        <v>177.57200554187875</v>
      </c>
      <c r="X70" s="20">
        <v>182.24344317859504</v>
      </c>
      <c r="Y70" s="20">
        <v>171.21661572746234</v>
      </c>
      <c r="Z70" s="20">
        <v>169.32700406032382</v>
      </c>
      <c r="AA70" s="20">
        <v>188.11578898821608</v>
      </c>
      <c r="AB70" s="20">
        <v>161.5976178625715</v>
      </c>
      <c r="AC70" s="20">
        <v>165.46749508124776</v>
      </c>
      <c r="AD70" s="20">
        <v>177.89168156086816</v>
      </c>
      <c r="AE70" s="20">
        <v>137.27434166939929</v>
      </c>
      <c r="AF70" s="20">
        <v>155.23281477799173</v>
      </c>
      <c r="AG70" s="20">
        <v>184.26859229366528</v>
      </c>
      <c r="AH70" s="20">
        <v>175.81683992902981</v>
      </c>
      <c r="AI70" s="20">
        <v>167.87367700162577</v>
      </c>
      <c r="AJ70" s="20">
        <v>155.98178366490174</v>
      </c>
      <c r="AK70" s="20">
        <v>183.87865780896391</v>
      </c>
      <c r="AL70" s="20">
        <v>201.04351720947307</v>
      </c>
      <c r="AM70" s="20">
        <v>170.59126422354893</v>
      </c>
      <c r="AN70" s="20">
        <v>197.48966666229535</v>
      </c>
      <c r="AO70" s="20">
        <v>180.2768200475839</v>
      </c>
      <c r="AP70" s="20">
        <v>174.6275960256753</v>
      </c>
      <c r="AQ70" s="20">
        <v>174.38305563773611</v>
      </c>
      <c r="AR70" s="20">
        <v>133.81844370160252</v>
      </c>
      <c r="AS70" s="20">
        <v>207.02203515684232</v>
      </c>
      <c r="AT70" s="20">
        <v>188.13932216362446</v>
      </c>
      <c r="AU70" s="20">
        <v>170.27032628066081</v>
      </c>
      <c r="AV70" s="20">
        <v>129.18984326533973</v>
      </c>
      <c r="AW70" s="20">
        <v>166.040562008493</v>
      </c>
      <c r="AX70" s="20">
        <v>158.35979398689233</v>
      </c>
      <c r="AY70" s="20">
        <v>180.26094368069607</v>
      </c>
    </row>
    <row r="71" spans="1:51" ht="13">
      <c r="A71" s="222">
        <v>70</v>
      </c>
      <c r="B71" s="20">
        <v>146.39498191245366</v>
      </c>
      <c r="C71" s="20">
        <v>164.18925143698289</v>
      </c>
      <c r="D71" s="20">
        <v>183.52156745168031</v>
      </c>
      <c r="E71" s="20">
        <v>184.73985265773081</v>
      </c>
      <c r="F71" s="20">
        <v>173.4256476182054</v>
      </c>
      <c r="G71" s="20">
        <v>189.89752321504056</v>
      </c>
      <c r="H71" s="20">
        <v>189.92197725383448</v>
      </c>
      <c r="I71" s="20">
        <v>182.72822659200756</v>
      </c>
      <c r="J71" s="20">
        <v>161.00560502381995</v>
      </c>
      <c r="K71" s="20">
        <v>163.68927377770888</v>
      </c>
      <c r="L71" s="20">
        <v>163.45919435552787</v>
      </c>
      <c r="M71" s="20">
        <v>174.60119794195634</v>
      </c>
      <c r="N71" s="20">
        <v>169.0772454465332</v>
      </c>
      <c r="O71" s="20">
        <v>136.49290382163599</v>
      </c>
      <c r="P71" s="20">
        <v>161.5376253183058</v>
      </c>
      <c r="Q71" s="20">
        <v>159.04314283106942</v>
      </c>
      <c r="R71" s="20">
        <v>170.43166495641344</v>
      </c>
      <c r="S71" s="20">
        <v>139.49860191205516</v>
      </c>
      <c r="T71" s="20">
        <v>177.63956962953671</v>
      </c>
      <c r="U71" s="20">
        <v>181.17292243987322</v>
      </c>
      <c r="V71" s="20">
        <v>164.15052401571302</v>
      </c>
      <c r="W71" s="20">
        <v>210.59634933480993</v>
      </c>
      <c r="X71" s="20">
        <v>184.25471113077947</v>
      </c>
      <c r="Y71" s="20">
        <v>179.5287038119568</v>
      </c>
      <c r="Z71" s="20">
        <v>183.9429818217468</v>
      </c>
      <c r="AA71" s="20">
        <v>168.40620888688136</v>
      </c>
      <c r="AB71" s="20">
        <v>177.47773641603999</v>
      </c>
      <c r="AC71" s="20">
        <v>184.4904180514277</v>
      </c>
      <c r="AD71" s="20">
        <v>208.7147866957821</v>
      </c>
      <c r="AE71" s="20">
        <v>165.08663280619658</v>
      </c>
      <c r="AF71" s="20">
        <v>200.89972609712277</v>
      </c>
      <c r="AG71" s="20">
        <v>159.11769865924725</v>
      </c>
      <c r="AH71" s="20">
        <v>185.93160335585708</v>
      </c>
      <c r="AI71" s="20">
        <v>179.76707100460771</v>
      </c>
      <c r="AJ71" s="20">
        <v>177.28483258979395</v>
      </c>
      <c r="AK71" s="20">
        <v>182.10193717168295</v>
      </c>
      <c r="AL71" s="20">
        <v>181.21166691416875</v>
      </c>
      <c r="AM71" s="20">
        <v>187.87363602386904</v>
      </c>
      <c r="AN71" s="20">
        <v>167.44162154354854</v>
      </c>
      <c r="AO71" s="20">
        <v>204.58317963930313</v>
      </c>
      <c r="AP71" s="20">
        <v>130.56281646713614</v>
      </c>
      <c r="AQ71" s="20">
        <v>180.76059733248258</v>
      </c>
      <c r="AR71" s="20">
        <v>177.62442654275219</v>
      </c>
      <c r="AS71" s="20">
        <v>178.66977701560245</v>
      </c>
      <c r="AT71" s="20">
        <v>175.7088260645105</v>
      </c>
      <c r="AU71" s="20">
        <v>159.23181750695221</v>
      </c>
      <c r="AV71" s="20">
        <v>169.73782850145653</v>
      </c>
      <c r="AW71" s="20">
        <v>152.55262484133709</v>
      </c>
      <c r="AX71" s="20">
        <v>172.69311784802994</v>
      </c>
      <c r="AY71" s="20">
        <v>184.47641751736228</v>
      </c>
    </row>
    <row r="72" spans="1:51" ht="13">
      <c r="A72" s="222">
        <v>71</v>
      </c>
      <c r="B72" s="20">
        <v>175.28287558961893</v>
      </c>
      <c r="C72" s="20">
        <v>135.25471773464233</v>
      </c>
      <c r="D72" s="20">
        <v>161.4066580812505</v>
      </c>
      <c r="E72" s="20">
        <v>190.30515874037519</v>
      </c>
      <c r="F72" s="20">
        <v>159.46322706513456</v>
      </c>
      <c r="G72" s="20">
        <v>161.04810116376029</v>
      </c>
      <c r="H72" s="20">
        <v>167.70106627591304</v>
      </c>
      <c r="I72" s="20">
        <v>181.60768932903011</v>
      </c>
      <c r="J72" s="20">
        <v>177.03091303774272</v>
      </c>
      <c r="K72" s="20">
        <v>185.67580797098344</v>
      </c>
      <c r="L72" s="20">
        <v>193.842638382921</v>
      </c>
      <c r="M72" s="20">
        <v>183.82129143064958</v>
      </c>
      <c r="N72" s="20">
        <v>177.3219740796776</v>
      </c>
      <c r="O72" s="20">
        <v>178.10354835164617</v>
      </c>
      <c r="P72" s="20">
        <v>195.56015091511654</v>
      </c>
      <c r="Q72" s="20">
        <v>162.07656914120889</v>
      </c>
      <c r="R72" s="20">
        <v>180.35623598807433</v>
      </c>
      <c r="S72" s="20">
        <v>178.63785375157022</v>
      </c>
      <c r="T72" s="20">
        <v>196.1544829653576</v>
      </c>
      <c r="U72" s="20">
        <v>181.21417370894051</v>
      </c>
      <c r="V72" s="20">
        <v>194.88260009966325</v>
      </c>
      <c r="W72" s="20">
        <v>172.54320469946833</v>
      </c>
      <c r="X72" s="20">
        <v>176.74176193468156</v>
      </c>
      <c r="Y72" s="20">
        <v>158.69949025800452</v>
      </c>
      <c r="Z72" s="20">
        <v>151.79294665431371</v>
      </c>
      <c r="AA72" s="20">
        <v>165.41828004919807</v>
      </c>
      <c r="AB72" s="20">
        <v>151.59342625411227</v>
      </c>
      <c r="AC72" s="20">
        <v>151.75488430104451</v>
      </c>
      <c r="AD72" s="20">
        <v>178.5103653317492</v>
      </c>
      <c r="AE72" s="20">
        <v>184.14253632799955</v>
      </c>
      <c r="AF72" s="20">
        <v>179.01363422497525</v>
      </c>
      <c r="AG72" s="20">
        <v>160.83804199370206</v>
      </c>
      <c r="AH72" s="20">
        <v>163.33075096626999</v>
      </c>
      <c r="AI72" s="20">
        <v>168.31763547161245</v>
      </c>
      <c r="AJ72" s="20">
        <v>166.91444430834963</v>
      </c>
      <c r="AK72" s="20">
        <v>193.90341536636697</v>
      </c>
      <c r="AL72" s="20">
        <v>195.65148692054208</v>
      </c>
      <c r="AM72" s="20">
        <v>194.10314040287631</v>
      </c>
      <c r="AN72" s="20">
        <v>187.20955709868576</v>
      </c>
      <c r="AO72" s="20">
        <v>161.59591256000567</v>
      </c>
      <c r="AP72" s="20">
        <v>174.19465381026384</v>
      </c>
      <c r="AQ72" s="20">
        <v>178.36546577273111</v>
      </c>
      <c r="AR72" s="20">
        <v>177.40098074755224</v>
      </c>
      <c r="AS72" s="20">
        <v>171.58980414096732</v>
      </c>
      <c r="AT72" s="20">
        <v>215.52672011312097</v>
      </c>
      <c r="AU72" s="20">
        <v>149.14604422374396</v>
      </c>
      <c r="AV72" s="20">
        <v>172.72678052067931</v>
      </c>
      <c r="AW72" s="20">
        <v>166.73739979596576</v>
      </c>
      <c r="AX72" s="20">
        <v>160.3281224204693</v>
      </c>
      <c r="AY72" s="20">
        <v>155.48431280039949</v>
      </c>
    </row>
    <row r="73" spans="1:51" ht="13">
      <c r="A73" s="222">
        <v>72</v>
      </c>
      <c r="B73" s="20">
        <v>180.70381075704063</v>
      </c>
      <c r="C73" s="20">
        <v>172.33829554315889</v>
      </c>
      <c r="D73" s="20">
        <v>189.06724550179206</v>
      </c>
      <c r="E73" s="20">
        <v>186.09237928176299</v>
      </c>
      <c r="F73" s="20">
        <v>203.85644789785147</v>
      </c>
      <c r="G73" s="20">
        <v>173.21664573573798</v>
      </c>
      <c r="H73" s="20">
        <v>181.40596908851876</v>
      </c>
      <c r="I73" s="20">
        <v>188.96427933286759</v>
      </c>
      <c r="J73" s="20">
        <v>162.25030536661507</v>
      </c>
      <c r="K73" s="20">
        <v>167.4754888525058</v>
      </c>
      <c r="L73" s="20">
        <v>172.78363530822389</v>
      </c>
      <c r="M73" s="20">
        <v>181.837325372544</v>
      </c>
      <c r="N73" s="20">
        <v>174.57710201670125</v>
      </c>
      <c r="O73" s="20">
        <v>184.74692966337898</v>
      </c>
      <c r="P73" s="20">
        <v>182.01348312759364</v>
      </c>
      <c r="Q73" s="20">
        <v>199.4118155023898</v>
      </c>
      <c r="R73" s="20">
        <v>192.06073362583993</v>
      </c>
      <c r="S73" s="20">
        <v>174.66204313750495</v>
      </c>
      <c r="T73" s="20">
        <v>163.83661191939609</v>
      </c>
      <c r="U73" s="20">
        <v>172.52809571873513</v>
      </c>
      <c r="V73" s="20">
        <v>173.68504119149293</v>
      </c>
      <c r="W73" s="20">
        <v>163.15912931604544</v>
      </c>
      <c r="X73" s="20">
        <v>177.8519309580588</v>
      </c>
      <c r="Y73" s="20">
        <v>185.63887111740769</v>
      </c>
      <c r="Z73" s="20">
        <v>179.28428279519721</v>
      </c>
      <c r="AA73" s="20">
        <v>183.22388983579003</v>
      </c>
      <c r="AB73" s="20">
        <v>169.0673205856001</v>
      </c>
      <c r="AC73" s="20">
        <v>175.99500994110713</v>
      </c>
      <c r="AD73" s="20">
        <v>178.46084334523766</v>
      </c>
      <c r="AE73" s="20">
        <v>171.82138422940625</v>
      </c>
      <c r="AF73" s="20">
        <v>192.44087967381347</v>
      </c>
      <c r="AG73" s="20">
        <v>162.60736161784735</v>
      </c>
      <c r="AH73" s="20">
        <v>147.48985437181545</v>
      </c>
      <c r="AI73" s="20">
        <v>187.0615027299209</v>
      </c>
      <c r="AJ73" s="20">
        <v>166.18007281140308</v>
      </c>
      <c r="AK73" s="20">
        <v>178.15046122523199</v>
      </c>
      <c r="AL73" s="20">
        <v>184.00611212273361</v>
      </c>
      <c r="AM73" s="20">
        <v>175.30238425097195</v>
      </c>
      <c r="AN73" s="20">
        <v>192.91188424249412</v>
      </c>
      <c r="AO73" s="20">
        <v>146.93467606848571</v>
      </c>
      <c r="AP73" s="20">
        <v>198.96134277660167</v>
      </c>
      <c r="AQ73" s="20">
        <v>156.25545062066521</v>
      </c>
      <c r="AR73" s="20">
        <v>175.30238425097195</v>
      </c>
      <c r="AS73" s="20">
        <v>169.66944586856698</v>
      </c>
      <c r="AT73" s="20">
        <v>205.38671820831951</v>
      </c>
      <c r="AU73" s="20">
        <v>145.62268448644318</v>
      </c>
      <c r="AV73" s="20">
        <v>171.25687792104145</v>
      </c>
      <c r="AW73" s="20">
        <v>178.31370983985835</v>
      </c>
      <c r="AX73" s="20">
        <v>214.63123162975535</v>
      </c>
      <c r="AY73" s="20">
        <v>180.24875076735043</v>
      </c>
    </row>
    <row r="74" spans="1:51" ht="13">
      <c r="A74" s="222">
        <v>73</v>
      </c>
      <c r="B74" s="20">
        <v>167.98138391168322</v>
      </c>
      <c r="C74" s="20">
        <v>168.77457129412505</v>
      </c>
      <c r="D74" s="20">
        <v>195.80053036479512</v>
      </c>
      <c r="E74" s="20">
        <v>164.9822000770655</v>
      </c>
      <c r="F74" s="20">
        <v>179.23409574068501</v>
      </c>
      <c r="G74" s="20">
        <v>163.80025486869272</v>
      </c>
      <c r="H74" s="20">
        <v>172.87176534482569</v>
      </c>
      <c r="I74" s="20">
        <v>181.24294216322596</v>
      </c>
      <c r="J74" s="20">
        <v>183.97178438208357</v>
      </c>
      <c r="K74" s="20">
        <v>198.3988657782902</v>
      </c>
      <c r="L74" s="20">
        <v>194.19904661917826</v>
      </c>
      <c r="M74" s="20">
        <v>163.84570118207193</v>
      </c>
      <c r="N74" s="20">
        <v>150.98094978457084</v>
      </c>
      <c r="O74" s="20">
        <v>169.01640025098459</v>
      </c>
      <c r="P74" s="20">
        <v>150.0873030279763</v>
      </c>
      <c r="Q74" s="20">
        <v>153.31762357236585</v>
      </c>
      <c r="R74" s="20">
        <v>175.45732804210274</v>
      </c>
      <c r="S74" s="20">
        <v>170.49532390119566</v>
      </c>
      <c r="T74" s="20">
        <v>176.17563558887923</v>
      </c>
      <c r="U74" s="20">
        <v>170.30649574808194</v>
      </c>
      <c r="V74" s="20">
        <v>185.06087586574722</v>
      </c>
      <c r="W74" s="20">
        <v>147.61229509604163</v>
      </c>
      <c r="X74" s="20">
        <v>155.18076894368278</v>
      </c>
      <c r="Y74" s="20">
        <v>168.28213107219199</v>
      </c>
      <c r="Z74" s="20">
        <v>172.08377913520962</v>
      </c>
      <c r="AA74" s="20">
        <v>159.10964963113656</v>
      </c>
      <c r="AB74" s="20">
        <v>164.69930743442092</v>
      </c>
      <c r="AC74" s="20">
        <v>185.50647142619709</v>
      </c>
      <c r="AD74" s="20">
        <v>172.09430085204076</v>
      </c>
      <c r="AE74" s="20">
        <v>170.21966174143017</v>
      </c>
      <c r="AF74" s="20">
        <v>176.05943627204397</v>
      </c>
      <c r="AG74" s="20">
        <v>214.59357854910195</v>
      </c>
      <c r="AH74" s="20">
        <v>173.23859297976014</v>
      </c>
      <c r="AI74" s="20">
        <v>153.21932993247174</v>
      </c>
      <c r="AJ74" s="20">
        <v>142.46664692182094</v>
      </c>
      <c r="AK74" s="20">
        <v>199.37736839056015</v>
      </c>
      <c r="AL74" s="20">
        <v>192.91891008906532</v>
      </c>
      <c r="AM74" s="20">
        <v>169.00274077743234</v>
      </c>
      <c r="AN74" s="20">
        <v>164.40093064447865</v>
      </c>
      <c r="AO74" s="20">
        <v>203.42330104613211</v>
      </c>
      <c r="AP74" s="20">
        <v>166.20734059943061</v>
      </c>
      <c r="AQ74" s="20">
        <v>155.56695176273934</v>
      </c>
      <c r="AR74" s="20">
        <v>161.09226850021514</v>
      </c>
      <c r="AS74" s="20">
        <v>176.6182127637876</v>
      </c>
      <c r="AT74" s="20">
        <v>175.05105675882078</v>
      </c>
      <c r="AU74" s="20">
        <v>169.25176611111965</v>
      </c>
      <c r="AV74" s="20">
        <v>172.9772042024706</v>
      </c>
      <c r="AW74" s="20">
        <v>166.01312369020889</v>
      </c>
      <c r="AX74" s="20">
        <v>187.95006768486928</v>
      </c>
      <c r="AY74" s="20">
        <v>178.06371248370851</v>
      </c>
    </row>
    <row r="75" spans="1:51" ht="13">
      <c r="A75" s="222">
        <v>74</v>
      </c>
      <c r="B75" s="20">
        <v>171.04340814585157</v>
      </c>
      <c r="C75" s="20">
        <v>166.64778614613169</v>
      </c>
      <c r="D75" s="20">
        <v>188.96782636220451</v>
      </c>
      <c r="E75" s="20">
        <v>170.91494770356803</v>
      </c>
      <c r="F75" s="20">
        <v>163.21861026954139</v>
      </c>
      <c r="G75" s="20">
        <v>175.06597815627174</v>
      </c>
      <c r="H75" s="20">
        <v>190.37678144813981</v>
      </c>
      <c r="I75" s="20">
        <v>166.80278109633946</v>
      </c>
      <c r="J75" s="20">
        <v>184.8264308689977</v>
      </c>
      <c r="K75" s="20">
        <v>189.56116933695739</v>
      </c>
      <c r="L75" s="20">
        <v>167.84410705513437</v>
      </c>
      <c r="M75" s="20">
        <v>190.30321469545015</v>
      </c>
      <c r="N75" s="20">
        <v>156.83511706884019</v>
      </c>
      <c r="O75" s="20">
        <v>193.14343022488174</v>
      </c>
      <c r="P75" s="20">
        <v>196.34540864062728</v>
      </c>
      <c r="Q75" s="20">
        <v>135.90737113263458</v>
      </c>
      <c r="R75" s="20">
        <v>194.77809915842954</v>
      </c>
      <c r="S75" s="20">
        <v>156.53771230136044</v>
      </c>
      <c r="T75" s="20">
        <v>163.56690126558533</v>
      </c>
      <c r="U75" s="20">
        <v>192.17515942800674</v>
      </c>
      <c r="V75" s="20">
        <v>202.28504568949575</v>
      </c>
      <c r="W75" s="20">
        <v>213.20532583631575</v>
      </c>
      <c r="X75" s="20">
        <v>161.52906469942536</v>
      </c>
      <c r="Y75" s="20">
        <v>183.58367457112763</v>
      </c>
      <c r="Z75" s="20">
        <v>175.59972080634907</v>
      </c>
      <c r="AA75" s="20">
        <v>168.41127363550186</v>
      </c>
      <c r="AB75" s="20">
        <v>177.06566710403422</v>
      </c>
      <c r="AC75" s="20">
        <v>173.50523408895242</v>
      </c>
      <c r="AD75" s="20">
        <v>185.67874109139666</v>
      </c>
      <c r="AE75" s="20">
        <v>148.24380274221767</v>
      </c>
      <c r="AF75" s="20">
        <v>173.85887973505305</v>
      </c>
      <c r="AG75" s="20">
        <v>175.02008846422541</v>
      </c>
      <c r="AH75" s="20">
        <v>179.13031102652894</v>
      </c>
      <c r="AI75" s="20">
        <v>179.90122715746111</v>
      </c>
      <c r="AJ75" s="20">
        <v>162.62349378012004</v>
      </c>
      <c r="AK75" s="20">
        <v>153.08004081889521</v>
      </c>
      <c r="AL75" s="20">
        <v>181.52938183520746</v>
      </c>
      <c r="AM75" s="20">
        <v>188.46752469544299</v>
      </c>
      <c r="AN75" s="20">
        <v>174.01648379818653</v>
      </c>
      <c r="AO75" s="20">
        <v>204.7126462101005</v>
      </c>
      <c r="AP75" s="20">
        <v>162.65088093932718</v>
      </c>
      <c r="AQ75" s="20">
        <v>167.22324049696908</v>
      </c>
      <c r="AR75" s="20">
        <v>161.53077000199119</v>
      </c>
      <c r="AS75" s="20">
        <v>198.66994067415362</v>
      </c>
      <c r="AT75" s="20">
        <v>161.00028447981458</v>
      </c>
      <c r="AU75" s="20">
        <v>166.45278479772969</v>
      </c>
      <c r="AV75" s="20">
        <v>150.80141553044086</v>
      </c>
      <c r="AW75" s="20">
        <v>171.45897332811728</v>
      </c>
      <c r="AX75" s="20">
        <v>144.16212694486603</v>
      </c>
      <c r="AY75" s="20">
        <v>182.83061295805965</v>
      </c>
    </row>
    <row r="76" spans="1:51" ht="13">
      <c r="A76" s="222">
        <v>75</v>
      </c>
      <c r="B76" s="20">
        <v>209.39417923800647</v>
      </c>
      <c r="C76" s="20">
        <v>207.02203515684232</v>
      </c>
      <c r="D76" s="20">
        <v>169.85604007531947</v>
      </c>
      <c r="E76" s="20">
        <v>184.9376336493151</v>
      </c>
      <c r="F76" s="20">
        <v>180.79767061026359</v>
      </c>
      <c r="G76" s="20">
        <v>172.06038238400652</v>
      </c>
      <c r="H76" s="20">
        <v>166.7414243100211</v>
      </c>
      <c r="I76" s="20">
        <v>183.63780087456689</v>
      </c>
      <c r="J76" s="20">
        <v>154.25035586376907</v>
      </c>
      <c r="K76" s="20">
        <v>167.9134787635121</v>
      </c>
      <c r="L76" s="20">
        <v>167.57033778121695</v>
      </c>
      <c r="M76" s="20">
        <v>181.39969357507653</v>
      </c>
      <c r="N76" s="20">
        <v>190.17825012342655</v>
      </c>
      <c r="O76" s="20">
        <v>169.9277821542637</v>
      </c>
      <c r="P76" s="20">
        <v>184.56906660576351</v>
      </c>
      <c r="Q76" s="20">
        <v>197.84184574818937</v>
      </c>
      <c r="R76" s="20">
        <v>175.62842104853189</v>
      </c>
      <c r="S76" s="20">
        <v>172.85670752316946</v>
      </c>
      <c r="T76" s="20">
        <v>178.25259179589921</v>
      </c>
      <c r="U76" s="20">
        <v>156.60360519250389</v>
      </c>
      <c r="V76" s="20">
        <v>145.95133039692882</v>
      </c>
      <c r="W76" s="20">
        <v>166.01174239513057</v>
      </c>
      <c r="X76" s="20">
        <v>180.58680994799943</v>
      </c>
      <c r="Y76" s="20">
        <v>169.91441258214763</v>
      </c>
      <c r="Z76" s="20">
        <v>181.23293203716457</v>
      </c>
      <c r="AA76" s="20">
        <v>141.34223862201907</v>
      </c>
      <c r="AB76" s="20">
        <v>196.23852027580142</v>
      </c>
      <c r="AC76" s="20">
        <v>188.72710585201276</v>
      </c>
      <c r="AD76" s="20">
        <v>162.49399310327135</v>
      </c>
      <c r="AE76" s="20">
        <v>173.47641447558999</v>
      </c>
      <c r="AF76" s="20">
        <v>152.41101651627105</v>
      </c>
      <c r="AG76" s="20">
        <v>189.74237478760188</v>
      </c>
      <c r="AH76" s="20">
        <v>153.29149833705742</v>
      </c>
      <c r="AI76" s="20">
        <v>164.7978568696999</v>
      </c>
      <c r="AJ76" s="20">
        <v>202.65325461950852</v>
      </c>
      <c r="AK76" s="20">
        <v>193.88315637188498</v>
      </c>
      <c r="AL76" s="20">
        <v>195.67819195872289</v>
      </c>
      <c r="AM76" s="20">
        <v>184.96623157334398</v>
      </c>
      <c r="AN76" s="20">
        <v>159.9304799681704</v>
      </c>
      <c r="AO76" s="20">
        <v>209.1445229423698</v>
      </c>
      <c r="AP76" s="20">
        <v>174.49558855405485</v>
      </c>
      <c r="AQ76" s="20">
        <v>204.61523932754062</v>
      </c>
      <c r="AR76" s="20">
        <v>161.75423285021679</v>
      </c>
      <c r="AS76" s="20">
        <v>157.19302597135538</v>
      </c>
      <c r="AT76" s="20">
        <v>167.21537905214063</v>
      </c>
      <c r="AU76" s="20">
        <v>167.78619497999898</v>
      </c>
      <c r="AV76" s="20">
        <v>180.22190930496436</v>
      </c>
      <c r="AW76" s="20">
        <v>195.15094651142135</v>
      </c>
      <c r="AX76" s="20">
        <v>195.848688109254</v>
      </c>
      <c r="AY76" s="20">
        <v>166.4298314251937</v>
      </c>
    </row>
    <row r="77" spans="1:51" ht="13">
      <c r="A77" s="222">
        <v>76</v>
      </c>
      <c r="B77" s="20">
        <v>193.07443368306849</v>
      </c>
      <c r="C77" s="20">
        <v>192.93064257071819</v>
      </c>
      <c r="D77" s="20">
        <v>165.35487689980073</v>
      </c>
      <c r="E77" s="20">
        <v>160.80755118382513</v>
      </c>
      <c r="F77" s="20">
        <v>169.6254149563174</v>
      </c>
      <c r="G77" s="20">
        <v>170.86252670269459</v>
      </c>
      <c r="H77" s="20">
        <v>195.24470404649037</v>
      </c>
      <c r="I77" s="20">
        <v>188.1443698592193</v>
      </c>
      <c r="J77" s="20">
        <v>168.78207462541468</v>
      </c>
      <c r="K77" s="20">
        <v>186.61498630608548</v>
      </c>
      <c r="L77" s="20">
        <v>185.45814315148164</v>
      </c>
      <c r="M77" s="20">
        <v>164.85130105211283</v>
      </c>
      <c r="N77" s="20">
        <v>148.05594661156647</v>
      </c>
      <c r="O77" s="20">
        <v>187.5596898215008</v>
      </c>
      <c r="P77" s="20">
        <v>194.28526671690634</v>
      </c>
      <c r="Q77" s="20">
        <v>180.71738496546459</v>
      </c>
      <c r="R77" s="20">
        <v>153.72389485564781</v>
      </c>
      <c r="S77" s="20">
        <v>186.09839899982035</v>
      </c>
      <c r="T77" s="20">
        <v>164.97213879192714</v>
      </c>
      <c r="U77" s="20">
        <v>157.92831833168748</v>
      </c>
      <c r="V77" s="20">
        <v>150.67406353482511</v>
      </c>
      <c r="W77" s="20">
        <v>178.13403916152311</v>
      </c>
      <c r="X77" s="20">
        <v>182.6758567502111</v>
      </c>
      <c r="Y77" s="20">
        <v>193.40857066781609</v>
      </c>
      <c r="Z77" s="20">
        <v>166.04330754562397</v>
      </c>
      <c r="AA77" s="20">
        <v>140.07594914874062</v>
      </c>
      <c r="AB77" s="20">
        <v>164.70947103771323</v>
      </c>
      <c r="AC77" s="20">
        <v>170.52772464994632</v>
      </c>
      <c r="AD77" s="20">
        <v>172.51646555523621</v>
      </c>
      <c r="AE77" s="20">
        <v>171.38694134773687</v>
      </c>
      <c r="AF77" s="20">
        <v>155.46023392817006</v>
      </c>
      <c r="AG77" s="20">
        <v>186.47917600974324</v>
      </c>
      <c r="AH77" s="20">
        <v>165.66884015519463</v>
      </c>
      <c r="AI77" s="20">
        <v>166.781447761241</v>
      </c>
      <c r="AJ77" s="20">
        <v>201.49549060151912</v>
      </c>
      <c r="AK77" s="20">
        <v>177.24885070565506</v>
      </c>
      <c r="AL77" s="20">
        <v>196.81368472520262</v>
      </c>
      <c r="AM77" s="20">
        <v>193.56798235166934</v>
      </c>
      <c r="AN77" s="20">
        <v>180.06128685628937</v>
      </c>
      <c r="AO77" s="20">
        <v>174.78942923917202</v>
      </c>
      <c r="AP77" s="20">
        <v>162.22066720802104</v>
      </c>
      <c r="AQ77" s="20">
        <v>156.61090388748562</v>
      </c>
      <c r="AR77" s="20">
        <v>158.61224697873695</v>
      </c>
      <c r="AS77" s="20">
        <v>186.00656845665071</v>
      </c>
      <c r="AT77" s="20">
        <v>162.54266243849997</v>
      </c>
      <c r="AU77" s="20">
        <v>142.80784385919105</v>
      </c>
      <c r="AV77" s="20">
        <v>172.11418467995827</v>
      </c>
      <c r="AW77" s="20">
        <v>177.6955206067214</v>
      </c>
      <c r="AX77" s="20">
        <v>186.939846444875</v>
      </c>
      <c r="AY77" s="20">
        <v>169.29618924295937</v>
      </c>
    </row>
    <row r="78" spans="1:51" ht="13">
      <c r="A78" s="222">
        <v>77</v>
      </c>
      <c r="B78" s="20">
        <v>201.31186362123117</v>
      </c>
      <c r="C78" s="20">
        <v>194.98805601033382</v>
      </c>
      <c r="D78" s="20">
        <v>162.03492565255146</v>
      </c>
      <c r="E78" s="20">
        <v>155.43608684383798</v>
      </c>
      <c r="F78" s="20">
        <v>160.82729858753737</v>
      </c>
      <c r="G78" s="20">
        <v>196.56559730792651</v>
      </c>
      <c r="H78" s="20">
        <v>163.88800973873003</v>
      </c>
      <c r="I78" s="20">
        <v>179.34886260336498</v>
      </c>
      <c r="J78" s="20">
        <v>156.78723217279185</v>
      </c>
      <c r="K78" s="20">
        <v>175.59052922551928</v>
      </c>
      <c r="L78" s="20">
        <v>176.73019998328527</v>
      </c>
      <c r="M78" s="20">
        <v>172.32779087935342</v>
      </c>
      <c r="N78" s="20">
        <v>165.9264602138137</v>
      </c>
      <c r="O78" s="20">
        <v>175.57905253925128</v>
      </c>
      <c r="P78" s="20">
        <v>162.83993078177446</v>
      </c>
      <c r="Q78" s="20">
        <v>159.08952706085984</v>
      </c>
      <c r="R78" s="20">
        <v>199.34298949083313</v>
      </c>
      <c r="S78" s="20">
        <v>164.1281504460494</v>
      </c>
      <c r="T78" s="20">
        <v>162.63316284566827</v>
      </c>
      <c r="U78" s="20">
        <v>176.64244511324796</v>
      </c>
      <c r="V78" s="20">
        <v>150.4578311694786</v>
      </c>
      <c r="W78" s="20">
        <v>180.12571318722621</v>
      </c>
      <c r="X78" s="20">
        <v>149.60995473375078</v>
      </c>
      <c r="Y78" s="20">
        <v>171.52029600838432</v>
      </c>
      <c r="Z78" s="20">
        <v>187.26235326612368</v>
      </c>
      <c r="AA78" s="20">
        <v>195.6426193471998</v>
      </c>
      <c r="AB78" s="20">
        <v>157.42535639292328</v>
      </c>
      <c r="AC78" s="20">
        <v>153.59763425367419</v>
      </c>
      <c r="AD78" s="20">
        <v>158.00266952355742</v>
      </c>
      <c r="AE78" s="20">
        <v>188.1663000502158</v>
      </c>
      <c r="AF78" s="20">
        <v>202.07761268538889</v>
      </c>
      <c r="AG78" s="20">
        <v>166.24137843864446</v>
      </c>
      <c r="AH78" s="20">
        <v>170.19428683925071</v>
      </c>
      <c r="AI78" s="20">
        <v>168.82457076535502</v>
      </c>
      <c r="AJ78" s="20">
        <v>153.97812136216089</v>
      </c>
      <c r="AK78" s="20">
        <v>166.29303205336328</v>
      </c>
      <c r="AL78" s="20">
        <v>195.15377731368062</v>
      </c>
      <c r="AM78" s="20">
        <v>169.19613914142246</v>
      </c>
      <c r="AN78" s="20">
        <v>174.69302848512598</v>
      </c>
      <c r="AO78" s="20">
        <v>191.05825445949449</v>
      </c>
      <c r="AP78" s="20">
        <v>169.86212800547946</v>
      </c>
      <c r="AQ78" s="20">
        <v>177.48703031502373</v>
      </c>
      <c r="AR78" s="20">
        <v>181.41981614535325</v>
      </c>
      <c r="AS78" s="20">
        <v>159.46322706513456</v>
      </c>
      <c r="AT78" s="20">
        <v>162.25688783451915</v>
      </c>
      <c r="AU78" s="20">
        <v>174.7217287273088</v>
      </c>
      <c r="AV78" s="20">
        <v>203.75494828913361</v>
      </c>
      <c r="AW78" s="20">
        <v>194.99085270654177</v>
      </c>
      <c r="AX78" s="20">
        <v>152.64014096901519</v>
      </c>
      <c r="AY78" s="20">
        <v>194.18083398777526</v>
      </c>
    </row>
    <row r="79" spans="1:51" ht="13">
      <c r="A79" s="222">
        <v>78</v>
      </c>
      <c r="B79" s="20">
        <v>168.54118358496635</v>
      </c>
      <c r="C79" s="20">
        <v>161.04810116376029</v>
      </c>
      <c r="D79" s="20">
        <v>196.79717739636544</v>
      </c>
      <c r="E79" s="20">
        <v>162.39136799486005</v>
      </c>
      <c r="F79" s="20">
        <v>163.16226707276655</v>
      </c>
      <c r="G79" s="20">
        <v>197.26961441920139</v>
      </c>
      <c r="H79" s="20">
        <v>162.71517084605875</v>
      </c>
      <c r="I79" s="20">
        <v>174.83992324814608</v>
      </c>
      <c r="J79" s="20">
        <v>179.74534544991911</v>
      </c>
      <c r="K79" s="20">
        <v>184.00062104847166</v>
      </c>
      <c r="L79" s="20">
        <v>147.24572325649206</v>
      </c>
      <c r="M79" s="20">
        <v>177.41143425228074</v>
      </c>
      <c r="N79" s="20">
        <v>165.4506125858461</v>
      </c>
      <c r="O79" s="20">
        <v>190.46436578792054</v>
      </c>
      <c r="P79" s="20">
        <v>191.10924300621264</v>
      </c>
      <c r="Q79" s="20">
        <v>177.98876443594054</v>
      </c>
      <c r="R79" s="20">
        <v>174.75730133883189</v>
      </c>
      <c r="S79" s="20">
        <v>149.62434748740634</v>
      </c>
      <c r="T79" s="20">
        <v>172.52226358396001</v>
      </c>
      <c r="U79" s="20">
        <v>189.93139052399783</v>
      </c>
      <c r="V79" s="20">
        <v>166.45549622880935</v>
      </c>
      <c r="W79" s="20">
        <v>168.21228187909583</v>
      </c>
      <c r="X79" s="20">
        <v>175.17039383237716</v>
      </c>
      <c r="Y79" s="20">
        <v>166.75342964008451</v>
      </c>
      <c r="Z79" s="20">
        <v>186.05319142880035</v>
      </c>
      <c r="AA79" s="20">
        <v>193.38664047681959</v>
      </c>
      <c r="AB79" s="20">
        <v>159.7237972971925</v>
      </c>
      <c r="AC79" s="20">
        <v>156.77045199554414</v>
      </c>
      <c r="AD79" s="20">
        <v>178.79878315470705</v>
      </c>
      <c r="AE79" s="20">
        <v>183.20922423372394</v>
      </c>
      <c r="AF79" s="20">
        <v>162.51186467416119</v>
      </c>
      <c r="AG79" s="20">
        <v>160.37805367959663</v>
      </c>
      <c r="AH79" s="20">
        <v>184.36320248001721</v>
      </c>
      <c r="AI79" s="20">
        <v>186.40090262197191</v>
      </c>
      <c r="AJ79" s="20">
        <v>176.89665456673538</v>
      </c>
      <c r="AK79" s="20">
        <v>177.7748683351092</v>
      </c>
      <c r="AL79" s="20">
        <v>188.66441892969306</v>
      </c>
      <c r="AM79" s="20">
        <v>178.45966668646724</v>
      </c>
      <c r="AN79" s="20">
        <v>193.39393917180132</v>
      </c>
      <c r="AO79" s="20">
        <v>163.41594788245857</v>
      </c>
      <c r="AP79" s="20">
        <v>189.30776137567591</v>
      </c>
      <c r="AQ79" s="20">
        <v>191.43788891669828</v>
      </c>
      <c r="AR79" s="20">
        <v>182.11991106072674</v>
      </c>
      <c r="AS79" s="20">
        <v>172.68730276628048</v>
      </c>
      <c r="AT79" s="20">
        <v>156.83750449243234</v>
      </c>
      <c r="AU79" s="20">
        <v>140.37935658125207</v>
      </c>
      <c r="AV79" s="20">
        <v>188.09726940235123</v>
      </c>
      <c r="AW79" s="20">
        <v>182.32995317775931</v>
      </c>
      <c r="AX79" s="20">
        <v>174.78942923917202</v>
      </c>
      <c r="AY79" s="20">
        <v>173.28364707354922</v>
      </c>
    </row>
    <row r="80" spans="1:51" ht="13">
      <c r="A80" s="222">
        <v>79</v>
      </c>
      <c r="B80" s="20">
        <v>187.6347913464997</v>
      </c>
      <c r="C80" s="20">
        <v>174.22453071121708</v>
      </c>
      <c r="D80" s="20">
        <v>179.20783408117131</v>
      </c>
      <c r="E80" s="20">
        <v>165.23322061475483</v>
      </c>
      <c r="F80" s="20">
        <v>151.23797298729187</v>
      </c>
      <c r="G80" s="20">
        <v>169.4709657029307</v>
      </c>
      <c r="H80" s="20">
        <v>156.92791963447235</v>
      </c>
      <c r="I80" s="20">
        <v>157.89977156673558</v>
      </c>
      <c r="J80" s="20">
        <v>200.55505034251837</v>
      </c>
      <c r="K80" s="20">
        <v>161.43261278630234</v>
      </c>
      <c r="L80" s="20">
        <v>195.58361587842228</v>
      </c>
      <c r="M80" s="20">
        <v>168.05556457329658</v>
      </c>
      <c r="N80" s="20">
        <v>165.46889342935174</v>
      </c>
      <c r="O80" s="20">
        <v>176.74176193468156</v>
      </c>
      <c r="P80" s="20">
        <v>156.47144424365251</v>
      </c>
      <c r="Q80" s="20">
        <v>174.51395466268877</v>
      </c>
      <c r="R80" s="20">
        <v>184.77672129920393</v>
      </c>
      <c r="S80" s="20">
        <v>176.44287355396955</v>
      </c>
      <c r="T80" s="20">
        <v>185.14436747936998</v>
      </c>
      <c r="U80" s="20">
        <v>200.7431793215801</v>
      </c>
      <c r="V80" s="20">
        <v>170.73005879938137</v>
      </c>
      <c r="W80" s="20">
        <v>183.11874087958131</v>
      </c>
      <c r="X80" s="20">
        <v>158.50341456898605</v>
      </c>
      <c r="Y80" s="20">
        <v>176.75792820300558</v>
      </c>
      <c r="Z80" s="20">
        <v>160.01577920251293</v>
      </c>
      <c r="AA80" s="20">
        <v>172.98530438965827</v>
      </c>
      <c r="AB80" s="20">
        <v>184.23666902963305</v>
      </c>
      <c r="AC80" s="20">
        <v>170.13023567487835</v>
      </c>
      <c r="AD80" s="20">
        <v>180.85212092119036</v>
      </c>
      <c r="AE80" s="20">
        <v>180.16587306265137</v>
      </c>
      <c r="AF80" s="20">
        <v>172.2087948663102</v>
      </c>
      <c r="AG80" s="20">
        <v>184.14806150831282</v>
      </c>
      <c r="AH80" s="20">
        <v>178.60359422302281</v>
      </c>
      <c r="AI80" s="20">
        <v>185.37927290781226</v>
      </c>
      <c r="AJ80" s="20">
        <v>165.08093709562672</v>
      </c>
      <c r="AK80" s="20">
        <v>176.90939317690209</v>
      </c>
      <c r="AL80" s="20">
        <v>178.10354835164617</v>
      </c>
      <c r="AM80" s="20">
        <v>168.45673700190673</v>
      </c>
      <c r="AN80" s="20">
        <v>164.32125890860334</v>
      </c>
      <c r="AO80" s="20">
        <v>174.89041725712013</v>
      </c>
      <c r="AP80" s="20">
        <v>199.29183041385841</v>
      </c>
      <c r="AQ80" s="20">
        <v>196.06485226249788</v>
      </c>
      <c r="AR80" s="20">
        <v>175.8363656434085</v>
      </c>
      <c r="AS80" s="20">
        <v>161.5976178625715</v>
      </c>
      <c r="AT80" s="20">
        <v>161.87414972664556</v>
      </c>
      <c r="AU80" s="20">
        <v>173.70806277613156</v>
      </c>
      <c r="AV80" s="20">
        <v>172.76856043354201</v>
      </c>
      <c r="AW80" s="20">
        <v>179.08505229643197</v>
      </c>
      <c r="AX80" s="20">
        <v>190.99935330887092</v>
      </c>
      <c r="AY80" s="20">
        <v>166.55651835280878</v>
      </c>
    </row>
    <row r="81" spans="1:51" ht="13">
      <c r="A81" s="222">
        <v>80</v>
      </c>
      <c r="B81" s="20">
        <v>182.23829316484625</v>
      </c>
      <c r="C81" s="20">
        <v>165.03376842665602</v>
      </c>
      <c r="D81" s="20">
        <v>166.07482153704041</v>
      </c>
      <c r="E81" s="20">
        <v>174.1314552971744</v>
      </c>
      <c r="F81" s="20">
        <v>163.44222659499792</v>
      </c>
      <c r="G81" s="20">
        <v>209.1445229423698</v>
      </c>
      <c r="H81" s="20">
        <v>153.09341039101128</v>
      </c>
      <c r="I81" s="20">
        <v>136.91090758657083</v>
      </c>
      <c r="J81" s="20">
        <v>156.71990682749311</v>
      </c>
      <c r="K81" s="20">
        <v>162.33410393469967</v>
      </c>
      <c r="L81" s="20">
        <v>190.29550672785263</v>
      </c>
      <c r="M81" s="20">
        <v>166.96086264419137</v>
      </c>
      <c r="N81" s="20">
        <v>195.40565050265286</v>
      </c>
      <c r="O81" s="20">
        <v>164.70365595596377</v>
      </c>
      <c r="P81" s="20">
        <v>197.95957983733388</v>
      </c>
      <c r="Q81" s="20">
        <v>177.38936763707898</v>
      </c>
      <c r="R81" s="20">
        <v>186.65683443105081</v>
      </c>
      <c r="S81" s="20">
        <v>185.49182287715666</v>
      </c>
      <c r="T81" s="20">
        <v>181.66971118334914</v>
      </c>
      <c r="U81" s="20">
        <v>182.58313944970723</v>
      </c>
      <c r="V81" s="20">
        <v>201.49549060151912</v>
      </c>
      <c r="W81" s="20">
        <v>187.14414169226075</v>
      </c>
      <c r="X81" s="20">
        <v>136.46179910283536</v>
      </c>
      <c r="Y81" s="20">
        <v>198.90397639828734</v>
      </c>
      <c r="Z81" s="20">
        <v>188.04194938711589</v>
      </c>
      <c r="AA81" s="20">
        <v>170.89946355627035</v>
      </c>
      <c r="AB81" s="20">
        <v>201.44105734361801</v>
      </c>
      <c r="AC81" s="20">
        <v>164.9606791586848</v>
      </c>
      <c r="AD81" s="20">
        <v>215.02031346317381</v>
      </c>
      <c r="AE81" s="20">
        <v>178.50564164364187</v>
      </c>
      <c r="AF81" s="20">
        <v>186.4269596451777</v>
      </c>
      <c r="AG81" s="20">
        <v>171.84249587517115</v>
      </c>
      <c r="AH81" s="20">
        <v>153.8455170346424</v>
      </c>
      <c r="AI81" s="20">
        <v>169.67065663338872</v>
      </c>
      <c r="AJ81" s="20">
        <v>160.11560761471628</v>
      </c>
      <c r="AK81" s="20">
        <v>201.84105311345775</v>
      </c>
      <c r="AL81" s="20">
        <v>149.48894646367989</v>
      </c>
      <c r="AM81" s="20">
        <v>177.21286882151617</v>
      </c>
      <c r="AN81" s="20">
        <v>177.41143425228074</v>
      </c>
      <c r="AO81" s="20">
        <v>198.3485934586497</v>
      </c>
      <c r="AP81" s="20">
        <v>147.03972270654049</v>
      </c>
      <c r="AQ81" s="20">
        <v>171.59686409358983</v>
      </c>
      <c r="AR81" s="20">
        <v>192.70063136063982</v>
      </c>
      <c r="AS81" s="20">
        <v>173.22242671143613</v>
      </c>
      <c r="AT81" s="20">
        <v>191.2591732077999</v>
      </c>
      <c r="AU81" s="20">
        <v>176.49130414683896</v>
      </c>
      <c r="AV81" s="20">
        <v>174.10616566012322</v>
      </c>
      <c r="AW81" s="20">
        <v>162.57666617166251</v>
      </c>
      <c r="AX81" s="20">
        <v>176.47055061461288</v>
      </c>
      <c r="AY81" s="20">
        <v>154.74100551800802</v>
      </c>
    </row>
    <row r="82" spans="1:51" ht="13">
      <c r="A82" s="222">
        <v>81</v>
      </c>
      <c r="B82" s="20">
        <v>199.40751813992392</v>
      </c>
      <c r="C82" s="20">
        <v>189.04589511366794</v>
      </c>
      <c r="D82" s="20">
        <v>170.58046965830727</v>
      </c>
      <c r="E82" s="20">
        <v>200.60914253990632</v>
      </c>
      <c r="F82" s="20">
        <v>176.3783278518531</v>
      </c>
      <c r="G82" s="20">
        <v>166.44739604162169</v>
      </c>
      <c r="H82" s="20">
        <v>198.1427293329034</v>
      </c>
      <c r="I82" s="20">
        <v>182.41410985938273</v>
      </c>
      <c r="J82" s="20">
        <v>177.96652729048219</v>
      </c>
      <c r="K82" s="20">
        <v>158.70982439155341</v>
      </c>
      <c r="L82" s="20">
        <v>168.00058561857441</v>
      </c>
      <c r="M82" s="20">
        <v>150.87699454015819</v>
      </c>
      <c r="N82" s="20">
        <v>195.87583652610192</v>
      </c>
      <c r="O82" s="20">
        <v>197.37384251202457</v>
      </c>
      <c r="P82" s="20">
        <v>160.68862338288454</v>
      </c>
      <c r="Q82" s="20">
        <v>188.62795956083573</v>
      </c>
      <c r="R82" s="20">
        <v>182.0032513121987</v>
      </c>
      <c r="S82" s="20">
        <v>175.03270770321251</v>
      </c>
      <c r="T82" s="20">
        <v>190.49369699205272</v>
      </c>
      <c r="U82" s="20">
        <v>186.70656105387025</v>
      </c>
      <c r="V82" s="20">
        <v>167.44554373944993</v>
      </c>
      <c r="W82" s="20">
        <v>174.2911739354895</v>
      </c>
      <c r="X82" s="20">
        <v>150.00940480676945</v>
      </c>
      <c r="Y82" s="20">
        <v>178.11176791001344</v>
      </c>
      <c r="Z82" s="20">
        <v>166.14047568582464</v>
      </c>
      <c r="AA82" s="20">
        <v>187.24794345944247</v>
      </c>
      <c r="AB82" s="20">
        <v>173.33908645996416</v>
      </c>
      <c r="AC82" s="20">
        <v>167.07982455118326</v>
      </c>
      <c r="AD82" s="20">
        <v>170.94114115097909</v>
      </c>
      <c r="AE82" s="20">
        <v>170.58527861154289</v>
      </c>
      <c r="AF82" s="20">
        <v>180.99105192122806</v>
      </c>
      <c r="AG82" s="20">
        <v>171.50024165021023</v>
      </c>
      <c r="AH82" s="20">
        <v>152.26729361602338</v>
      </c>
      <c r="AI82" s="20">
        <v>143.12202880391851</v>
      </c>
      <c r="AJ82" s="20">
        <v>193.30424025683897</v>
      </c>
      <c r="AK82" s="20">
        <v>155.47094322828343</v>
      </c>
      <c r="AL82" s="20">
        <v>174.26704390418308</v>
      </c>
      <c r="AM82" s="20">
        <v>170.14595856453525</v>
      </c>
      <c r="AN82" s="20">
        <v>191.43369387238636</v>
      </c>
      <c r="AO82" s="20">
        <v>174.31414436105115</v>
      </c>
      <c r="AP82" s="20">
        <v>153.851724335982</v>
      </c>
      <c r="AQ82" s="20">
        <v>165.70918761390203</v>
      </c>
      <c r="AR82" s="20">
        <v>164.44948060852767</v>
      </c>
      <c r="AS82" s="20">
        <v>185.5799358607328</v>
      </c>
      <c r="AT82" s="20">
        <v>163.75318851787597</v>
      </c>
      <c r="AU82" s="20">
        <v>164.5725522947032</v>
      </c>
      <c r="AV82" s="20">
        <v>204.77812982862815</v>
      </c>
      <c r="AW82" s="20">
        <v>188.60718897558399</v>
      </c>
      <c r="AX82" s="20">
        <v>175.09924860933097</v>
      </c>
      <c r="AY82" s="20">
        <v>168.49710151363979</v>
      </c>
    </row>
    <row r="83" spans="1:51" ht="13">
      <c r="A83" s="222">
        <v>82</v>
      </c>
      <c r="B83" s="20">
        <v>159.9095729587134</v>
      </c>
      <c r="C83" s="20">
        <v>168.88945752798463</v>
      </c>
      <c r="D83" s="20">
        <v>175.25187318897224</v>
      </c>
      <c r="E83" s="20">
        <v>165.5977119851741</v>
      </c>
      <c r="F83" s="20">
        <v>175.02581828084658</v>
      </c>
      <c r="G83" s="20">
        <v>199.33876034046989</v>
      </c>
      <c r="H83" s="20">
        <v>178.30664988723584</v>
      </c>
      <c r="I83" s="20">
        <v>195.13682660617633</v>
      </c>
      <c r="J83" s="20">
        <v>160.47921222780133</v>
      </c>
      <c r="K83" s="20">
        <v>170.00912508665351</v>
      </c>
      <c r="L83" s="20">
        <v>171.22253312736575</v>
      </c>
      <c r="M83" s="20">
        <v>163.32918208790943</v>
      </c>
      <c r="N83" s="20">
        <v>148.61842360987794</v>
      </c>
      <c r="O83" s="20">
        <v>164.29018829585402</v>
      </c>
      <c r="P83" s="20">
        <v>183.15329030956491</v>
      </c>
      <c r="Q83" s="20">
        <v>173.60782509131241</v>
      </c>
      <c r="R83" s="20">
        <v>158.70361709021381</v>
      </c>
      <c r="S83" s="20">
        <v>173.94632765062852</v>
      </c>
      <c r="T83" s="20">
        <v>167.42729700199561</v>
      </c>
      <c r="U83" s="20">
        <v>150.47972725442378</v>
      </c>
      <c r="V83" s="20">
        <v>167.63899326251703</v>
      </c>
      <c r="W83" s="20">
        <v>189.32041472071433</v>
      </c>
      <c r="X83" s="20">
        <v>176.18023990580696</v>
      </c>
      <c r="Y83" s="20">
        <v>182.26922735339031</v>
      </c>
      <c r="Z83" s="20">
        <v>191.64443516347092</v>
      </c>
      <c r="AA83" s="20">
        <v>180.12936253471707</v>
      </c>
      <c r="AB83" s="20">
        <v>161.31470816690126</v>
      </c>
      <c r="AC83" s="20">
        <v>160.5395799386315</v>
      </c>
      <c r="AD83" s="20">
        <v>167.06662550932379</v>
      </c>
      <c r="AE83" s="20">
        <v>162.89879782634671</v>
      </c>
      <c r="AF83" s="20">
        <v>168.39104874707118</v>
      </c>
      <c r="AG83" s="20">
        <v>179.04337470172322</v>
      </c>
      <c r="AH83" s="20">
        <v>186.20885144700878</v>
      </c>
      <c r="AI83" s="20">
        <v>153.41179038005066</v>
      </c>
      <c r="AJ83" s="20">
        <v>194.03104021039326</v>
      </c>
      <c r="AK83" s="20">
        <v>168.65431335718313</v>
      </c>
      <c r="AL83" s="20">
        <v>175.375831632482</v>
      </c>
      <c r="AM83" s="20">
        <v>171.02915181640128</v>
      </c>
      <c r="AN83" s="20">
        <v>170.95662529827678</v>
      </c>
      <c r="AO83" s="20">
        <v>167.35291170407436</v>
      </c>
      <c r="AP83" s="20">
        <v>184.73702185547154</v>
      </c>
      <c r="AQ83" s="20">
        <v>185.33266698868829</v>
      </c>
      <c r="AR83" s="20">
        <v>184.71152758211247</v>
      </c>
      <c r="AS83" s="20">
        <v>163.69534465484321</v>
      </c>
      <c r="AT83" s="20">
        <v>170.50132656622736</v>
      </c>
      <c r="AU83" s="20">
        <v>185.4026184999384</v>
      </c>
      <c r="AV83" s="20">
        <v>178.39488224199158</v>
      </c>
      <c r="AW83" s="20">
        <v>165.62144979689037</v>
      </c>
      <c r="AX83" s="20">
        <v>153.745790940593</v>
      </c>
      <c r="AY83" s="20">
        <v>174.96040287442156</v>
      </c>
    </row>
    <row r="84" spans="1:51" ht="13">
      <c r="A84" s="222">
        <v>83</v>
      </c>
      <c r="B84" s="20">
        <v>143.12202880391851</v>
      </c>
      <c r="C84" s="20">
        <v>177.43585418502335</v>
      </c>
      <c r="D84" s="20">
        <v>187.35396211995976</v>
      </c>
      <c r="E84" s="20">
        <v>173.17157458892325</v>
      </c>
      <c r="F84" s="20">
        <v>147.51447894086596</v>
      </c>
      <c r="G84" s="20">
        <v>169.08468056572019</v>
      </c>
      <c r="H84" s="20">
        <v>178.28785745296045</v>
      </c>
      <c r="I84" s="20">
        <v>185.4303467196587</v>
      </c>
      <c r="J84" s="20">
        <v>187.0615027299209</v>
      </c>
      <c r="K84" s="20">
        <v>196.816958906129</v>
      </c>
      <c r="L84" s="20">
        <v>183.62966658132791</v>
      </c>
      <c r="M84" s="20">
        <v>175.02237356966361</v>
      </c>
      <c r="N84" s="20">
        <v>193.62244971562177</v>
      </c>
      <c r="O84" s="20">
        <v>170.32336119045794</v>
      </c>
      <c r="P84" s="20">
        <v>186.6026058094576</v>
      </c>
      <c r="Q84" s="20">
        <v>204.76175892399624</v>
      </c>
      <c r="R84" s="20">
        <v>184.98628593151807</v>
      </c>
      <c r="S84" s="20">
        <v>158.98645857378142</v>
      </c>
      <c r="T84" s="20">
        <v>205.05493454111274</v>
      </c>
      <c r="U84" s="20">
        <v>173.91641664362396</v>
      </c>
      <c r="V84" s="20">
        <v>167.62347500916803</v>
      </c>
      <c r="W84" s="20">
        <v>170.57329033450515</v>
      </c>
      <c r="X84" s="20">
        <v>163.03179437345534</v>
      </c>
      <c r="Y84" s="20">
        <v>179.26158521804609</v>
      </c>
      <c r="Z84" s="20">
        <v>161.8438294470252</v>
      </c>
      <c r="AA84" s="20">
        <v>168.48952997024753</v>
      </c>
      <c r="AB84" s="20">
        <v>159.80067233685986</v>
      </c>
      <c r="AC84" s="20">
        <v>187.4686607705371</v>
      </c>
      <c r="AD84" s="20">
        <v>173.52714722692326</v>
      </c>
      <c r="AE84" s="20">
        <v>172.48969230495277</v>
      </c>
      <c r="AF84" s="20">
        <v>197.53209459013306</v>
      </c>
      <c r="AG84" s="20">
        <v>185.10978394333506</v>
      </c>
      <c r="AH84" s="20">
        <v>158.98441221070243</v>
      </c>
      <c r="AI84" s="20">
        <v>177.49168579102843</v>
      </c>
      <c r="AJ84" s="20">
        <v>178.98866859541158</v>
      </c>
      <c r="AK84" s="20">
        <v>183.70696794663672</v>
      </c>
      <c r="AL84" s="20">
        <v>183.55260395837831</v>
      </c>
      <c r="AM84" s="20">
        <v>156.55237790342653</v>
      </c>
      <c r="AN84" s="20">
        <v>153.19954842270818</v>
      </c>
      <c r="AO84" s="20">
        <v>169.8048980513704</v>
      </c>
      <c r="AP84" s="20">
        <v>178.51271864929004</v>
      </c>
      <c r="AQ84" s="20">
        <v>159.53563421207946</v>
      </c>
      <c r="AR84" s="20">
        <v>178.64377115147363</v>
      </c>
      <c r="AS84" s="20">
        <v>190.6906253323541</v>
      </c>
      <c r="AT84" s="20">
        <v>200.37565251259366</v>
      </c>
      <c r="AU84" s="20">
        <v>179.09456788474927</v>
      </c>
      <c r="AV84" s="20">
        <v>176.77873289430863</v>
      </c>
      <c r="AW84" s="20">
        <v>162.18598135383218</v>
      </c>
      <c r="AX84" s="20">
        <v>190.75822352606338</v>
      </c>
      <c r="AY84" s="20">
        <v>176.55474140228762</v>
      </c>
    </row>
    <row r="85" spans="1:51" ht="13">
      <c r="A85" s="222">
        <v>84</v>
      </c>
      <c r="B85" s="20">
        <v>178.25141513712879</v>
      </c>
      <c r="C85" s="20">
        <v>170.25584826187696</v>
      </c>
      <c r="D85" s="20">
        <v>208.00729076727293</v>
      </c>
      <c r="E85" s="20">
        <v>173.47641447558999</v>
      </c>
      <c r="F85" s="20">
        <v>193.40857066781609</v>
      </c>
      <c r="G85" s="20">
        <v>165.1735691310023</v>
      </c>
      <c r="H85" s="20">
        <v>150.78033799072728</v>
      </c>
      <c r="I85" s="20">
        <v>191.92123987595551</v>
      </c>
      <c r="J85" s="20">
        <v>179.29026840720326</v>
      </c>
      <c r="K85" s="20">
        <v>190.63721525599249</v>
      </c>
      <c r="L85" s="20">
        <v>155.7121071171423</v>
      </c>
      <c r="M85" s="20">
        <v>192.63862655934645</v>
      </c>
      <c r="N85" s="20">
        <v>162.97331954847323</v>
      </c>
      <c r="O85" s="20">
        <v>200.1810433837818</v>
      </c>
      <c r="P85" s="20">
        <v>185.05656145025569</v>
      </c>
      <c r="Q85" s="20">
        <v>156.93975443427917</v>
      </c>
      <c r="R85" s="20">
        <v>188.45722466794541</v>
      </c>
      <c r="S85" s="20">
        <v>181.3005472838995</v>
      </c>
      <c r="T85" s="20">
        <v>184.62820649874629</v>
      </c>
      <c r="U85" s="20">
        <v>184.65501385508105</v>
      </c>
      <c r="V85" s="20">
        <v>166.15824493856053</v>
      </c>
      <c r="W85" s="20">
        <v>190.58591975481249</v>
      </c>
      <c r="X85" s="20">
        <v>181.27298959443578</v>
      </c>
      <c r="Y85" s="20">
        <v>192.29729319777107</v>
      </c>
      <c r="Z85" s="20">
        <v>153.69558683305513</v>
      </c>
      <c r="AA85" s="20">
        <v>154.25929164921399</v>
      </c>
      <c r="AB85" s="20">
        <v>167.54047793328937</v>
      </c>
      <c r="AC85" s="20">
        <v>160.29848426187527</v>
      </c>
      <c r="AD85" s="20">
        <v>183.77494130691048</v>
      </c>
      <c r="AE85" s="20">
        <v>149.12578522926196</v>
      </c>
      <c r="AF85" s="20">
        <v>176.70248881659063</v>
      </c>
      <c r="AG85" s="20">
        <v>187.27036818818306</v>
      </c>
      <c r="AH85" s="20">
        <v>187.58414386029472</v>
      </c>
      <c r="AI85" s="20">
        <v>202.64077180472668</v>
      </c>
      <c r="AJ85" s="20">
        <v>155.31453287694603</v>
      </c>
      <c r="AK85" s="20">
        <v>185.1602438462578</v>
      </c>
      <c r="AL85" s="20">
        <v>169.93508084924542</v>
      </c>
      <c r="AM85" s="20">
        <v>160.00063611572841</v>
      </c>
      <c r="AN85" s="20">
        <v>160.53412297042087</v>
      </c>
      <c r="AO85" s="20">
        <v>177.97588940156857</v>
      </c>
      <c r="AP85" s="20">
        <v>186.98558265969041</v>
      </c>
      <c r="AQ85" s="20">
        <v>152.36094883293845</v>
      </c>
      <c r="AR85" s="20">
        <v>167.75140680765617</v>
      </c>
      <c r="AS85" s="20">
        <v>172.21698031862616</v>
      </c>
      <c r="AT85" s="20">
        <v>182.87536009738687</v>
      </c>
      <c r="AU85" s="20">
        <v>213.32428774330765</v>
      </c>
      <c r="AV85" s="20">
        <v>172.32896753812383</v>
      </c>
      <c r="AW85" s="20">
        <v>181.79024196870159</v>
      </c>
      <c r="AX85" s="20">
        <v>166.28353351807164</v>
      </c>
      <c r="AY85" s="20">
        <v>202.78620000754017</v>
      </c>
    </row>
    <row r="86" spans="1:51" ht="13">
      <c r="A86" s="222">
        <v>85</v>
      </c>
      <c r="B86" s="20">
        <v>167.02436811174266</v>
      </c>
      <c r="C86" s="20">
        <v>195.19344265136169</v>
      </c>
      <c r="D86" s="20">
        <v>172.52693611299037</v>
      </c>
      <c r="E86" s="20">
        <v>185.77655724657234</v>
      </c>
      <c r="F86" s="20">
        <v>178.82485723093851</v>
      </c>
      <c r="G86" s="20">
        <v>176.56628630065825</v>
      </c>
      <c r="H86" s="20">
        <v>154.6952351971413</v>
      </c>
      <c r="I86" s="20">
        <v>181.55588223708037</v>
      </c>
      <c r="J86" s="20">
        <v>186.72525116999168</v>
      </c>
      <c r="K86" s="20">
        <v>188.68703124171589</v>
      </c>
      <c r="L86" s="20">
        <v>163.90915549054625</v>
      </c>
      <c r="M86" s="20">
        <v>204.89436325151473</v>
      </c>
      <c r="N86" s="20">
        <v>182.16617591933755</v>
      </c>
      <c r="O86" s="20">
        <v>177.54055976256495</v>
      </c>
      <c r="P86" s="20">
        <v>191.41906237637158</v>
      </c>
      <c r="Q86" s="20">
        <v>185.56375253938313</v>
      </c>
      <c r="R86" s="20">
        <v>169.03752894977515</v>
      </c>
      <c r="S86" s="20">
        <v>170.54331111539796</v>
      </c>
      <c r="T86" s="20">
        <v>175.74559238782967</v>
      </c>
      <c r="U86" s="20">
        <v>199.16072675259784</v>
      </c>
      <c r="V86" s="20">
        <v>194.33519797603367</v>
      </c>
      <c r="W86" s="20">
        <v>178.87110503652366</v>
      </c>
      <c r="X86" s="20">
        <v>174.88582999321807</v>
      </c>
      <c r="Y86" s="20">
        <v>164.53892372810515</v>
      </c>
      <c r="Z86" s="20">
        <v>199.32593646517489</v>
      </c>
      <c r="AA86" s="20">
        <v>187.57435542356689</v>
      </c>
      <c r="AB86" s="20">
        <v>173.85773718233395</v>
      </c>
      <c r="AC86" s="20">
        <v>195.57481651718263</v>
      </c>
      <c r="AD86" s="20">
        <v>167.60403455991764</v>
      </c>
      <c r="AE86" s="20">
        <v>157.24166120053269</v>
      </c>
      <c r="AF86" s="20">
        <v>180.26094368069607</v>
      </c>
      <c r="AG86" s="20">
        <v>204.91100700455718</v>
      </c>
      <c r="AH86" s="20">
        <v>179.32613092016254</v>
      </c>
      <c r="AI86" s="20">
        <v>162.38157955813222</v>
      </c>
      <c r="AJ86" s="20">
        <v>151.4449285066803</v>
      </c>
      <c r="AK86" s="20">
        <v>188.13260327151511</v>
      </c>
      <c r="AL86" s="20">
        <v>176.59166120283771</v>
      </c>
      <c r="AM86" s="20">
        <v>216.59519448876381</v>
      </c>
      <c r="AN86" s="20">
        <v>168.51473434217041</v>
      </c>
      <c r="AO86" s="20">
        <v>184.65076765169215</v>
      </c>
      <c r="AP86" s="20">
        <v>163.97839077471872</v>
      </c>
      <c r="AQ86" s="20">
        <v>165.09662587923231</v>
      </c>
      <c r="AR86" s="20">
        <v>166.47033236113202</v>
      </c>
      <c r="AS86" s="20">
        <v>179.56714133179048</v>
      </c>
      <c r="AT86" s="20">
        <v>181.20041191723431</v>
      </c>
      <c r="AU86" s="20">
        <v>198.0115574595402</v>
      </c>
      <c r="AV86" s="20">
        <v>187.84379322896712</v>
      </c>
      <c r="AW86" s="20">
        <v>196.30441316694487</v>
      </c>
      <c r="AX86" s="20">
        <v>174.17282593742129</v>
      </c>
      <c r="AY86" s="20">
        <v>170.73244622297352</v>
      </c>
    </row>
    <row r="87" spans="1:51" ht="13">
      <c r="A87" s="222">
        <v>86</v>
      </c>
      <c r="B87" s="20">
        <v>175.06253344508877</v>
      </c>
      <c r="C87" s="20">
        <v>171.30539377903915</v>
      </c>
      <c r="D87" s="20">
        <v>159.73726918746252</v>
      </c>
      <c r="E87" s="20">
        <v>174.65974097904109</v>
      </c>
      <c r="F87" s="20">
        <v>168.68441194746993</v>
      </c>
      <c r="G87" s="20">
        <v>190.04670308349887</v>
      </c>
      <c r="H87" s="20">
        <v>191.95814262347994</v>
      </c>
      <c r="I87" s="20">
        <v>180.02242301081424</v>
      </c>
      <c r="J87" s="20">
        <v>191.9342683875584</v>
      </c>
      <c r="K87" s="20">
        <v>195.26185939030256</v>
      </c>
      <c r="L87" s="20">
        <v>150.4884584035608</v>
      </c>
      <c r="M87" s="20">
        <v>183.86634552443866</v>
      </c>
      <c r="N87" s="20">
        <v>167.21669213511632</v>
      </c>
      <c r="O87" s="20">
        <v>182.34675040803268</v>
      </c>
      <c r="P87" s="20">
        <v>198.66598437220091</v>
      </c>
      <c r="Q87" s="20">
        <v>155.10911212986684</v>
      </c>
      <c r="R87" s="20">
        <v>198.96134277660167</v>
      </c>
      <c r="S87" s="20">
        <v>190.47804231449845</v>
      </c>
      <c r="T87" s="20">
        <v>159.59409198403591</v>
      </c>
      <c r="U87" s="20">
        <v>174.87319370120531</v>
      </c>
      <c r="V87" s="20">
        <v>167.12332681963744</v>
      </c>
      <c r="W87" s="20">
        <v>154.30993913541897</v>
      </c>
      <c r="X87" s="20">
        <v>176.61243178808945</v>
      </c>
      <c r="Y87" s="20">
        <v>151.1205117465579</v>
      </c>
      <c r="Z87" s="20">
        <v>170.3028805066424</v>
      </c>
      <c r="AA87" s="20">
        <v>184.9390661034704</v>
      </c>
      <c r="AB87" s="20">
        <v>171.1419405281049</v>
      </c>
      <c r="AC87" s="20">
        <v>170.60444621238275</v>
      </c>
      <c r="AD87" s="20">
        <v>172.35111941845389</v>
      </c>
      <c r="AE87" s="20">
        <v>166.36085193640611</v>
      </c>
      <c r="AF87" s="20">
        <v>165.48574181870208</v>
      </c>
      <c r="AG87" s="20">
        <v>182.99677764007356</v>
      </c>
      <c r="AH87" s="20">
        <v>185.12274424283532</v>
      </c>
      <c r="AI87" s="20">
        <v>173.77716163609875</v>
      </c>
      <c r="AJ87" s="20">
        <v>169.53723376063863</v>
      </c>
      <c r="AK87" s="20">
        <v>162.54753960383823</v>
      </c>
      <c r="AL87" s="20">
        <v>182.25503923604265</v>
      </c>
      <c r="AM87" s="20">
        <v>205.50377017643768</v>
      </c>
      <c r="AN87" s="20">
        <v>208.84520823601633</v>
      </c>
      <c r="AO87" s="20">
        <v>173.56749468563066</v>
      </c>
      <c r="AP87" s="20">
        <v>176.31267370306887</v>
      </c>
      <c r="AQ87" s="20">
        <v>168.75330617112922</v>
      </c>
      <c r="AR87" s="20">
        <v>189.82255811424693</v>
      </c>
      <c r="AS87" s="20">
        <v>160.80755118382513</v>
      </c>
      <c r="AT87" s="20">
        <v>174.00499005889287</v>
      </c>
      <c r="AU87" s="20">
        <v>185.36905814544298</v>
      </c>
      <c r="AV87" s="20">
        <v>177.69901647698134</v>
      </c>
      <c r="AW87" s="20">
        <v>205.40458977920935</v>
      </c>
      <c r="AX87" s="20">
        <v>160.81116642526467</v>
      </c>
      <c r="AY87" s="20">
        <v>194.25644710354391</v>
      </c>
    </row>
    <row r="88" spans="1:51" ht="13">
      <c r="A88" s="222">
        <v>87</v>
      </c>
      <c r="B88" s="20">
        <v>179.86130602439516</v>
      </c>
      <c r="C88" s="20">
        <v>182.87536009738687</v>
      </c>
      <c r="D88" s="20">
        <v>165.24597627794719</v>
      </c>
      <c r="E88" s="20">
        <v>159.08147803274915</v>
      </c>
      <c r="F88" s="20">
        <v>180.24141796631739</v>
      </c>
      <c r="G88" s="20">
        <v>183.52695620778832</v>
      </c>
      <c r="H88" s="20">
        <v>166.22913436622184</v>
      </c>
      <c r="I88" s="20">
        <v>166.63303527893731</v>
      </c>
      <c r="J88" s="20">
        <v>169.3196201002138</v>
      </c>
      <c r="K88" s="20">
        <v>187.41364770976361</v>
      </c>
      <c r="L88" s="20">
        <v>168.39231067096989</v>
      </c>
      <c r="M88" s="20">
        <v>168.08109295270697</v>
      </c>
      <c r="N88" s="20">
        <v>175.08893152880773</v>
      </c>
      <c r="O88" s="20">
        <v>160.82013631676091</v>
      </c>
      <c r="P88" s="20">
        <v>206.87797119608149</v>
      </c>
      <c r="Q88" s="20">
        <v>164.24124611221487</v>
      </c>
      <c r="R88" s="20">
        <v>174.00727516433108</v>
      </c>
      <c r="S88" s="20">
        <v>155.96636772970669</v>
      </c>
      <c r="T88" s="20">
        <v>182.99149120211951</v>
      </c>
      <c r="U88" s="20">
        <v>172.17376795160817</v>
      </c>
      <c r="V88" s="20">
        <v>164.09530631863163</v>
      </c>
      <c r="W88" s="20">
        <v>184.51848733166116</v>
      </c>
      <c r="X88" s="20">
        <v>170.26188503295998</v>
      </c>
      <c r="Y88" s="20">
        <v>183.11342033557594</v>
      </c>
      <c r="Z88" s="20">
        <v>170.92448034491099</v>
      </c>
      <c r="AA88" s="20">
        <v>177.11663859772671</v>
      </c>
      <c r="AB88" s="20">
        <v>158.227530719887</v>
      </c>
      <c r="AC88" s="20">
        <v>174.6264534729562</v>
      </c>
      <c r="AD88" s="20">
        <v>188.57775545329787</v>
      </c>
      <c r="AE88" s="20">
        <v>159.82942373811966</v>
      </c>
      <c r="AF88" s="20">
        <v>155.63581188034732</v>
      </c>
      <c r="AG88" s="20">
        <v>158.63929307743092</v>
      </c>
      <c r="AH88" s="20">
        <v>182.63402567827143</v>
      </c>
      <c r="AI88" s="20">
        <v>181.79024196870159</v>
      </c>
      <c r="AJ88" s="20">
        <v>165.20197947174893</v>
      </c>
      <c r="AK88" s="20">
        <v>144.47808540426195</v>
      </c>
      <c r="AL88" s="20">
        <v>173.61244646126579</v>
      </c>
      <c r="AM88" s="20">
        <v>180.03698629472638</v>
      </c>
      <c r="AN88" s="20">
        <v>149.65783962979913</v>
      </c>
      <c r="AO88" s="20">
        <v>168.59150706368382</v>
      </c>
      <c r="AP88" s="20">
        <v>175.29319267014216</v>
      </c>
      <c r="AQ88" s="20">
        <v>173.66430471229251</v>
      </c>
      <c r="AR88" s="20">
        <v>192.18399289529771</v>
      </c>
      <c r="AS88" s="20">
        <v>161.3338416616898</v>
      </c>
      <c r="AT88" s="20">
        <v>146.67287801858038</v>
      </c>
      <c r="AU88" s="20">
        <v>176.73135958903003</v>
      </c>
      <c r="AV88" s="20">
        <v>162.38321664859541</v>
      </c>
      <c r="AW88" s="20">
        <v>201.67209173523588</v>
      </c>
      <c r="AX88" s="20">
        <v>213.82523742504418</v>
      </c>
      <c r="AY88" s="20">
        <v>200.88444658613298</v>
      </c>
    </row>
    <row r="89" spans="1:51" ht="13">
      <c r="A89" s="222">
        <v>88</v>
      </c>
      <c r="B89" s="20">
        <v>168.36575911002001</v>
      </c>
      <c r="C89" s="20">
        <v>179.14581222685229</v>
      </c>
      <c r="D89" s="20">
        <v>177.79587766272016</v>
      </c>
      <c r="E89" s="20">
        <v>188.08048922510352</v>
      </c>
      <c r="F89" s="20">
        <v>178.36075913764944</v>
      </c>
      <c r="G89" s="20">
        <v>181.99044448992936</v>
      </c>
      <c r="H89" s="20">
        <v>202.33927431108896</v>
      </c>
      <c r="I89" s="20">
        <v>170.07697907574766</v>
      </c>
      <c r="J89" s="20">
        <v>148.28316112543689</v>
      </c>
      <c r="K89" s="20">
        <v>191.1501361617411</v>
      </c>
      <c r="L89" s="20">
        <v>146.61803548806347</v>
      </c>
      <c r="M89" s="20">
        <v>189.1745090331824</v>
      </c>
      <c r="N89" s="20">
        <v>169.76833636435913</v>
      </c>
      <c r="O89" s="20">
        <v>193.50150965765351</v>
      </c>
      <c r="P89" s="20">
        <v>179.3392958559707</v>
      </c>
      <c r="Q89" s="20">
        <v>193.61747023212956</v>
      </c>
      <c r="R89" s="20">
        <v>157.97647607614635</v>
      </c>
      <c r="S89" s="20">
        <v>173.87269268583623</v>
      </c>
      <c r="T89" s="20">
        <v>135.33111528959125</v>
      </c>
      <c r="U89" s="20">
        <v>156.57679783616913</v>
      </c>
      <c r="V89" s="20">
        <v>140.62164596980438</v>
      </c>
      <c r="W89" s="20">
        <v>158.0309775461501</v>
      </c>
      <c r="X89" s="20">
        <v>170.4712961880432</v>
      </c>
      <c r="Y89" s="20">
        <v>154.85751178930514</v>
      </c>
      <c r="Z89" s="20">
        <v>163.12307921980391</v>
      </c>
      <c r="AA89" s="20">
        <v>180.9388867157395</v>
      </c>
      <c r="AB89" s="20">
        <v>183.24923063191818</v>
      </c>
      <c r="AC89" s="20">
        <v>174.26934606264695</v>
      </c>
      <c r="AD89" s="20">
        <v>182.0801092988404</v>
      </c>
      <c r="AE89" s="20">
        <v>150.74220742535545</v>
      </c>
      <c r="AF89" s="20">
        <v>199.26625087537104</v>
      </c>
      <c r="AG89" s="20">
        <v>199.08125965303043</v>
      </c>
      <c r="AH89" s="20">
        <v>166.53769181248208</v>
      </c>
      <c r="AI89" s="20">
        <v>179.3476688915689</v>
      </c>
      <c r="AJ89" s="20">
        <v>137.48770912643522</v>
      </c>
      <c r="AK89" s="20">
        <v>197.57834239571821</v>
      </c>
      <c r="AL89" s="20">
        <v>180.71738496546459</v>
      </c>
      <c r="AM89" s="20">
        <v>154.1302002449811</v>
      </c>
      <c r="AN89" s="20">
        <v>168.79457449322217</v>
      </c>
      <c r="AO89" s="20">
        <v>175.76627770795312</v>
      </c>
      <c r="AP89" s="20">
        <v>184.32558350541512</v>
      </c>
      <c r="AQ89" s="20">
        <v>174.4726181284932</v>
      </c>
      <c r="AR89" s="20">
        <v>178.31253318108793</v>
      </c>
      <c r="AS89" s="20">
        <v>156.06350176385604</v>
      </c>
      <c r="AT89" s="20">
        <v>193.32357838793541</v>
      </c>
      <c r="AU89" s="20">
        <v>180.68530822420144</v>
      </c>
      <c r="AV89" s="20">
        <v>160.98077581846155</v>
      </c>
      <c r="AW89" s="20">
        <v>164.09979126437975</v>
      </c>
      <c r="AX89" s="20">
        <v>174.41866235531052</v>
      </c>
      <c r="AY89" s="20">
        <v>194.56391315616202</v>
      </c>
    </row>
    <row r="90" spans="1:51" ht="13">
      <c r="A90" s="222">
        <v>89</v>
      </c>
      <c r="B90" s="20">
        <v>165.91544395923847</v>
      </c>
      <c r="C90" s="20">
        <v>169.66209601450828</v>
      </c>
      <c r="D90" s="20">
        <v>187.19997329826583</v>
      </c>
      <c r="E90" s="20">
        <v>153.10343757009832</v>
      </c>
      <c r="F90" s="20">
        <v>144.55953065480571</v>
      </c>
      <c r="G90" s="20">
        <v>186.44384214057936</v>
      </c>
      <c r="H90" s="20">
        <v>166.40551381060504</v>
      </c>
      <c r="I90" s="20">
        <v>161.94635223728255</v>
      </c>
      <c r="J90" s="20">
        <v>172.58738908894884</v>
      </c>
      <c r="K90" s="20">
        <v>176.46594629768515</v>
      </c>
      <c r="L90" s="20">
        <v>209.39417923800647</v>
      </c>
      <c r="M90" s="20">
        <v>153.21932993247174</v>
      </c>
      <c r="N90" s="20">
        <v>193.04128260118887</v>
      </c>
      <c r="O90" s="20">
        <v>180.72355816075287</v>
      </c>
      <c r="P90" s="20">
        <v>153.68617356289178</v>
      </c>
      <c r="Q90" s="20">
        <v>161.33905988754123</v>
      </c>
      <c r="R90" s="20">
        <v>177.22796074922371</v>
      </c>
      <c r="S90" s="20">
        <v>166.15824493856053</v>
      </c>
      <c r="T90" s="20">
        <v>167.67004682224069</v>
      </c>
      <c r="U90" s="20">
        <v>193.60259999375558</v>
      </c>
      <c r="V90" s="20">
        <v>189.18706006006687</v>
      </c>
      <c r="W90" s="20">
        <v>167.64547341226717</v>
      </c>
      <c r="X90" s="20">
        <v>176.56973101184121</v>
      </c>
      <c r="Y90" s="20">
        <v>180.77788910050003</v>
      </c>
      <c r="Z90" s="20">
        <v>194.48894805536838</v>
      </c>
      <c r="AA90" s="20">
        <v>221.74657247960567</v>
      </c>
      <c r="AB90" s="20">
        <v>192.40257857818506</v>
      </c>
      <c r="AC90" s="20">
        <v>150.27665982488543</v>
      </c>
      <c r="AD90" s="20">
        <v>182.85428255767329</v>
      </c>
      <c r="AE90" s="20">
        <v>206.80157364113256</v>
      </c>
      <c r="AF90" s="20">
        <v>183.72190639711334</v>
      </c>
      <c r="AG90" s="20">
        <v>170.85418777314771</v>
      </c>
      <c r="AH90" s="20">
        <v>167.65452856889169</v>
      </c>
      <c r="AI90" s="20">
        <v>175.10269332051394</v>
      </c>
      <c r="AJ90" s="20">
        <v>166.53499743442808</v>
      </c>
      <c r="AK90" s="20">
        <v>183.79402364262205</v>
      </c>
      <c r="AL90" s="20">
        <v>137.91689967620187</v>
      </c>
      <c r="AM90" s="20">
        <v>148.58595464902464</v>
      </c>
      <c r="AN90" s="20">
        <v>187.37974629475502</v>
      </c>
      <c r="AO90" s="20">
        <v>194.51033254954382</v>
      </c>
      <c r="AP90" s="20">
        <v>158.6829147170647</v>
      </c>
      <c r="AQ90" s="20">
        <v>161.82865225418936</v>
      </c>
      <c r="AR90" s="20">
        <v>202.33927431108896</v>
      </c>
      <c r="AS90" s="20">
        <v>184.8449334018369</v>
      </c>
      <c r="AT90" s="20">
        <v>193.99516064440832</v>
      </c>
      <c r="AU90" s="20">
        <v>150.98920344898943</v>
      </c>
      <c r="AV90" s="20">
        <v>208.67194949532859</v>
      </c>
      <c r="AW90" s="20">
        <v>183.17857994661608</v>
      </c>
      <c r="AX90" s="20">
        <v>166.79609631028143</v>
      </c>
      <c r="AY90" s="20">
        <v>195.18495024458389</v>
      </c>
    </row>
    <row r="91" spans="1:51" ht="13">
      <c r="A91" s="222">
        <v>90</v>
      </c>
      <c r="B91" s="20">
        <v>179.55511894870142</v>
      </c>
      <c r="C91" s="20">
        <v>164.68186218917253</v>
      </c>
      <c r="D91" s="20">
        <v>166.06660197867313</v>
      </c>
      <c r="E91" s="20">
        <v>173.53981762498734</v>
      </c>
      <c r="F91" s="20">
        <v>177.58363570537767</v>
      </c>
      <c r="G91" s="20">
        <v>166.56325429794379</v>
      </c>
      <c r="H91" s="20">
        <v>171.93042127546505</v>
      </c>
      <c r="I91" s="20">
        <v>172.61295157441054</v>
      </c>
      <c r="J91" s="20">
        <v>188.22881644227891</v>
      </c>
      <c r="K91" s="20">
        <v>193.91869487735676</v>
      </c>
      <c r="L91" s="20">
        <v>148.86794348130934</v>
      </c>
      <c r="M91" s="20">
        <v>189.44217332391418</v>
      </c>
      <c r="N91" s="20">
        <v>139.0486748830881</v>
      </c>
      <c r="O91" s="20">
        <v>181.04700289841276</v>
      </c>
      <c r="P91" s="20">
        <v>162.31933601447963</v>
      </c>
      <c r="Q91" s="20">
        <v>177.21286882151617</v>
      </c>
      <c r="R91" s="20">
        <v>181.71786892780801</v>
      </c>
      <c r="S91" s="20">
        <v>187.04407453769818</v>
      </c>
      <c r="T91" s="20">
        <v>173.05822312737291</v>
      </c>
      <c r="U91" s="20">
        <v>187.28482915394125</v>
      </c>
      <c r="V91" s="20">
        <v>164.68186218917253</v>
      </c>
      <c r="W91" s="20">
        <v>176.94293647837185</v>
      </c>
      <c r="X91" s="20">
        <v>186.27112909671268</v>
      </c>
      <c r="Y91" s="20">
        <v>188.10903599005542</v>
      </c>
      <c r="Z91" s="20">
        <v>184.46521367950481</v>
      </c>
      <c r="AA91" s="20">
        <v>198.7058884522412</v>
      </c>
      <c r="AB91" s="20">
        <v>178.84027316613356</v>
      </c>
      <c r="AC91" s="20">
        <v>177.22564153773419</v>
      </c>
      <c r="AD91" s="20">
        <v>154.09694684494752</v>
      </c>
      <c r="AE91" s="20">
        <v>164.63967300369404</v>
      </c>
      <c r="AF91" s="20">
        <v>166.99394551396836</v>
      </c>
      <c r="AG91" s="20">
        <v>188.14774635829963</v>
      </c>
      <c r="AH91" s="20">
        <v>193.26324478315655</v>
      </c>
      <c r="AI91" s="20">
        <v>172.47107040093397</v>
      </c>
      <c r="AJ91" s="20">
        <v>151.59724613185972</v>
      </c>
      <c r="AK91" s="20">
        <v>154.84056108180084</v>
      </c>
      <c r="AL91" s="20">
        <v>182.82536062615691</v>
      </c>
      <c r="AM91" s="20">
        <v>209.31505319895223</v>
      </c>
      <c r="AN91" s="20">
        <v>179.14581222685229</v>
      </c>
      <c r="AO91" s="20">
        <v>164.63967300369404</v>
      </c>
      <c r="AP91" s="20">
        <v>173.35179096407956</v>
      </c>
      <c r="AQ91" s="20">
        <v>159.00064669112908</v>
      </c>
      <c r="AR91" s="20">
        <v>178.1094145924726</v>
      </c>
      <c r="AS91" s="20">
        <v>192.56553729137522</v>
      </c>
      <c r="AT91" s="20">
        <v>167.43640331769711</v>
      </c>
      <c r="AU91" s="20">
        <v>154.05745203752303</v>
      </c>
      <c r="AV91" s="20">
        <v>148.63452166609932</v>
      </c>
      <c r="AW91" s="20">
        <v>173.44179683350376</v>
      </c>
      <c r="AX91" s="20">
        <v>171.66159737898852</v>
      </c>
      <c r="AY91" s="20">
        <v>159.13175035238964</v>
      </c>
    </row>
    <row r="92" spans="1:51" ht="13">
      <c r="A92" s="222">
        <v>91</v>
      </c>
      <c r="B92" s="20">
        <v>209.05339157325216</v>
      </c>
      <c r="C92" s="20">
        <v>169.82560042451951</v>
      </c>
      <c r="D92" s="20">
        <v>195.21336058533052</v>
      </c>
      <c r="E92" s="20">
        <v>177.14561168832006</v>
      </c>
      <c r="F92" s="20">
        <v>168.48322035075398</v>
      </c>
      <c r="G92" s="20">
        <v>181.90359343025193</v>
      </c>
      <c r="H92" s="20">
        <v>183.08952904662874</v>
      </c>
      <c r="I92" s="20">
        <v>182.99677764007356</v>
      </c>
      <c r="J92" s="20">
        <v>159.21384361790842</v>
      </c>
      <c r="K92" s="20">
        <v>201.67768512765178</v>
      </c>
      <c r="L92" s="20">
        <v>162.74886762475944</v>
      </c>
      <c r="M92" s="20">
        <v>175.13482122085406</v>
      </c>
      <c r="N92" s="20">
        <v>182.65493268772843</v>
      </c>
      <c r="O92" s="20">
        <v>191.02776364961755</v>
      </c>
      <c r="P92" s="20">
        <v>183.75725731930288</v>
      </c>
      <c r="Q92" s="20">
        <v>194.3853338714689</v>
      </c>
      <c r="R92" s="20">
        <v>154.53630099800648</v>
      </c>
      <c r="S92" s="20">
        <v>183.93887204256316</v>
      </c>
      <c r="T92" s="20">
        <v>178.83790279556706</v>
      </c>
      <c r="U92" s="20">
        <v>135.48063621856272</v>
      </c>
      <c r="V92" s="20">
        <v>205.21032171091065</v>
      </c>
      <c r="W92" s="20">
        <v>159.95895852101967</v>
      </c>
      <c r="X92" s="20">
        <v>191.11333573237062</v>
      </c>
      <c r="Y92" s="20">
        <v>194.34311057993909</v>
      </c>
      <c r="Z92" s="20">
        <v>164.36112888259231</v>
      </c>
      <c r="AA92" s="20">
        <v>179.90607021674805</v>
      </c>
      <c r="AB92" s="20">
        <v>169.35904669553565</v>
      </c>
      <c r="AC92" s="20">
        <v>182.98753490016679</v>
      </c>
      <c r="AD92" s="20">
        <v>203.54158083209768</v>
      </c>
      <c r="AE92" s="20">
        <v>148.54802871996071</v>
      </c>
      <c r="AF92" s="20">
        <v>164.64257201805594</v>
      </c>
      <c r="AG92" s="20">
        <v>188.45207465419662</v>
      </c>
      <c r="AH92" s="20">
        <v>187.59556938748574</v>
      </c>
      <c r="AI92" s="20">
        <v>174.40947077448072</v>
      </c>
      <c r="AJ92" s="20">
        <v>190.49564103697776</v>
      </c>
      <c r="AK92" s="20">
        <v>214.55647116526961</v>
      </c>
      <c r="AL92" s="20">
        <v>189.52996230000281</v>
      </c>
      <c r="AM92" s="20">
        <v>206.75819074385799</v>
      </c>
      <c r="AN92" s="20">
        <v>177.26742145059688</v>
      </c>
      <c r="AO92" s="20">
        <v>163.11206296522869</v>
      </c>
      <c r="AP92" s="20">
        <v>163.11521777497546</v>
      </c>
      <c r="AQ92" s="20">
        <v>173.94862980909238</v>
      </c>
      <c r="AR92" s="20">
        <v>210.93086148612201</v>
      </c>
      <c r="AS92" s="20">
        <v>190.46436578792054</v>
      </c>
      <c r="AT92" s="20">
        <v>180.40396740689175</v>
      </c>
      <c r="AU92" s="20">
        <v>190.12091785116354</v>
      </c>
      <c r="AV92" s="20">
        <v>217.10050974506885</v>
      </c>
      <c r="AW92" s="20">
        <v>165.16361016401788</v>
      </c>
      <c r="AX92" s="20">
        <v>187.3652171168942</v>
      </c>
      <c r="AY92" s="20">
        <v>167.12068360066041</v>
      </c>
    </row>
    <row r="93" spans="1:51" ht="13">
      <c r="A93" s="222">
        <v>92</v>
      </c>
      <c r="B93" s="20">
        <v>183.85814301909704</v>
      </c>
      <c r="C93" s="20">
        <v>164.27982005625381</v>
      </c>
      <c r="D93" s="20">
        <v>152.00331277883379</v>
      </c>
      <c r="E93" s="20">
        <v>188.56049779133173</v>
      </c>
      <c r="F93" s="20">
        <v>169.0400016384956</v>
      </c>
      <c r="G93" s="20">
        <v>172.70125214126892</v>
      </c>
      <c r="H93" s="20">
        <v>173.42679017092451</v>
      </c>
      <c r="I93" s="20">
        <v>209.65365807642229</v>
      </c>
      <c r="J93" s="20">
        <v>181.44120063952869</v>
      </c>
      <c r="K93" s="20">
        <v>163.13719912504894</v>
      </c>
      <c r="L93" s="20">
        <v>160.34480027956306</v>
      </c>
      <c r="M93" s="20">
        <v>149.06453076109756</v>
      </c>
      <c r="N93" s="20">
        <v>162.08321982121561</v>
      </c>
      <c r="O93" s="20">
        <v>206.07920747424942</v>
      </c>
      <c r="P93" s="20">
        <v>178.2619880130369</v>
      </c>
      <c r="Q93" s="20">
        <v>166.62097878979694</v>
      </c>
      <c r="R93" s="20">
        <v>194.15747134262347</v>
      </c>
      <c r="S93" s="20">
        <v>178.83672613679664</v>
      </c>
      <c r="T93" s="20">
        <v>168.43148147090687</v>
      </c>
      <c r="U93" s="20">
        <v>188.70964355373872</v>
      </c>
      <c r="V93" s="20">
        <v>165.75084815558512</v>
      </c>
      <c r="W93" s="20">
        <v>188.84436245643883</v>
      </c>
      <c r="X93" s="20">
        <v>143.02271198248491</v>
      </c>
      <c r="Y93" s="20">
        <v>182.9399569585803</v>
      </c>
      <c r="Z93" s="20">
        <v>190.23578703199746</v>
      </c>
      <c r="AA93" s="20">
        <v>167.22061433101771</v>
      </c>
      <c r="AB93" s="20">
        <v>167.91474068741081</v>
      </c>
      <c r="AC93" s="20">
        <v>173.6066825385933</v>
      </c>
      <c r="AD93" s="20">
        <v>192.86048642316018</v>
      </c>
      <c r="AE93" s="20">
        <v>165.13939486758318</v>
      </c>
      <c r="AF93" s="20">
        <v>159.82751379924593</v>
      </c>
      <c r="AG93" s="20">
        <v>159.80452632065862</v>
      </c>
      <c r="AH93" s="20">
        <v>166.85602064244449</v>
      </c>
      <c r="AI93" s="20">
        <v>164.84553712944034</v>
      </c>
      <c r="AJ93" s="20">
        <v>172.37441385150305</v>
      </c>
      <c r="AK93" s="20">
        <v>186.03511522160261</v>
      </c>
      <c r="AL93" s="20">
        <v>175.96972030405595</v>
      </c>
      <c r="AM93" s="20">
        <v>161.28684352297569</v>
      </c>
      <c r="AN93" s="20">
        <v>163.27942135903868</v>
      </c>
      <c r="AO93" s="20">
        <v>166.25498675311974</v>
      </c>
      <c r="AP93" s="20">
        <v>176.71057195075264</v>
      </c>
      <c r="AQ93" s="20">
        <v>202.46096470218617</v>
      </c>
      <c r="AR93" s="20">
        <v>188.63665660392144</v>
      </c>
      <c r="AS93" s="20">
        <v>157.09514160407707</v>
      </c>
      <c r="AT93" s="20">
        <v>177.44980356001179</v>
      </c>
      <c r="AU93" s="20">
        <v>205.98166416748427</v>
      </c>
      <c r="AV93" s="20">
        <v>178.17510284730815</v>
      </c>
      <c r="AW93" s="20">
        <v>167.98779584933072</v>
      </c>
      <c r="AX93" s="20">
        <v>182.07883032191603</v>
      </c>
      <c r="AY93" s="20">
        <v>185.65363903762773</v>
      </c>
    </row>
    <row r="94" spans="1:51" ht="13">
      <c r="A94" s="222">
        <v>93</v>
      </c>
      <c r="B94" s="20">
        <v>194.80006345547736</v>
      </c>
      <c r="C94" s="20">
        <v>161.70672312073293</v>
      </c>
      <c r="D94" s="20">
        <v>153.96891272830544</v>
      </c>
      <c r="E94" s="20">
        <v>146.56974131939933</v>
      </c>
      <c r="F94" s="20">
        <v>167.00322235992644</v>
      </c>
      <c r="G94" s="20">
        <v>181.64310846332228</v>
      </c>
      <c r="H94" s="20">
        <v>200.90988970041508</v>
      </c>
      <c r="I94" s="20">
        <v>176.56280748342397</v>
      </c>
      <c r="J94" s="20">
        <v>198.87130280112615</v>
      </c>
      <c r="K94" s="20">
        <v>167.91218273356208</v>
      </c>
      <c r="L94" s="20">
        <v>188.8320842779649</v>
      </c>
      <c r="M94" s="20">
        <v>188.53287188976537</v>
      </c>
      <c r="N94" s="20">
        <v>181.59252918921993</v>
      </c>
      <c r="O94" s="20">
        <v>148.42210917850025</v>
      </c>
      <c r="P94" s="20">
        <v>168.19575749723299</v>
      </c>
      <c r="Q94" s="20">
        <v>165.19914866948966</v>
      </c>
      <c r="R94" s="20">
        <v>182.03396381140919</v>
      </c>
      <c r="S94" s="20">
        <v>173.77369987189013</v>
      </c>
      <c r="T94" s="20">
        <v>166.65984263527207</v>
      </c>
      <c r="U94" s="20">
        <v>183.09749280961114</v>
      </c>
      <c r="V94" s="20">
        <v>145.67711774434429</v>
      </c>
      <c r="W94" s="20">
        <v>163.53156739642145</v>
      </c>
      <c r="X94" s="20">
        <v>153.12001311103813</v>
      </c>
      <c r="Y94" s="20">
        <v>202.08934516704176</v>
      </c>
      <c r="Z94" s="20">
        <v>160.40755541398539</v>
      </c>
      <c r="AA94" s="20">
        <v>188.56220309389755</v>
      </c>
      <c r="AB94" s="20">
        <v>198.43767846468836</v>
      </c>
      <c r="AC94" s="20">
        <v>167.5001986866846</v>
      </c>
      <c r="AD94" s="20">
        <v>177.2476910999103</v>
      </c>
      <c r="AE94" s="20">
        <v>176.10200062408694</v>
      </c>
      <c r="AF94" s="20">
        <v>178.71118176190066</v>
      </c>
      <c r="AG94" s="20">
        <v>175.81912503446802</v>
      </c>
      <c r="AH94" s="20">
        <v>181.83350549479655</v>
      </c>
      <c r="AI94" s="20">
        <v>212.53848432097584</v>
      </c>
      <c r="AJ94" s="20">
        <v>175.96741814559209</v>
      </c>
      <c r="AK94" s="20">
        <v>174.76188860273396</v>
      </c>
      <c r="AL94" s="20">
        <v>168.40747081078007</v>
      </c>
      <c r="AM94" s="20">
        <v>187.95675247092731</v>
      </c>
      <c r="AN94" s="20">
        <v>167.22457063297043</v>
      </c>
      <c r="AO94" s="20">
        <v>194.33782414198504</v>
      </c>
      <c r="AP94" s="20">
        <v>185.86438032871229</v>
      </c>
      <c r="AQ94" s="20">
        <v>195.80053036479512</v>
      </c>
      <c r="AR94" s="20">
        <v>176.48091885421309</v>
      </c>
      <c r="AS94" s="20">
        <v>140.94660842674784</v>
      </c>
      <c r="AT94" s="20">
        <v>169.99819409720658</v>
      </c>
      <c r="AU94" s="20">
        <v>155.80876366657321</v>
      </c>
      <c r="AV94" s="20">
        <v>179.1577322917874</v>
      </c>
      <c r="AW94" s="20">
        <v>158.33216808532597</v>
      </c>
      <c r="AX94" s="20">
        <v>172.83351540827425</v>
      </c>
      <c r="AY94" s="20">
        <v>165.89061475388007</v>
      </c>
    </row>
    <row r="95" spans="1:51" ht="13">
      <c r="A95" s="222">
        <v>94</v>
      </c>
      <c r="B95" s="20">
        <v>187.98843699260033</v>
      </c>
      <c r="C95" s="20">
        <v>185.15158090922341</v>
      </c>
      <c r="D95" s="20">
        <v>196.34220267180353</v>
      </c>
      <c r="E95" s="20">
        <v>199.06461589998798</v>
      </c>
      <c r="F95" s="20">
        <v>156.56704350549262</v>
      </c>
      <c r="G95" s="20">
        <v>191.98426785878837</v>
      </c>
      <c r="H95" s="20">
        <v>173.80248537920124</v>
      </c>
      <c r="I95" s="20">
        <v>179.00413568968361</v>
      </c>
      <c r="J95" s="20">
        <v>161.78639485660824</v>
      </c>
      <c r="K95" s="20">
        <v>179.4039438762411</v>
      </c>
      <c r="L95" s="20">
        <v>188.24576714978321</v>
      </c>
      <c r="M95" s="20">
        <v>165.87956439325353</v>
      </c>
      <c r="N95" s="20">
        <v>189.34940486433334</v>
      </c>
      <c r="O95" s="20">
        <v>178.18567572321626</v>
      </c>
      <c r="P95" s="20">
        <v>186.77047579403734</v>
      </c>
      <c r="Q95" s="20">
        <v>150.40080585167743</v>
      </c>
      <c r="R95" s="20">
        <v>171.82841007597744</v>
      </c>
      <c r="S95" s="20">
        <v>146.90166141081136</v>
      </c>
      <c r="T95" s="20">
        <v>196.27296738763107</v>
      </c>
      <c r="U95" s="20">
        <v>198.22226464457344</v>
      </c>
      <c r="V95" s="20">
        <v>180.01029830957123</v>
      </c>
      <c r="W95" s="20">
        <v>170.10361590182583</v>
      </c>
      <c r="X95" s="20">
        <v>151.79294665431371</v>
      </c>
      <c r="Y95" s="20">
        <v>181.76737386129389</v>
      </c>
      <c r="Z95" s="20">
        <v>149.21166426647687</v>
      </c>
      <c r="AA95" s="20">
        <v>152.81633283011615</v>
      </c>
      <c r="AB95" s="20">
        <v>188.6349171953043</v>
      </c>
      <c r="AC95" s="20">
        <v>194.29836344061187</v>
      </c>
      <c r="AD95" s="20">
        <v>183.71783072398102</v>
      </c>
      <c r="AE95" s="20">
        <v>171.51910229658824</v>
      </c>
      <c r="AF95" s="20">
        <v>170.34986159233085</v>
      </c>
      <c r="AG95" s="20">
        <v>173.04318235874234</v>
      </c>
      <c r="AH95" s="20">
        <v>176.16642695502378</v>
      </c>
      <c r="AI95" s="20">
        <v>162.86859691790596</v>
      </c>
      <c r="AJ95" s="20">
        <v>174.27279077382991</v>
      </c>
      <c r="AK95" s="20">
        <v>207.76636562077329</v>
      </c>
      <c r="AL95" s="20">
        <v>167.17201320789172</v>
      </c>
      <c r="AM95" s="20">
        <v>136.49290382163599</v>
      </c>
      <c r="AN95" s="20">
        <v>144.51437424286269</v>
      </c>
      <c r="AO95" s="20">
        <v>190.44291308164247</v>
      </c>
      <c r="AP95" s="20">
        <v>173.39679389879166</v>
      </c>
      <c r="AQ95" s="20">
        <v>183.22388983579003</v>
      </c>
      <c r="AR95" s="20">
        <v>160.60519998136442</v>
      </c>
      <c r="AS95" s="20">
        <v>167.51839426506194</v>
      </c>
      <c r="AT95" s="20">
        <v>168.99155399260053</v>
      </c>
      <c r="AU95" s="20">
        <v>167.38162899928284</v>
      </c>
      <c r="AV95" s="20">
        <v>171.49671167389897</v>
      </c>
      <c r="AW95" s="20">
        <v>153.60397797921905</v>
      </c>
      <c r="AX95" s="20">
        <v>190.23964101579622</v>
      </c>
      <c r="AY95" s="20">
        <v>179.2138026401517</v>
      </c>
    </row>
    <row r="96" spans="1:51" ht="13">
      <c r="A96" s="222">
        <v>95</v>
      </c>
      <c r="B96" s="20">
        <v>171.56623685950763</v>
      </c>
      <c r="C96" s="20">
        <v>167.51058397931047</v>
      </c>
      <c r="D96" s="20">
        <v>174.19120909908088</v>
      </c>
      <c r="E96" s="20">
        <v>178.81418203687645</v>
      </c>
      <c r="F96" s="20">
        <v>158.80675378939486</v>
      </c>
      <c r="G96" s="20">
        <v>195.06077011174057</v>
      </c>
      <c r="H96" s="20">
        <v>179.6044192458794</v>
      </c>
      <c r="I96" s="20">
        <v>170.23654423683183</v>
      </c>
      <c r="J96" s="20">
        <v>156.72229425108526</v>
      </c>
      <c r="K96" s="20">
        <v>171.38104100085911</v>
      </c>
      <c r="L96" s="20">
        <v>140.41209839051589</v>
      </c>
      <c r="M96" s="20">
        <v>165.6980519881472</v>
      </c>
      <c r="N96" s="20">
        <v>161.27814647988998</v>
      </c>
      <c r="O96" s="20">
        <v>160.58882907673251</v>
      </c>
      <c r="P96" s="20">
        <v>162.13632294311537</v>
      </c>
      <c r="Q96" s="20">
        <v>158.11774334069923</v>
      </c>
      <c r="R96" s="20">
        <v>187.74802343687043</v>
      </c>
      <c r="S96" s="20">
        <v>166.41363105081837</v>
      </c>
      <c r="T96" s="20">
        <v>153.00971414108062</v>
      </c>
      <c r="U96" s="20">
        <v>168.85702267318266</v>
      </c>
      <c r="V96" s="20">
        <v>159.41605839616386</v>
      </c>
      <c r="W96" s="20">
        <v>188.73931581838406</v>
      </c>
      <c r="X96" s="20">
        <v>160.95942543033743</v>
      </c>
      <c r="Y96" s="20">
        <v>176.88277340384957</v>
      </c>
      <c r="Z96" s="20">
        <v>211.07437975006178</v>
      </c>
      <c r="AA96" s="20">
        <v>188.14607516178512</v>
      </c>
      <c r="AB96" s="20">
        <v>192.95878006305429</v>
      </c>
      <c r="AC96" s="20">
        <v>182.89906380305183</v>
      </c>
      <c r="AD96" s="20">
        <v>185.39968537952518</v>
      </c>
      <c r="AE96" s="20">
        <v>182.78462094785937</v>
      </c>
      <c r="AF96" s="20">
        <v>161.64543454651721</v>
      </c>
      <c r="AG96" s="20">
        <v>169.66700728589785</v>
      </c>
      <c r="AH96" s="20">
        <v>181.23668370280939</v>
      </c>
      <c r="AI96" s="20">
        <v>177.25232952288934</v>
      </c>
      <c r="AJ96" s="20">
        <v>160.13061427729554</v>
      </c>
      <c r="AK96" s="20">
        <v>193.33810756579624</v>
      </c>
      <c r="AL96" s="20">
        <v>168.99155399260053</v>
      </c>
      <c r="AM96" s="20">
        <v>190.55249582452234</v>
      </c>
      <c r="AN96" s="20">
        <v>190.05430873294245</v>
      </c>
      <c r="AO96" s="20">
        <v>173.88534603087464</v>
      </c>
      <c r="AP96" s="20">
        <v>192.27723883959698</v>
      </c>
      <c r="AQ96" s="20">
        <v>206.88888513250276</v>
      </c>
      <c r="AR96" s="20">
        <v>179.52628228231333</v>
      </c>
      <c r="AS96" s="20">
        <v>177.01007424038835</v>
      </c>
      <c r="AT96" s="20">
        <v>177.72701754511218</v>
      </c>
      <c r="AU96" s="20">
        <v>175.41142129703076</v>
      </c>
      <c r="AV96" s="20">
        <v>188.46922999800881</v>
      </c>
      <c r="AW96" s="20">
        <v>183.68387814989546</v>
      </c>
      <c r="AX96" s="20">
        <v>175.80993345363822</v>
      </c>
      <c r="AY96" s="20">
        <v>161.69482010882348</v>
      </c>
    </row>
    <row r="97" spans="1:51" ht="13">
      <c r="A97" s="222">
        <v>96</v>
      </c>
      <c r="B97" s="20">
        <v>179.86734279547818</v>
      </c>
      <c r="C97" s="20">
        <v>175.38386360756704</v>
      </c>
      <c r="D97" s="20">
        <v>162.90196968911914</v>
      </c>
      <c r="E97" s="20">
        <v>182.88589886724367</v>
      </c>
      <c r="F97" s="20">
        <v>150.4578311694786</v>
      </c>
      <c r="G97" s="20">
        <v>165.34923234830785</v>
      </c>
      <c r="H97" s="20">
        <v>160.86491756213945</v>
      </c>
      <c r="I97" s="20">
        <v>169.13674345305481</v>
      </c>
      <c r="J97" s="20">
        <v>204.98685886268504</v>
      </c>
      <c r="K97" s="20">
        <v>172.70589056424797</v>
      </c>
      <c r="L97" s="20">
        <v>152.62267867074115</v>
      </c>
      <c r="M97" s="20">
        <v>172.95286953485629</v>
      </c>
      <c r="N97" s="20">
        <v>155.45218490005936</v>
      </c>
      <c r="O97" s="20">
        <v>177.47190428126487</v>
      </c>
      <c r="P97" s="20">
        <v>153.591256422078</v>
      </c>
      <c r="Q97" s="20">
        <v>184.78381535787776</v>
      </c>
      <c r="R97" s="20">
        <v>186.31379576690961</v>
      </c>
      <c r="S97" s="20">
        <v>162.26348735544889</v>
      </c>
      <c r="T97" s="20">
        <v>149.69126356008928</v>
      </c>
      <c r="U97" s="20">
        <v>179.94241021442576</v>
      </c>
      <c r="V97" s="20">
        <v>177.20823039853713</v>
      </c>
      <c r="W97" s="20">
        <v>150.60544215957634</v>
      </c>
      <c r="X97" s="20">
        <v>165.6730181464809</v>
      </c>
      <c r="Y97" s="20">
        <v>171.74387822778954</v>
      </c>
      <c r="Z97" s="20">
        <v>173.51908114578691</v>
      </c>
      <c r="AA97" s="20">
        <v>185.77062279364327</v>
      </c>
      <c r="AB97" s="20">
        <v>167.53268470056355</v>
      </c>
      <c r="AC97" s="20">
        <v>173.51331722311443</v>
      </c>
      <c r="AD97" s="20">
        <v>182.2898956204881</v>
      </c>
      <c r="AE97" s="20">
        <v>168.6605718175997</v>
      </c>
      <c r="AF97" s="20">
        <v>187.82063522012322</v>
      </c>
      <c r="AG97" s="20">
        <v>173.18197693457478</v>
      </c>
      <c r="AH97" s="20">
        <v>200.60416305641411</v>
      </c>
      <c r="AI97" s="20">
        <v>187.6151462609414</v>
      </c>
      <c r="AJ97" s="20">
        <v>178.43846977557405</v>
      </c>
      <c r="AK97" s="20">
        <v>177.8554438813444</v>
      </c>
      <c r="AL97" s="20">
        <v>153.69872458977625</v>
      </c>
      <c r="AM97" s="20">
        <v>156.91840404615505</v>
      </c>
      <c r="AN97" s="20">
        <v>158.4592472325312</v>
      </c>
      <c r="AO97" s="20">
        <v>194.6393898477254</v>
      </c>
      <c r="AP97" s="20">
        <v>197.21797785750823</v>
      </c>
      <c r="AQ97" s="20">
        <v>190.39233380754013</v>
      </c>
      <c r="AR97" s="20">
        <v>179.36083382737706</v>
      </c>
      <c r="AS97" s="20">
        <v>185.47424120770302</v>
      </c>
      <c r="AT97" s="20">
        <v>175.40569148040959</v>
      </c>
      <c r="AU97" s="20">
        <v>181.32435330771841</v>
      </c>
      <c r="AV97" s="20">
        <v>178.3007836464094</v>
      </c>
      <c r="AW97" s="20">
        <v>167.80294105119538</v>
      </c>
      <c r="AX97" s="20">
        <v>162.27994352520909</v>
      </c>
      <c r="AY97" s="20">
        <v>158.92138422786957</v>
      </c>
    </row>
    <row r="98" spans="1:51" ht="13">
      <c r="A98" s="222">
        <v>97</v>
      </c>
      <c r="B98" s="20">
        <v>180.6988824326254</v>
      </c>
      <c r="C98" s="20">
        <v>166.51345946302172</v>
      </c>
      <c r="D98" s="20">
        <v>194.36418811965268</v>
      </c>
      <c r="E98" s="20">
        <v>204.12383934017271</v>
      </c>
      <c r="F98" s="20">
        <v>204.54320734716021</v>
      </c>
      <c r="G98" s="20">
        <v>192.70755488905706</v>
      </c>
      <c r="H98" s="20">
        <v>164.18033270456363</v>
      </c>
      <c r="I98" s="20">
        <v>150.77187969000079</v>
      </c>
      <c r="J98" s="20">
        <v>161.15737695217831</v>
      </c>
      <c r="K98" s="20">
        <v>194.92410716411541</v>
      </c>
      <c r="L98" s="20">
        <v>170.66788346783142</v>
      </c>
      <c r="M98" s="20">
        <v>175.03499280865071</v>
      </c>
      <c r="N98" s="20">
        <v>169.0238694762229</v>
      </c>
      <c r="O98" s="20">
        <v>164.23827888575033</v>
      </c>
      <c r="P98" s="20">
        <v>189.11898438163917</v>
      </c>
      <c r="Q98" s="20">
        <v>159.67939121837844</v>
      </c>
      <c r="R98" s="20">
        <v>183.32811792861321</v>
      </c>
      <c r="S98" s="20">
        <v>172.64780795885599</v>
      </c>
      <c r="T98" s="20">
        <v>176.05137019090762</v>
      </c>
      <c r="U98" s="20">
        <v>176.65514961736335</v>
      </c>
      <c r="V98" s="20">
        <v>189.46222768208827</v>
      </c>
      <c r="W98" s="20">
        <v>191.68270215304801</v>
      </c>
      <c r="X98" s="20">
        <v>189.55383653592435</v>
      </c>
      <c r="Y98" s="20">
        <v>194.97134404518874</v>
      </c>
      <c r="Z98" s="20">
        <v>182.75049784351722</v>
      </c>
      <c r="AA98" s="20">
        <v>205.0378815154545</v>
      </c>
      <c r="AB98" s="20">
        <v>180.70628344576107</v>
      </c>
      <c r="AC98" s="20">
        <v>164.91613665566547</v>
      </c>
      <c r="AD98" s="20">
        <v>180.9537910601648</v>
      </c>
      <c r="AE98" s="20">
        <v>158.90300106620998</v>
      </c>
      <c r="AF98" s="20">
        <v>154.97285845485749</v>
      </c>
      <c r="AG98" s="20">
        <v>211.75104380818084</v>
      </c>
      <c r="AH98" s="20">
        <v>178.25259179589921</v>
      </c>
      <c r="AI98" s="20">
        <v>185.87034888769267</v>
      </c>
      <c r="AJ98" s="20">
        <v>166.47033236113202</v>
      </c>
      <c r="AK98" s="20">
        <v>164.70512251617038</v>
      </c>
      <c r="AL98" s="20">
        <v>163.45459003860014</v>
      </c>
      <c r="AM98" s="20">
        <v>204.22274688899051</v>
      </c>
      <c r="AN98" s="20">
        <v>172.0627186485217</v>
      </c>
      <c r="AO98" s="20">
        <v>164.04742142258328</v>
      </c>
      <c r="AP98" s="20">
        <v>214.82277121394873</v>
      </c>
      <c r="AQ98" s="20">
        <v>180.7927252328227</v>
      </c>
      <c r="AR98" s="20">
        <v>186.26352344726911</v>
      </c>
      <c r="AS98" s="20">
        <v>193.13152721297229</v>
      </c>
      <c r="AT98" s="20">
        <v>170.17737023779773</v>
      </c>
      <c r="AU98" s="20">
        <v>156.48621216387255</v>
      </c>
      <c r="AV98" s="20">
        <v>187.05359012601548</v>
      </c>
      <c r="AW98" s="20">
        <v>160.76082589352154</v>
      </c>
      <c r="AX98" s="20">
        <v>144.29391272715293</v>
      </c>
      <c r="AY98" s="20">
        <v>161.59419020441419</v>
      </c>
    </row>
    <row r="99" spans="1:51" ht="13">
      <c r="A99" s="222">
        <v>98</v>
      </c>
      <c r="B99" s="20">
        <v>200.48677002778277</v>
      </c>
      <c r="C99" s="20">
        <v>158.64761495395214</v>
      </c>
      <c r="D99" s="20">
        <v>185.15591237774061</v>
      </c>
      <c r="E99" s="20">
        <v>146.2810677010566</v>
      </c>
      <c r="F99" s="20">
        <v>177.16880380321527</v>
      </c>
      <c r="G99" s="20">
        <v>165.38731175460271</v>
      </c>
      <c r="H99" s="20">
        <v>180.77913397137308</v>
      </c>
      <c r="I99" s="20">
        <v>169.44639229295717</v>
      </c>
      <c r="J99" s="20">
        <v>138.67241692496464</v>
      </c>
      <c r="K99" s="20">
        <v>153.90124632249353</v>
      </c>
      <c r="L99" s="20">
        <v>165.88785216372344</v>
      </c>
      <c r="M99" s="20">
        <v>174.64023231768806</v>
      </c>
      <c r="N99" s="20">
        <v>193.6796114576282</v>
      </c>
      <c r="O99" s="20">
        <v>181.96488200446765</v>
      </c>
      <c r="P99" s="20">
        <v>168.20847905437404</v>
      </c>
      <c r="Q99" s="20">
        <v>196.1358610613388</v>
      </c>
      <c r="R99" s="20">
        <v>171.30420006724307</v>
      </c>
      <c r="S99" s="20">
        <v>147.86952293507056</v>
      </c>
      <c r="T99" s="20">
        <v>185.30069256557908</v>
      </c>
      <c r="U99" s="20">
        <v>182.44136059438461</v>
      </c>
      <c r="V99" s="20">
        <v>166.37710346985841</v>
      </c>
      <c r="W99" s="20">
        <v>186.04265265894355</v>
      </c>
      <c r="X99" s="20">
        <v>179.26994120061863</v>
      </c>
      <c r="Y99" s="20">
        <v>170.85060663775948</v>
      </c>
      <c r="Z99" s="20">
        <v>208.93361112102866</v>
      </c>
      <c r="AA99" s="20">
        <v>168.13847638404695</v>
      </c>
      <c r="AB99" s="20">
        <v>180.73465968045639</v>
      </c>
      <c r="AC99" s="20">
        <v>148.85743881750386</v>
      </c>
      <c r="AD99" s="20">
        <v>160.96655359506258</v>
      </c>
      <c r="AE99" s="20">
        <v>156.52301259324304</v>
      </c>
      <c r="AF99" s="20">
        <v>130.46895661391318</v>
      </c>
      <c r="AG99" s="20">
        <v>179.76224499834643</v>
      </c>
      <c r="AH99" s="20">
        <v>162.11476791868336</v>
      </c>
      <c r="AI99" s="20">
        <v>180.38070707989391</v>
      </c>
      <c r="AJ99" s="20">
        <v>194.82475623663049</v>
      </c>
      <c r="AK99" s="20">
        <v>178.28666374116438</v>
      </c>
      <c r="AL99" s="20">
        <v>185.24700964080694</v>
      </c>
      <c r="AM99" s="20">
        <v>162.36684574396349</v>
      </c>
      <c r="AN99" s="20">
        <v>189.72750454922789</v>
      </c>
      <c r="AO99" s="20">
        <v>150.13273228832986</v>
      </c>
      <c r="AP99" s="20">
        <v>170.02246055271826</v>
      </c>
      <c r="AQ99" s="20">
        <v>151.5506572657614</v>
      </c>
      <c r="AR99" s="20">
        <v>202.04255166463554</v>
      </c>
      <c r="AS99" s="20">
        <v>148.41665221028961</v>
      </c>
      <c r="AT99" s="20">
        <v>189.18167130395886</v>
      </c>
      <c r="AU99" s="20">
        <v>186.78452748717973</v>
      </c>
      <c r="AV99" s="20">
        <v>169.77809069503564</v>
      </c>
      <c r="AW99" s="20">
        <v>175.32303546504409</v>
      </c>
      <c r="AX99" s="20">
        <v>163.97088744342909</v>
      </c>
      <c r="AY99" s="20">
        <v>181.32938395028759</v>
      </c>
    </row>
    <row r="100" spans="1:51" ht="13">
      <c r="A100" s="222">
        <v>99</v>
      </c>
      <c r="B100" s="20">
        <v>191.02981001269654</v>
      </c>
      <c r="C100" s="20">
        <v>172.39422946731793</v>
      </c>
      <c r="D100" s="20">
        <v>191.11128936929163</v>
      </c>
      <c r="E100" s="20">
        <v>186.88950591313187</v>
      </c>
      <c r="F100" s="20">
        <v>194.77537067432422</v>
      </c>
      <c r="G100" s="20">
        <v>184.63666479947278</v>
      </c>
      <c r="H100" s="20">
        <v>173.15653382029268</v>
      </c>
      <c r="I100" s="20">
        <v>187.55641564057441</v>
      </c>
      <c r="J100" s="20">
        <v>173.50639369469718</v>
      </c>
      <c r="K100" s="20">
        <v>171.66865733161103</v>
      </c>
      <c r="L100" s="20">
        <v>155.43339246578398</v>
      </c>
      <c r="M100" s="20">
        <v>192.56553729137522</v>
      </c>
      <c r="N100" s="20">
        <v>160.51035105265328</v>
      </c>
      <c r="O100" s="20">
        <v>173.69539237806748</v>
      </c>
      <c r="P100" s="20">
        <v>169.77930145985738</v>
      </c>
      <c r="Q100" s="20">
        <v>199.87633992132032</v>
      </c>
      <c r="R100" s="20">
        <v>190.46630983284558</v>
      </c>
      <c r="S100" s="20">
        <v>159.41408024518751</v>
      </c>
      <c r="T100" s="20">
        <v>190.71644361320068</v>
      </c>
      <c r="U100" s="20">
        <v>181.88573891238775</v>
      </c>
      <c r="V100" s="20">
        <v>180.935169156146</v>
      </c>
      <c r="W100" s="20">
        <v>157.32924554031342</v>
      </c>
      <c r="X100" s="20">
        <v>187.4492203212867</v>
      </c>
      <c r="Y100" s="20">
        <v>165.02660615587956</v>
      </c>
      <c r="Z100" s="20">
        <v>186.97453229906387</v>
      </c>
      <c r="AA100" s="20">
        <v>191.69549192229169</v>
      </c>
      <c r="AB100" s="20">
        <v>193.96964931802358</v>
      </c>
      <c r="AC100" s="20">
        <v>176.83998736247304</v>
      </c>
      <c r="AD100" s="20">
        <v>163.91517520860361</v>
      </c>
      <c r="AE100" s="20">
        <v>162.05160351164523</v>
      </c>
      <c r="AF100" s="20">
        <v>146.11422089801636</v>
      </c>
      <c r="AG100" s="20">
        <v>179.1732505451364</v>
      </c>
      <c r="AH100" s="20">
        <v>169.01640025098459</v>
      </c>
      <c r="AI100" s="20">
        <v>137.27434166939929</v>
      </c>
      <c r="AJ100" s="20">
        <v>204.0261596092023</v>
      </c>
      <c r="AK100" s="20">
        <v>152.01074789802078</v>
      </c>
      <c r="AL100" s="20">
        <v>187.10277105201385</v>
      </c>
      <c r="AM100" s="20">
        <v>163.01602032472147</v>
      </c>
      <c r="AN100" s="20">
        <v>191.53444314797525</v>
      </c>
      <c r="AO100" s="20">
        <v>173.2871258907835</v>
      </c>
      <c r="AP100" s="20">
        <v>179.9726963879948</v>
      </c>
      <c r="AQ100" s="20">
        <v>139.00802046991885</v>
      </c>
      <c r="AR100" s="20">
        <v>172.99340457684593</v>
      </c>
      <c r="AS100" s="20">
        <v>150.38757270376664</v>
      </c>
      <c r="AT100" s="20">
        <v>151.81566128449049</v>
      </c>
      <c r="AU100" s="20">
        <v>168.21356085602019</v>
      </c>
      <c r="AV100" s="20">
        <v>191.15221663087141</v>
      </c>
      <c r="AW100" s="20">
        <v>158.00048673627316</v>
      </c>
      <c r="AX100" s="20">
        <v>181.01716010351083</v>
      </c>
      <c r="AY100" s="20">
        <v>184.09558934836241</v>
      </c>
    </row>
    <row r="101" spans="1:51" ht="13">
      <c r="A101" s="222">
        <v>100</v>
      </c>
      <c r="B101" s="20">
        <v>152.99961874989094</v>
      </c>
      <c r="C101" s="20">
        <v>167.11805743470904</v>
      </c>
      <c r="D101" s="20">
        <v>176.04332116279693</v>
      </c>
      <c r="E101" s="20">
        <v>176.38178961606172</v>
      </c>
      <c r="F101" s="20">
        <v>180.01393060403643</v>
      </c>
      <c r="G101" s="20">
        <v>192.84650294212042</v>
      </c>
      <c r="H101" s="20">
        <v>168.36067730837385</v>
      </c>
      <c r="I101" s="20">
        <v>173.71266709305928</v>
      </c>
      <c r="J101" s="20">
        <v>193.0483766598627</v>
      </c>
      <c r="K101" s="20">
        <v>191.90391400188673</v>
      </c>
      <c r="L101" s="20">
        <v>174.37616621537018</v>
      </c>
      <c r="M101" s="20">
        <v>176.78451387000678</v>
      </c>
      <c r="N101" s="20">
        <v>168.35941538447514</v>
      </c>
      <c r="O101" s="20">
        <v>175.32417801776319</v>
      </c>
      <c r="P101" s="20">
        <v>177.32894876717182</v>
      </c>
      <c r="Q101" s="20">
        <v>179.97753944728174</v>
      </c>
      <c r="R101" s="20">
        <v>164.0234448685078</v>
      </c>
      <c r="S101" s="20">
        <v>147.82225194794592</v>
      </c>
      <c r="T101" s="20">
        <v>162.70234697076376</v>
      </c>
      <c r="U101" s="20">
        <v>163.94680857119965</v>
      </c>
      <c r="V101" s="20">
        <v>163.060153555125</v>
      </c>
      <c r="W101" s="20">
        <v>178.42196244673687</v>
      </c>
      <c r="X101" s="20">
        <v>175.3850232133118</v>
      </c>
      <c r="Y101" s="20">
        <v>144.3865447625285</v>
      </c>
      <c r="Z101" s="20">
        <v>194.40122729138238</v>
      </c>
      <c r="AA101" s="20">
        <v>190.38844571769005</v>
      </c>
      <c r="AB101" s="20">
        <v>165.31251718406565</v>
      </c>
      <c r="AC101" s="20">
        <v>184.1356127995823</v>
      </c>
      <c r="AD101" s="20">
        <v>169.62664277416479</v>
      </c>
      <c r="AE101" s="20">
        <v>170.60563992417883</v>
      </c>
      <c r="AF101" s="20">
        <v>198.16162408533273</v>
      </c>
      <c r="AG101" s="20">
        <v>184.66347215580754</v>
      </c>
      <c r="AH101" s="20">
        <v>171.35385847795988</v>
      </c>
      <c r="AI101" s="20">
        <v>168.4857441985514</v>
      </c>
      <c r="AJ101" s="20">
        <v>195.7675839192234</v>
      </c>
      <c r="AK101" s="20">
        <v>161.02862660845858</v>
      </c>
      <c r="AL101" s="20">
        <v>174.881242729316</v>
      </c>
      <c r="AM101" s="20">
        <v>168.22372445931251</v>
      </c>
      <c r="AN101" s="20">
        <v>183.16393139757565</v>
      </c>
      <c r="AO101" s="20">
        <v>184.14529891815619</v>
      </c>
      <c r="AP101" s="20">
        <v>169.58747197422781</v>
      </c>
      <c r="AQ101" s="20">
        <v>167.16807395896467</v>
      </c>
      <c r="AR101" s="20">
        <v>183.53507344800164</v>
      </c>
      <c r="AS101" s="20">
        <v>149.6387402410619</v>
      </c>
      <c r="AT101" s="20">
        <v>200.65852810221259</v>
      </c>
      <c r="AU101" s="20">
        <v>159.57072933888412</v>
      </c>
      <c r="AV101" s="20">
        <v>170.56249576926348</v>
      </c>
      <c r="AW101" s="20">
        <v>196.5366071643075</v>
      </c>
      <c r="AX101" s="20">
        <v>144.37740434077568</v>
      </c>
      <c r="AY101" s="20">
        <v>187.36039111063292</v>
      </c>
    </row>
    <row r="102" spans="1:51" ht="13">
      <c r="A102" s="222" t="s">
        <v>157</v>
      </c>
    </row>
    <row r="103" spans="1:51" ht="13">
      <c r="A103" s="225" t="s">
        <v>13</v>
      </c>
      <c r="B103" s="20">
        <f>SUM(B2:B101)</f>
        <v>17575.792240750161</v>
      </c>
      <c r="C103" s="20">
        <f t="shared" ref="C103:AY103" si="0">SUM(C2:C101)</f>
        <v>17668.694532476366</v>
      </c>
      <c r="D103" s="20">
        <f t="shared" si="0"/>
        <v>17730.818687896317</v>
      </c>
      <c r="E103" s="20">
        <f t="shared" si="0"/>
        <v>17716.418294485266</v>
      </c>
      <c r="F103" s="20">
        <f t="shared" si="0"/>
        <v>17448.456564879962</v>
      </c>
      <c r="G103" s="20">
        <f t="shared" si="0"/>
        <v>17610.714313450444</v>
      </c>
      <c r="H103" s="20">
        <f t="shared" si="0"/>
        <v>17518.281167513123</v>
      </c>
      <c r="I103" s="20">
        <f t="shared" si="0"/>
        <v>17352.286572377125</v>
      </c>
      <c r="J103" s="20">
        <f t="shared" si="0"/>
        <v>17442.078426329317</v>
      </c>
      <c r="K103" s="20">
        <f t="shared" si="0"/>
        <v>17668.330518590665</v>
      </c>
      <c r="L103" s="20">
        <f t="shared" si="0"/>
        <v>17468.209749567905</v>
      </c>
      <c r="M103" s="20">
        <f t="shared" si="0"/>
        <v>17468.836857533461</v>
      </c>
      <c r="N103" s="20">
        <f t="shared" si="0"/>
        <v>17525.590213681426</v>
      </c>
      <c r="O103" s="20">
        <f t="shared" si="0"/>
        <v>17669.810516581492</v>
      </c>
      <c r="P103" s="20">
        <f t="shared" si="0"/>
        <v>17713.10465285751</v>
      </c>
      <c r="Q103" s="20">
        <f t="shared" si="0"/>
        <v>17389.539384412274</v>
      </c>
      <c r="R103" s="20">
        <f t="shared" si="0"/>
        <v>17430.952759541469</v>
      </c>
      <c r="S103" s="20">
        <f t="shared" si="0"/>
        <v>17235.243488885317</v>
      </c>
      <c r="T103" s="20">
        <f t="shared" si="0"/>
        <v>17561.575900645039</v>
      </c>
      <c r="U103" s="20">
        <f t="shared" si="0"/>
        <v>17624.401361745186</v>
      </c>
      <c r="V103" s="20">
        <f t="shared" si="0"/>
        <v>17654.705901422858</v>
      </c>
      <c r="W103" s="20">
        <f t="shared" si="0"/>
        <v>17427.823461121079</v>
      </c>
      <c r="X103" s="20">
        <f t="shared" si="0"/>
        <v>17165.262851067382</v>
      </c>
      <c r="Y103" s="20">
        <f t="shared" si="0"/>
        <v>17504.945189857608</v>
      </c>
      <c r="Z103" s="20">
        <f t="shared" si="0"/>
        <v>17602.370421473097</v>
      </c>
      <c r="AA103" s="20">
        <f t="shared" si="0"/>
        <v>17657.300212322298</v>
      </c>
      <c r="AB103" s="20">
        <f t="shared" si="0"/>
        <v>17392.689453417916</v>
      </c>
      <c r="AC103" s="20">
        <f t="shared" si="0"/>
        <v>17429.918988073041</v>
      </c>
      <c r="AD103" s="20">
        <f t="shared" si="0"/>
        <v>17607.579779751177</v>
      </c>
      <c r="AE103" s="20">
        <f t="shared" si="0"/>
        <v>17439.261863346474</v>
      </c>
      <c r="AF103" s="20">
        <f t="shared" si="0"/>
        <v>17500.365378127754</v>
      </c>
      <c r="AG103" s="20">
        <f t="shared" si="0"/>
        <v>17667.149801200139</v>
      </c>
      <c r="AH103" s="20">
        <f t="shared" si="0"/>
        <v>17249.568593188087</v>
      </c>
      <c r="AI103" s="20">
        <f t="shared" si="0"/>
        <v>17399.164060934709</v>
      </c>
      <c r="AJ103" s="20">
        <f t="shared" si="0"/>
        <v>17338.27302685313</v>
      </c>
      <c r="AK103" s="20">
        <f t="shared" si="0"/>
        <v>17832.804921754359</v>
      </c>
      <c r="AL103" s="20">
        <f t="shared" si="0"/>
        <v>17506.251860895645</v>
      </c>
      <c r="AM103" s="20">
        <f t="shared" si="0"/>
        <v>17900.223530050425</v>
      </c>
      <c r="AN103" s="20">
        <f t="shared" si="0"/>
        <v>17494.826828242367</v>
      </c>
      <c r="AO103" s="20">
        <f t="shared" si="0"/>
        <v>17728.835148163853</v>
      </c>
      <c r="AP103" s="20">
        <f t="shared" si="0"/>
        <v>17579.905242955647</v>
      </c>
      <c r="AQ103" s="20">
        <f t="shared" si="0"/>
        <v>17801.071509056783</v>
      </c>
      <c r="AR103" s="20">
        <f t="shared" si="0"/>
        <v>17540.486287389285</v>
      </c>
      <c r="AS103" s="20">
        <f t="shared" si="0"/>
        <v>17467.345331697288</v>
      </c>
      <c r="AT103" s="20">
        <f t="shared" si="0"/>
        <v>17730.361001740675</v>
      </c>
      <c r="AU103" s="20">
        <f t="shared" si="0"/>
        <v>17563.690339402456</v>
      </c>
      <c r="AV103" s="20">
        <f t="shared" si="0"/>
        <v>17707.54101797138</v>
      </c>
      <c r="AW103" s="20">
        <f t="shared" si="0"/>
        <v>17768.432614802805</v>
      </c>
      <c r="AX103" s="20">
        <f t="shared" si="0"/>
        <v>17305.367303906678</v>
      </c>
      <c r="AY103" s="20">
        <f t="shared" si="0"/>
        <v>17525.379694079675</v>
      </c>
    </row>
    <row r="104" spans="1:51" ht="13">
      <c r="A104" s="225" t="s">
        <v>27</v>
      </c>
      <c r="B104" s="20">
        <f>AVERAGE(B2:B101)</f>
        <v>175.75792240750161</v>
      </c>
      <c r="C104" s="20">
        <f t="shared" ref="C104:AY104" si="1">AVERAGE(C2:C101)</f>
        <v>176.68694532476366</v>
      </c>
      <c r="D104" s="20">
        <f t="shared" si="1"/>
        <v>177.30818687896317</v>
      </c>
      <c r="E104" s="20">
        <f t="shared" si="1"/>
        <v>177.16418294485266</v>
      </c>
      <c r="F104" s="20">
        <f t="shared" si="1"/>
        <v>174.48456564879962</v>
      </c>
      <c r="G104" s="20">
        <f t="shared" si="1"/>
        <v>176.10714313450444</v>
      </c>
      <c r="H104" s="20">
        <f t="shared" si="1"/>
        <v>175.18281167513123</v>
      </c>
      <c r="I104" s="20">
        <f t="shared" si="1"/>
        <v>173.52286572377125</v>
      </c>
      <c r="J104" s="20">
        <f t="shared" si="1"/>
        <v>174.42078426329317</v>
      </c>
      <c r="K104" s="20">
        <f t="shared" si="1"/>
        <v>176.68330518590665</v>
      </c>
      <c r="L104" s="20">
        <f t="shared" si="1"/>
        <v>174.68209749567905</v>
      </c>
      <c r="M104" s="20">
        <f t="shared" si="1"/>
        <v>174.68836857533461</v>
      </c>
      <c r="N104" s="20">
        <f t="shared" si="1"/>
        <v>175.25590213681426</v>
      </c>
      <c r="O104" s="20">
        <f t="shared" si="1"/>
        <v>176.69810516581492</v>
      </c>
      <c r="P104" s="20">
        <f t="shared" si="1"/>
        <v>177.1310465285751</v>
      </c>
      <c r="Q104" s="20">
        <f t="shared" si="1"/>
        <v>173.89539384412274</v>
      </c>
      <c r="R104" s="20">
        <f t="shared" si="1"/>
        <v>174.30952759541469</v>
      </c>
      <c r="S104" s="20">
        <f t="shared" si="1"/>
        <v>172.35243488885317</v>
      </c>
      <c r="T104" s="20">
        <f t="shared" si="1"/>
        <v>175.61575900645039</v>
      </c>
      <c r="U104" s="20">
        <f t="shared" si="1"/>
        <v>176.24401361745186</v>
      </c>
      <c r="V104" s="20">
        <f t="shared" si="1"/>
        <v>176.54705901422858</v>
      </c>
      <c r="W104" s="20">
        <f t="shared" si="1"/>
        <v>174.27823461121079</v>
      </c>
      <c r="X104" s="20">
        <f t="shared" si="1"/>
        <v>171.65262851067382</v>
      </c>
      <c r="Y104" s="20">
        <f t="shared" si="1"/>
        <v>175.04945189857608</v>
      </c>
      <c r="Z104" s="20">
        <f t="shared" si="1"/>
        <v>176.02370421473097</v>
      </c>
      <c r="AA104" s="20">
        <f t="shared" si="1"/>
        <v>176.57300212322298</v>
      </c>
      <c r="AB104" s="20">
        <f t="shared" si="1"/>
        <v>173.92689453417916</v>
      </c>
      <c r="AC104" s="20">
        <f t="shared" si="1"/>
        <v>174.29918988073041</v>
      </c>
      <c r="AD104" s="20">
        <f t="shared" si="1"/>
        <v>176.07579779751177</v>
      </c>
      <c r="AE104" s="20">
        <f t="shared" si="1"/>
        <v>174.39261863346474</v>
      </c>
      <c r="AF104" s="20">
        <f t="shared" si="1"/>
        <v>175.00365378127754</v>
      </c>
      <c r="AG104" s="20">
        <f t="shared" si="1"/>
        <v>176.67149801200139</v>
      </c>
      <c r="AH104" s="20">
        <f t="shared" si="1"/>
        <v>172.49568593188087</v>
      </c>
      <c r="AI104" s="20">
        <f t="shared" si="1"/>
        <v>173.99164060934709</v>
      </c>
      <c r="AJ104" s="20">
        <f t="shared" si="1"/>
        <v>173.3827302685313</v>
      </c>
      <c r="AK104" s="20">
        <f t="shared" si="1"/>
        <v>178.32804921754359</v>
      </c>
      <c r="AL104" s="20">
        <f t="shared" si="1"/>
        <v>175.06251860895645</v>
      </c>
      <c r="AM104" s="20">
        <f t="shared" si="1"/>
        <v>179.00223530050425</v>
      </c>
      <c r="AN104" s="20">
        <f t="shared" si="1"/>
        <v>174.94826828242367</v>
      </c>
      <c r="AO104" s="20">
        <f t="shared" si="1"/>
        <v>177.28835148163853</v>
      </c>
      <c r="AP104" s="20">
        <f t="shared" si="1"/>
        <v>175.79905242955647</v>
      </c>
      <c r="AQ104" s="20">
        <f t="shared" si="1"/>
        <v>178.01071509056783</v>
      </c>
      <c r="AR104" s="20">
        <f t="shared" si="1"/>
        <v>175.40486287389285</v>
      </c>
      <c r="AS104" s="20">
        <f t="shared" si="1"/>
        <v>174.67345331697288</v>
      </c>
      <c r="AT104" s="20">
        <f t="shared" si="1"/>
        <v>177.30361001740675</v>
      </c>
      <c r="AU104" s="20">
        <f t="shared" si="1"/>
        <v>175.63690339402456</v>
      </c>
      <c r="AV104" s="20">
        <f t="shared" si="1"/>
        <v>177.0754101797138</v>
      </c>
      <c r="AW104" s="20">
        <f t="shared" si="1"/>
        <v>177.68432614802805</v>
      </c>
      <c r="AX104" s="20">
        <f t="shared" si="1"/>
        <v>173.05367303906678</v>
      </c>
      <c r="AY104" s="20">
        <f t="shared" si="1"/>
        <v>175.25379694079675</v>
      </c>
    </row>
    <row r="105" spans="1:51" ht="13">
      <c r="A105" s="225" t="s">
        <v>158</v>
      </c>
      <c r="B105" s="20">
        <f>_xlfn.VAR.S(B2:B101)</f>
        <v>218.41480345701572</v>
      </c>
      <c r="C105" s="20">
        <f t="shared" ref="C105:AY105" si="2">_xlfn.VAR.S(C2:C101)</f>
        <v>205.90403237319165</v>
      </c>
      <c r="D105" s="20">
        <f t="shared" si="2"/>
        <v>192.73945839886548</v>
      </c>
      <c r="E105" s="20">
        <f t="shared" si="2"/>
        <v>210.50452464924163</v>
      </c>
      <c r="F105" s="20">
        <f t="shared" si="2"/>
        <v>283.74153048219404</v>
      </c>
      <c r="G105" s="20">
        <f t="shared" si="2"/>
        <v>245.81031474084045</v>
      </c>
      <c r="H105" s="20">
        <f t="shared" si="2"/>
        <v>225.87663075573315</v>
      </c>
      <c r="I105" s="20">
        <f t="shared" si="2"/>
        <v>298.49301579454828</v>
      </c>
      <c r="J105" s="20">
        <f t="shared" si="2"/>
        <v>266.05492560585714</v>
      </c>
      <c r="K105" s="20">
        <f t="shared" si="2"/>
        <v>236.99229305625994</v>
      </c>
      <c r="L105" s="20">
        <f t="shared" si="2"/>
        <v>232.9725993927369</v>
      </c>
      <c r="M105" s="20">
        <f t="shared" si="2"/>
        <v>165.60783361164636</v>
      </c>
      <c r="N105" s="20">
        <f t="shared" si="2"/>
        <v>249.00357657495564</v>
      </c>
      <c r="O105" s="20">
        <f t="shared" si="2"/>
        <v>253.11419431997615</v>
      </c>
      <c r="P105" s="20">
        <f t="shared" si="2"/>
        <v>255.65447256510865</v>
      </c>
      <c r="Q105" s="20">
        <f t="shared" si="2"/>
        <v>250.79217237894181</v>
      </c>
      <c r="R105" s="20">
        <f t="shared" si="2"/>
        <v>205.98949725953645</v>
      </c>
      <c r="S105" s="20">
        <f t="shared" si="2"/>
        <v>242.34356336830646</v>
      </c>
      <c r="T105" s="20">
        <f t="shared" si="2"/>
        <v>196.3431399221341</v>
      </c>
      <c r="U105" s="20">
        <f t="shared" si="2"/>
        <v>184.21423069714652</v>
      </c>
      <c r="V105" s="20">
        <f t="shared" si="2"/>
        <v>283.88084051341048</v>
      </c>
      <c r="W105" s="20">
        <f t="shared" si="2"/>
        <v>215.77138826297022</v>
      </c>
      <c r="X105" s="20">
        <f t="shared" si="2"/>
        <v>178.34854950559429</v>
      </c>
      <c r="Y105" s="20">
        <f t="shared" si="2"/>
        <v>213.66466964695866</v>
      </c>
      <c r="Z105" s="20">
        <f t="shared" si="2"/>
        <v>275.26592442288722</v>
      </c>
      <c r="AA105" s="20">
        <f t="shared" si="2"/>
        <v>246.50311234880053</v>
      </c>
      <c r="AB105" s="20">
        <f t="shared" si="2"/>
        <v>204.4853517930849</v>
      </c>
      <c r="AC105" s="20">
        <f t="shared" si="2"/>
        <v>226.25664583836962</v>
      </c>
      <c r="AD105" s="20">
        <f t="shared" si="2"/>
        <v>225.21230466608665</v>
      </c>
      <c r="AE105" s="20">
        <f t="shared" si="2"/>
        <v>212.44989184917782</v>
      </c>
      <c r="AF105" s="20">
        <f t="shared" si="2"/>
        <v>253.75023350314754</v>
      </c>
      <c r="AG105" s="20">
        <f t="shared" si="2"/>
        <v>206.8775494191506</v>
      </c>
      <c r="AH105" s="20">
        <f t="shared" si="2"/>
        <v>210.54627797142325</v>
      </c>
      <c r="AI105" s="20">
        <f t="shared" si="2"/>
        <v>231.91540041923449</v>
      </c>
      <c r="AJ105" s="20">
        <f t="shared" si="2"/>
        <v>263.50945809435308</v>
      </c>
      <c r="AK105" s="20">
        <f t="shared" si="2"/>
        <v>230.92067227465139</v>
      </c>
      <c r="AL105" s="20">
        <f t="shared" si="2"/>
        <v>231.45439010630417</v>
      </c>
      <c r="AM105" s="20">
        <f t="shared" si="2"/>
        <v>292.01224253216071</v>
      </c>
      <c r="AN105" s="20">
        <f t="shared" si="2"/>
        <v>223.57767009676061</v>
      </c>
      <c r="AO105" s="20">
        <f t="shared" si="2"/>
        <v>212.99237149429194</v>
      </c>
      <c r="AP105" s="20">
        <f t="shared" si="2"/>
        <v>272.91505873996601</v>
      </c>
      <c r="AQ105" s="20">
        <f t="shared" si="2"/>
        <v>236.78873692409741</v>
      </c>
      <c r="AR105" s="20">
        <f t="shared" si="2"/>
        <v>209.78579550404885</v>
      </c>
      <c r="AS105" s="20">
        <f t="shared" si="2"/>
        <v>224.42023220892659</v>
      </c>
      <c r="AT105" s="20">
        <f t="shared" si="2"/>
        <v>209.21702590668281</v>
      </c>
      <c r="AU105" s="20">
        <f t="shared" si="2"/>
        <v>232.01647537761392</v>
      </c>
      <c r="AV105" s="20">
        <f t="shared" si="2"/>
        <v>261.02917570568434</v>
      </c>
      <c r="AW105" s="20">
        <f t="shared" si="2"/>
        <v>198.59981351351649</v>
      </c>
      <c r="AX105" s="20">
        <f t="shared" si="2"/>
        <v>232.20629278431414</v>
      </c>
      <c r="AY105" s="20">
        <f t="shared" si="2"/>
        <v>206.36834935303705</v>
      </c>
    </row>
    <row r="106" spans="1:51" ht="13">
      <c r="A106" s="225" t="s">
        <v>159</v>
      </c>
      <c r="B106" s="20">
        <f>_xlfn.STDEV.S(B2:B101)</f>
        <v>14.778863402069041</v>
      </c>
      <c r="C106" s="20">
        <f t="shared" ref="C106:AY106" si="3">_xlfn.STDEV.S(C2:C101)</f>
        <v>14.349356514254973</v>
      </c>
      <c r="D106" s="20">
        <f t="shared" si="3"/>
        <v>13.883063725232462</v>
      </c>
      <c r="E106" s="20">
        <f t="shared" si="3"/>
        <v>14.508774057419243</v>
      </c>
      <c r="F106" s="20">
        <f t="shared" si="3"/>
        <v>16.844629128662763</v>
      </c>
      <c r="G106" s="20">
        <f t="shared" si="3"/>
        <v>15.678339030038879</v>
      </c>
      <c r="H106" s="20">
        <f t="shared" si="3"/>
        <v>15.029192618225808</v>
      </c>
      <c r="I106" s="20">
        <f t="shared" si="3"/>
        <v>17.276950419404123</v>
      </c>
      <c r="J106" s="20">
        <f t="shared" si="3"/>
        <v>16.311190195870353</v>
      </c>
      <c r="K106" s="20">
        <f t="shared" si="3"/>
        <v>15.394554006409537</v>
      </c>
      <c r="L106" s="20">
        <f t="shared" si="3"/>
        <v>15.263439959351787</v>
      </c>
      <c r="M106" s="20">
        <f t="shared" si="3"/>
        <v>12.868870720138824</v>
      </c>
      <c r="N106" s="20">
        <f t="shared" si="3"/>
        <v>15.779847165766709</v>
      </c>
      <c r="O106" s="20">
        <f t="shared" si="3"/>
        <v>15.909562983312149</v>
      </c>
      <c r="P106" s="20">
        <f t="shared" si="3"/>
        <v>15.989198621729253</v>
      </c>
      <c r="Q106" s="20">
        <f t="shared" si="3"/>
        <v>15.836419177924718</v>
      </c>
      <c r="R106" s="20">
        <f t="shared" si="3"/>
        <v>14.352334209442605</v>
      </c>
      <c r="S106" s="20">
        <f t="shared" si="3"/>
        <v>15.567387814540577</v>
      </c>
      <c r="T106" s="20">
        <f t="shared" si="3"/>
        <v>14.01224963816068</v>
      </c>
      <c r="U106" s="20">
        <f t="shared" si="3"/>
        <v>13.572554317340067</v>
      </c>
      <c r="V106" s="20">
        <f t="shared" si="3"/>
        <v>16.84876376810508</v>
      </c>
      <c r="W106" s="20">
        <f t="shared" si="3"/>
        <v>14.689158868463851</v>
      </c>
      <c r="X106" s="20">
        <f t="shared" si="3"/>
        <v>13.354720120825981</v>
      </c>
      <c r="Y106" s="20">
        <f t="shared" si="3"/>
        <v>14.617272989410804</v>
      </c>
      <c r="Z106" s="20">
        <f t="shared" si="3"/>
        <v>16.591139937415008</v>
      </c>
      <c r="AA106" s="20">
        <f t="shared" si="3"/>
        <v>15.700417585172712</v>
      </c>
      <c r="AB106" s="20">
        <f t="shared" si="3"/>
        <v>14.299837474359101</v>
      </c>
      <c r="AC106" s="20">
        <f t="shared" si="3"/>
        <v>15.041829870011481</v>
      </c>
      <c r="AD106" s="20">
        <f t="shared" si="3"/>
        <v>15.007075153609602</v>
      </c>
      <c r="AE106" s="20">
        <f t="shared" si="3"/>
        <v>14.575660940388872</v>
      </c>
      <c r="AF106" s="20">
        <f t="shared" si="3"/>
        <v>15.929539651325381</v>
      </c>
      <c r="AG106" s="20">
        <f t="shared" si="3"/>
        <v>14.383238488572404</v>
      </c>
      <c r="AH106" s="20">
        <f t="shared" si="3"/>
        <v>14.510212885117269</v>
      </c>
      <c r="AI106" s="20">
        <f t="shared" si="3"/>
        <v>15.228768841217418</v>
      </c>
      <c r="AJ106" s="20">
        <f t="shared" si="3"/>
        <v>16.232974406877904</v>
      </c>
      <c r="AK106" s="20">
        <f t="shared" si="3"/>
        <v>15.196074238916161</v>
      </c>
      <c r="AL106" s="20">
        <f t="shared" si="3"/>
        <v>15.213625146765782</v>
      </c>
      <c r="AM106" s="20">
        <f t="shared" si="3"/>
        <v>17.088365706882584</v>
      </c>
      <c r="AN106" s="20">
        <f t="shared" si="3"/>
        <v>14.952513838708212</v>
      </c>
      <c r="AO106" s="20">
        <f t="shared" si="3"/>
        <v>14.594258168687162</v>
      </c>
      <c r="AP106" s="20">
        <f t="shared" si="3"/>
        <v>16.520141002423859</v>
      </c>
      <c r="AQ106" s="20">
        <f t="shared" si="3"/>
        <v>15.387941282838892</v>
      </c>
      <c r="AR106" s="20">
        <f t="shared" si="3"/>
        <v>14.483984103279347</v>
      </c>
      <c r="AS106" s="20">
        <f t="shared" si="3"/>
        <v>14.980661941614148</v>
      </c>
      <c r="AT106" s="20">
        <f t="shared" si="3"/>
        <v>14.464336345186489</v>
      </c>
      <c r="AU106" s="20">
        <f t="shared" si="3"/>
        <v>15.232087032892569</v>
      </c>
      <c r="AV106" s="20">
        <f t="shared" si="3"/>
        <v>16.156397361592848</v>
      </c>
      <c r="AW106" s="20">
        <f t="shared" si="3"/>
        <v>14.092544607469458</v>
      </c>
      <c r="AX106" s="20">
        <f t="shared" si="3"/>
        <v>15.238316599425087</v>
      </c>
      <c r="AY106" s="20">
        <f t="shared" si="3"/>
        <v>14.365526421020466</v>
      </c>
    </row>
    <row r="108" spans="1:51" ht="13">
      <c r="A108" s="222" t="s">
        <v>160</v>
      </c>
    </row>
    <row r="109" spans="1:51" ht="13">
      <c r="A109" s="225" t="s">
        <v>13</v>
      </c>
      <c r="B109" s="226">
        <f>SUM(B2:AY101)</f>
        <v>877308.03781846678</v>
      </c>
      <c r="C109" s="20">
        <f>SUM(B103:AY103)</f>
        <v>877308.03781846585</v>
      </c>
    </row>
    <row r="110" spans="1:51" ht="13">
      <c r="A110" s="225" t="s">
        <v>27</v>
      </c>
      <c r="B110" s="227">
        <f>AVERAGE(B2:AY101)</f>
        <v>175.46160756369335</v>
      </c>
      <c r="C110" s="20">
        <f>AVERAGE(B104:AY104)</f>
        <v>175.46160756369318</v>
      </c>
    </row>
    <row r="111" spans="1:51" ht="13">
      <c r="A111" s="225" t="s">
        <v>158</v>
      </c>
      <c r="B111" s="227">
        <f>_xlfn.VAR.S(B2:AY101)</f>
        <v>231.10121547495251</v>
      </c>
      <c r="C111" s="228">
        <f>_xlfn.VAR.P(B105:AY105)</f>
        <v>863.12009790524837</v>
      </c>
    </row>
    <row r="112" spans="1:51" ht="13">
      <c r="A112" s="225" t="s">
        <v>159</v>
      </c>
      <c r="B112" s="227">
        <f>_xlfn.STDEV.S(B2:AY101)</f>
        <v>15.202013533573522</v>
      </c>
      <c r="C112" s="228">
        <f>_xlfn.STDEV.S(B106:AY106)</f>
        <v>0.97357143227732745</v>
      </c>
    </row>
  </sheetData>
  <phoneticPr fontId="23" type="noConversion"/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2A42D-AD5E-4BC0-B7B3-8FF49613F462}">
  <sheetPr>
    <tabColor rgb="FFFFFF00"/>
  </sheetPr>
  <dimension ref="B1:D19"/>
  <sheetViews>
    <sheetView workbookViewId="0"/>
  </sheetViews>
  <sheetFormatPr defaultRowHeight="12.5"/>
  <cols>
    <col min="2" max="4" width="14.54296875" customWidth="1"/>
  </cols>
  <sheetData>
    <row r="1" spans="2:4" ht="13">
      <c r="B1" s="312" t="s">
        <v>161</v>
      </c>
      <c r="C1" s="312"/>
      <c r="D1" s="312"/>
    </row>
    <row r="2" spans="2:4">
      <c r="B2">
        <v>100</v>
      </c>
    </row>
    <row r="3" spans="2:4">
      <c r="B3">
        <v>200</v>
      </c>
    </row>
    <row r="4" spans="2:4">
      <c r="B4">
        <v>300</v>
      </c>
    </row>
    <row r="8" spans="2:4">
      <c r="B8">
        <v>100</v>
      </c>
      <c r="C8">
        <v>200</v>
      </c>
      <c r="D8">
        <v>300</v>
      </c>
    </row>
    <row r="11" spans="2:4">
      <c r="B11">
        <v>600</v>
      </c>
    </row>
    <row r="12" spans="2:4">
      <c r="B12">
        <v>200</v>
      </c>
    </row>
    <row r="13" spans="2:4">
      <c r="B13">
        <v>300</v>
      </c>
    </row>
    <row r="15" spans="2:4" ht="13">
      <c r="B15" s="309" t="s">
        <v>162</v>
      </c>
      <c r="C15" s="309"/>
      <c r="D15" s="309"/>
    </row>
    <row r="17" spans="2:4">
      <c r="B17">
        <f t="array" ref="B17:D17">TRANSPOSE(B11:B13)</f>
        <v>600</v>
      </c>
      <c r="C17">
        <v>200</v>
      </c>
      <c r="D17">
        <v>300</v>
      </c>
    </row>
    <row r="19" spans="2:4">
      <c r="B19">
        <f t="array" ref="B19:D19">TRANSPOSE(B11:B13)</f>
        <v>600</v>
      </c>
      <c r="C19">
        <v>200</v>
      </c>
      <c r="D19">
        <v>300</v>
      </c>
    </row>
  </sheetData>
  <mergeCells count="2">
    <mergeCell ref="B1:D1"/>
    <mergeCell ref="B15:D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AD6F1-45E7-41CD-8670-DB7D4F6E66AA}">
  <sheetPr>
    <tabColor rgb="FFFF0000"/>
  </sheetPr>
  <dimension ref="A2:H103"/>
  <sheetViews>
    <sheetView workbookViewId="0">
      <selection activeCell="F13" sqref="F13"/>
    </sheetView>
  </sheetViews>
  <sheetFormatPr defaultRowHeight="12.5"/>
  <cols>
    <col min="1" max="1" width="22.453125" customWidth="1"/>
    <col min="2" max="2" width="9.453125" customWidth="1"/>
    <col min="5" max="8" width="12.453125" bestFit="1" customWidth="1"/>
  </cols>
  <sheetData>
    <row r="2" spans="1:8" ht="13">
      <c r="A2" s="144" t="s">
        <v>163</v>
      </c>
      <c r="D2" s="227" t="s">
        <v>106</v>
      </c>
      <c r="E2" s="227" t="s">
        <v>164</v>
      </c>
      <c r="F2" s="227" t="s">
        <v>165</v>
      </c>
      <c r="G2" s="227" t="s">
        <v>166</v>
      </c>
      <c r="H2" s="227" t="s">
        <v>167</v>
      </c>
    </row>
    <row r="3" spans="1:8" ht="13">
      <c r="A3" s="196" t="s">
        <v>168</v>
      </c>
      <c r="B3">
        <f>100*0.8</f>
        <v>80</v>
      </c>
      <c r="D3">
        <v>0</v>
      </c>
      <c r="E3" s="219">
        <f>_xlfn.BINOM.DIST(D3,100,0.8,FALSE)</f>
        <v>1.2676506002281995E-70</v>
      </c>
      <c r="F3" s="219">
        <f>_xlfn.BINOM.DIST(D3,100,0.8,TRUE)</f>
        <v>1.2676506002281995E-70</v>
      </c>
      <c r="G3" s="219">
        <f>_xlfn.NORM.DIST(D3,$B$3,SQRT($B$4),FALSE)</f>
        <v>1.3802370905399409E-88</v>
      </c>
      <c r="H3" s="219">
        <f>_xlfn.NORM.DIST(D3,$B$3,SQRT($B$4),TRUE)</f>
        <v>2.753624118606156E-89</v>
      </c>
    </row>
    <row r="4" spans="1:8" ht="13">
      <c r="A4" s="198" t="s">
        <v>169</v>
      </c>
      <c r="B4">
        <f>100*0.8*0.2</f>
        <v>16</v>
      </c>
      <c r="D4">
        <v>1</v>
      </c>
      <c r="E4" s="219">
        <f t="shared" ref="E4:E67" si="0">_xlfn.BINOM.DIST(D4,100,0.8,FALSE)</f>
        <v>5.0706024009127163E-68</v>
      </c>
      <c r="F4" s="219">
        <f t="shared" ref="F4:F67" si="1">_xlfn.BINOM.DIST(D4,100,0.8,TRUE)</f>
        <v>5.0832789069151727E-68</v>
      </c>
      <c r="G4" s="219">
        <f t="shared" ref="G4:G67" si="2">_xlfn.NORM.DIST(D4,$B$3,SQRT($B$4),FALSE)</f>
        <v>1.9854291816035647E-86</v>
      </c>
      <c r="H4" s="219">
        <f t="shared" ref="H4:H67" si="3">_xlfn.NORM.DIST(D4,$B$3,SQRT($B$4),TRUE)</f>
        <v>4.0108917631135899E-87</v>
      </c>
    </row>
    <row r="5" spans="1:8">
      <c r="A5" t="s">
        <v>170</v>
      </c>
      <c r="B5">
        <f>100 * 0.2</f>
        <v>20</v>
      </c>
      <c r="D5">
        <v>2</v>
      </c>
      <c r="E5" s="219">
        <f t="shared" si="0"/>
        <v>1.0039792753807395E-65</v>
      </c>
      <c r="F5" s="219">
        <f t="shared" si="1"/>
        <v>1.0090625542876545E-65</v>
      </c>
      <c r="G5" s="219">
        <f t="shared" si="2"/>
        <v>2.682944585170663E-84</v>
      </c>
      <c r="H5" s="219">
        <f t="shared" si="3"/>
        <v>5.4891154756602573E-85</v>
      </c>
    </row>
    <row r="6" spans="1:8" ht="13">
      <c r="A6" s="144" t="s">
        <v>171</v>
      </c>
      <c r="B6" s="144" t="s">
        <v>172</v>
      </c>
      <c r="D6">
        <v>3</v>
      </c>
      <c r="E6" s="219">
        <f t="shared" si="0"/>
        <v>1.3118662531641892E-63</v>
      </c>
      <c r="F6" s="219">
        <f t="shared" si="1"/>
        <v>1.3219568787070503E-63</v>
      </c>
      <c r="G6" s="219">
        <f t="shared" si="2"/>
        <v>3.4058506465870896E-82</v>
      </c>
      <c r="H6" s="219">
        <f t="shared" si="3"/>
        <v>7.0581465785830808E-83</v>
      </c>
    </row>
    <row r="7" spans="1:8">
      <c r="A7" t="s">
        <v>173</v>
      </c>
      <c r="D7">
        <v>4</v>
      </c>
      <c r="E7" s="219">
        <f t="shared" si="0"/>
        <v>1.2725102655692404E-61</v>
      </c>
      <c r="F7" s="219">
        <f t="shared" si="1"/>
        <v>1.2857298343563047E-61</v>
      </c>
      <c r="G7" s="219">
        <f t="shared" si="2"/>
        <v>4.0615900919340203E-80</v>
      </c>
      <c r="H7" s="219">
        <f t="shared" si="3"/>
        <v>8.5272239526309754E-81</v>
      </c>
    </row>
    <row r="8" spans="1:8">
      <c r="A8" t="s">
        <v>174</v>
      </c>
      <c r="B8" t="s">
        <v>175</v>
      </c>
      <c r="D8">
        <v>5</v>
      </c>
      <c r="E8" s="219">
        <f t="shared" si="0"/>
        <v>9.7728788395717222E-60</v>
      </c>
      <c r="F8" s="219">
        <f t="shared" si="1"/>
        <v>9.9014518230075159E-60</v>
      </c>
      <c r="G8" s="219">
        <f t="shared" si="2"/>
        <v>4.5501234261030773E-78</v>
      </c>
      <c r="H8" s="219">
        <f t="shared" si="3"/>
        <v>9.6795514791342025E-79</v>
      </c>
    </row>
    <row r="9" spans="1:8">
      <c r="A9" t="s">
        <v>176</v>
      </c>
      <c r="B9" t="s">
        <v>177</v>
      </c>
      <c r="D9">
        <v>6</v>
      </c>
      <c r="E9" s="219">
        <f t="shared" si="0"/>
        <v>6.1894899317288268E-58</v>
      </c>
      <c r="F9" s="219">
        <f t="shared" si="1"/>
        <v>6.2885044499588628E-58</v>
      </c>
      <c r="G9" s="219">
        <f t="shared" si="2"/>
        <v>4.7885812291798387E-76</v>
      </c>
      <c r="H9" s="219">
        <f t="shared" si="3"/>
        <v>1.0323698689563001E-76</v>
      </c>
    </row>
    <row r="10" spans="1:8">
      <c r="D10">
        <v>7</v>
      </c>
      <c r="E10" s="219">
        <f t="shared" si="0"/>
        <v>3.324640306185708E-56</v>
      </c>
      <c r="F10" s="219">
        <f t="shared" si="1"/>
        <v>3.3875253506853966E-56</v>
      </c>
      <c r="G10" s="219">
        <f t="shared" si="2"/>
        <v>4.7342058205351898E-74</v>
      </c>
      <c r="H10" s="219">
        <f t="shared" si="3"/>
        <v>1.0345463677569806E-74</v>
      </c>
    </row>
    <row r="11" spans="1:8" ht="13">
      <c r="A11" s="218" t="s">
        <v>178</v>
      </c>
      <c r="D11">
        <v>8</v>
      </c>
      <c r="E11" s="219">
        <f t="shared" si="0"/>
        <v>1.5459577423763904E-54</v>
      </c>
      <c r="F11" s="219">
        <f t="shared" si="1"/>
        <v>1.5798329958832366E-54</v>
      </c>
      <c r="G11" s="219">
        <f t="shared" si="2"/>
        <v>4.3968738564877599E-72</v>
      </c>
      <c r="H11" s="219">
        <f t="shared" si="3"/>
        <v>9.7409489189368705E-73</v>
      </c>
    </row>
    <row r="12" spans="1:8">
      <c r="A12" s="22" t="s">
        <v>179</v>
      </c>
      <c r="B12" s="22" t="s">
        <v>180</v>
      </c>
      <c r="D12">
        <v>9</v>
      </c>
      <c r="E12" s="219">
        <f t="shared" si="0"/>
        <v>6.3212494354945442E-53</v>
      </c>
      <c r="F12" s="219">
        <f t="shared" si="1"/>
        <v>6.4792327350827895E-53</v>
      </c>
      <c r="G12" s="219">
        <f t="shared" si="2"/>
        <v>3.8361667094212532E-70</v>
      </c>
      <c r="H12" s="219">
        <f t="shared" si="3"/>
        <v>8.6177013091948133E-71</v>
      </c>
    </row>
    <row r="13" spans="1:8">
      <c r="A13" s="22" t="s">
        <v>65</v>
      </c>
      <c r="B13">
        <f>100*0.8-3*SQRT(B4)</f>
        <v>68</v>
      </c>
      <c r="D13">
        <v>10</v>
      </c>
      <c r="E13" s="219">
        <f t="shared" si="0"/>
        <v>2.3009347945200567E-51</v>
      </c>
      <c r="F13" s="219">
        <f t="shared" si="1"/>
        <v>2.3657271218708559E-51</v>
      </c>
      <c r="G13" s="219">
        <f t="shared" si="2"/>
        <v>3.1441809571954839E-68</v>
      </c>
      <c r="H13" s="219">
        <f t="shared" si="3"/>
        <v>7.1634587662350353E-69</v>
      </c>
    </row>
    <row r="14" spans="1:8">
      <c r="A14" s="22" t="s">
        <v>66</v>
      </c>
      <c r="B14">
        <f>100*0.8+3*SQRT(B4)</f>
        <v>92</v>
      </c>
      <c r="D14">
        <v>11</v>
      </c>
      <c r="E14" s="219">
        <f t="shared" si="0"/>
        <v>7.5303320547928692E-50</v>
      </c>
      <c r="F14" s="219">
        <f t="shared" si="1"/>
        <v>7.7669047669798105E-50</v>
      </c>
      <c r="G14" s="219">
        <f t="shared" si="2"/>
        <v>2.4208851633791706E-66</v>
      </c>
      <c r="H14" s="219">
        <f t="shared" si="3"/>
        <v>5.5949683949047257E-67</v>
      </c>
    </row>
    <row r="15" spans="1:8">
      <c r="A15" s="22" t="s">
        <v>181</v>
      </c>
      <c r="D15">
        <v>12</v>
      </c>
      <c r="E15" s="219">
        <f t="shared" si="0"/>
        <v>2.2339985095885734E-48</v>
      </c>
      <c r="F15" s="219">
        <f t="shared" si="1"/>
        <v>2.3116675572583476E-48</v>
      </c>
      <c r="G15" s="219">
        <f t="shared" si="2"/>
        <v>1.7510455335796456E-64</v>
      </c>
      <c r="H15" s="219">
        <f t="shared" si="3"/>
        <v>4.1059962020987901E-65</v>
      </c>
    </row>
    <row r="16" spans="1:8">
      <c r="D16">
        <v>13</v>
      </c>
      <c r="E16" s="219">
        <f t="shared" si="0"/>
        <v>6.0489805798088843E-47</v>
      </c>
      <c r="F16" s="219">
        <f t="shared" si="1"/>
        <v>6.2801473355347512E-47</v>
      </c>
      <c r="G16" s="219">
        <f t="shared" si="2"/>
        <v>1.1898090966918427E-62</v>
      </c>
      <c r="H16" s="219">
        <f t="shared" si="3"/>
        <v>2.8313142815439691E-63</v>
      </c>
    </row>
    <row r="17" spans="4:8">
      <c r="D17">
        <v>14</v>
      </c>
      <c r="E17" s="219">
        <f t="shared" si="0"/>
        <v>1.5036037441239525E-45</v>
      </c>
      <c r="F17" s="219">
        <f t="shared" si="1"/>
        <v>1.5664052174792607E-45</v>
      </c>
      <c r="G17" s="219">
        <f t="shared" si="2"/>
        <v>7.5947542469748079E-61</v>
      </c>
      <c r="H17" s="219">
        <f t="shared" si="3"/>
        <v>1.8344630031647307E-61</v>
      </c>
    </row>
    <row r="18" spans="4:8">
      <c r="D18">
        <v>15</v>
      </c>
      <c r="E18" s="219">
        <f t="shared" si="0"/>
        <v>3.4482645865242069E-44</v>
      </c>
      <c r="F18" s="219">
        <f t="shared" si="1"/>
        <v>3.6049051082721662E-44</v>
      </c>
      <c r="G18" s="219">
        <f t="shared" si="2"/>
        <v>4.5541440210817873E-59</v>
      </c>
      <c r="H18" s="219">
        <f t="shared" si="3"/>
        <v>1.1168221242476203E-59</v>
      </c>
    </row>
    <row r="19" spans="4:8">
      <c r="D19">
        <v>16</v>
      </c>
      <c r="E19" s="219">
        <f t="shared" si="0"/>
        <v>7.3275622463638934E-43</v>
      </c>
      <c r="F19" s="219">
        <f t="shared" si="1"/>
        <v>7.6880527571911335E-43</v>
      </c>
      <c r="G19" s="219">
        <f t="shared" si="2"/>
        <v>2.565407681979759E-57</v>
      </c>
      <c r="H19" s="219">
        <f t="shared" si="3"/>
        <v>6.3887544005379043E-58</v>
      </c>
    </row>
    <row r="20" spans="4:8">
      <c r="D20">
        <v>17</v>
      </c>
      <c r="E20" s="219">
        <f t="shared" si="0"/>
        <v>1.4482711263401825E-41</v>
      </c>
      <c r="F20" s="219">
        <f t="shared" si="1"/>
        <v>1.5251516539120999E-41</v>
      </c>
      <c r="G20" s="219">
        <f t="shared" si="2"/>
        <v>1.3575711993782086E-55</v>
      </c>
      <c r="H20" s="219">
        <f t="shared" si="3"/>
        <v>3.434065749272041E-56</v>
      </c>
    </row>
    <row r="21" spans="4:8">
      <c r="D21">
        <v>18</v>
      </c>
      <c r="E21" s="219">
        <f t="shared" si="0"/>
        <v>2.6712556330274129E-40</v>
      </c>
      <c r="F21" s="219">
        <f t="shared" si="1"/>
        <v>2.8237707984186353E-40</v>
      </c>
      <c r="G21" s="219">
        <f t="shared" si="2"/>
        <v>6.7487825614714692E-54</v>
      </c>
      <c r="H21" s="219">
        <f t="shared" si="3"/>
        <v>1.7344607917938206E-54</v>
      </c>
    </row>
    <row r="22" spans="4:8">
      <c r="D22">
        <v>19</v>
      </c>
      <c r="E22" s="219">
        <f t="shared" si="0"/>
        <v>4.6114307770157161E-39</v>
      </c>
      <c r="F22" s="219">
        <f t="shared" si="1"/>
        <v>4.8938078568577174E-39</v>
      </c>
      <c r="G22" s="219">
        <f t="shared" si="2"/>
        <v>3.151699847346896E-52</v>
      </c>
      <c r="H22" s="219">
        <f t="shared" si="3"/>
        <v>8.2316562905314124E-53</v>
      </c>
    </row>
    <row r="23" spans="4:8">
      <c r="D23">
        <v>20</v>
      </c>
      <c r="E23" s="219">
        <f t="shared" si="0"/>
        <v>7.4705178587655428E-38</v>
      </c>
      <c r="F23" s="219">
        <f t="shared" si="1"/>
        <v>7.9598986444513495E-38</v>
      </c>
      <c r="G23" s="219">
        <f t="shared" si="2"/>
        <v>1.3826773874611041E-50</v>
      </c>
      <c r="H23" s="219">
        <f t="shared" si="3"/>
        <v>3.6709661993126968E-51</v>
      </c>
    </row>
    <row r="24" spans="4:8">
      <c r="D24">
        <v>21</v>
      </c>
      <c r="E24" s="219">
        <f t="shared" si="0"/>
        <v>1.1383646260975993E-36</v>
      </c>
      <c r="F24" s="219">
        <f t="shared" si="1"/>
        <v>1.2179636125421308E-36</v>
      </c>
      <c r="G24" s="219">
        <f t="shared" si="2"/>
        <v>5.6984070016378879E-49</v>
      </c>
      <c r="H24" s="219">
        <f t="shared" si="3"/>
        <v>1.5383235465068222E-49</v>
      </c>
    </row>
    <row r="25" spans="4:8">
      <c r="D25">
        <v>22</v>
      </c>
      <c r="E25" s="219">
        <f t="shared" si="0"/>
        <v>1.6351055538493085E-35</v>
      </c>
      <c r="F25" s="219">
        <f t="shared" si="1"/>
        <v>1.7569019151034969E-35</v>
      </c>
      <c r="G25" s="219">
        <f t="shared" si="2"/>
        <v>2.2061887436487062E-47</v>
      </c>
      <c r="H25" s="219">
        <f t="shared" si="3"/>
        <v>6.0574947644150487E-48</v>
      </c>
    </row>
    <row r="26" spans="4:8">
      <c r="D26">
        <v>23</v>
      </c>
      <c r="E26" s="219">
        <f t="shared" si="0"/>
        <v>2.2180562295694644E-34</v>
      </c>
      <c r="F26" s="219">
        <f t="shared" si="1"/>
        <v>2.3937464210798207E-34</v>
      </c>
      <c r="G26" s="219">
        <f t="shared" si="2"/>
        <v>8.0239545260498925E-46</v>
      </c>
      <c r="H26" s="219">
        <f t="shared" si="3"/>
        <v>2.2414062326935756E-46</v>
      </c>
    </row>
    <row r="27" spans="4:8">
      <c r="D27">
        <v>24</v>
      </c>
      <c r="E27" s="219">
        <f t="shared" si="0"/>
        <v>2.8465054946141651E-33</v>
      </c>
      <c r="F27" s="219">
        <f t="shared" si="1"/>
        <v>3.085880136722146E-33</v>
      </c>
      <c r="G27" s="219">
        <f t="shared" si="2"/>
        <v>2.7415163984724282E-44</v>
      </c>
      <c r="H27" s="219">
        <f t="shared" si="3"/>
        <v>7.7935368191928013E-45</v>
      </c>
    </row>
    <row r="28" spans="4:8">
      <c r="D28">
        <v>25</v>
      </c>
      <c r="E28" s="219">
        <f t="shared" si="0"/>
        <v>3.4613506814508011E-32</v>
      </c>
      <c r="F28" s="219">
        <f t="shared" si="1"/>
        <v>3.7699386951230442E-32</v>
      </c>
      <c r="G28" s="219">
        <f t="shared" si="2"/>
        <v>8.7993345949884189E-43</v>
      </c>
      <c r="H28" s="219">
        <f t="shared" si="3"/>
        <v>2.5464763159739575E-43</v>
      </c>
    </row>
    <row r="29" spans="4:8">
      <c r="D29">
        <v>26</v>
      </c>
      <c r="E29" s="219">
        <f t="shared" si="0"/>
        <v>3.9938661709047964E-31</v>
      </c>
      <c r="F29" s="219">
        <f t="shared" si="1"/>
        <v>4.370860040417124E-31</v>
      </c>
      <c r="G29" s="219">
        <f t="shared" si="2"/>
        <v>2.6531720347880401E-41</v>
      </c>
      <c r="H29" s="219">
        <f t="shared" si="3"/>
        <v>7.8188073056577831E-42</v>
      </c>
    </row>
    <row r="30" spans="4:8">
      <c r="D30">
        <v>27</v>
      </c>
      <c r="E30" s="219">
        <f t="shared" si="0"/>
        <v>4.3784606910659768E-30</v>
      </c>
      <c r="F30" s="219">
        <f t="shared" si="1"/>
        <v>4.8155466951077453E-30</v>
      </c>
      <c r="G30" s="219">
        <f t="shared" si="2"/>
        <v>7.5151488152493637E-40</v>
      </c>
      <c r="H30" s="219">
        <f t="shared" si="3"/>
        <v>2.2560163396857573E-40</v>
      </c>
    </row>
    <row r="31" spans="4:8">
      <c r="D31">
        <v>28</v>
      </c>
      <c r="E31" s="219">
        <f t="shared" si="0"/>
        <v>4.5661090063974346E-29</v>
      </c>
      <c r="F31" s="219">
        <f t="shared" si="1"/>
        <v>5.0476636759081545E-29</v>
      </c>
      <c r="G31" s="219">
        <f t="shared" si="2"/>
        <v>1.9997069392517032E-38</v>
      </c>
      <c r="H31" s="219">
        <f t="shared" si="3"/>
        <v>6.1171643995497067E-39</v>
      </c>
    </row>
    <row r="32" spans="4:8">
      <c r="D32">
        <v>29</v>
      </c>
      <c r="E32" s="219">
        <f t="shared" si="0"/>
        <v>4.5346185994566999E-28</v>
      </c>
      <c r="F32" s="219">
        <f t="shared" si="1"/>
        <v>5.039384967047544E-28</v>
      </c>
      <c r="G32" s="219">
        <f t="shared" si="2"/>
        <v>4.9986383555463633E-37</v>
      </c>
      <c r="H32" s="219">
        <f t="shared" si="3"/>
        <v>1.5587262888812E-37</v>
      </c>
    </row>
    <row r="33" spans="4:8">
      <c r="D33">
        <v>30</v>
      </c>
      <c r="E33" s="219">
        <f t="shared" si="0"/>
        <v>4.2927722741523951E-27</v>
      </c>
      <c r="F33" s="219">
        <f t="shared" si="1"/>
        <v>4.796710770857136E-27</v>
      </c>
      <c r="G33" s="219">
        <f t="shared" si="2"/>
        <v>1.1737988394937866E-35</v>
      </c>
      <c r="H33" s="219">
        <f t="shared" si="3"/>
        <v>3.7325642988777144E-36</v>
      </c>
    </row>
    <row r="34" spans="4:8">
      <c r="D34">
        <v>31</v>
      </c>
      <c r="E34" s="219">
        <f t="shared" si="0"/>
        <v>3.8773426992343521E-26</v>
      </c>
      <c r="F34" s="219">
        <f t="shared" si="1"/>
        <v>4.3570137763201312E-26</v>
      </c>
      <c r="G34" s="219">
        <f t="shared" si="2"/>
        <v>2.5893587740520877E-34</v>
      </c>
      <c r="H34" s="219">
        <f t="shared" si="3"/>
        <v>8.3997960636332954E-35</v>
      </c>
    </row>
    <row r="35" spans="4:8">
      <c r="D35">
        <v>32</v>
      </c>
      <c r="E35" s="219">
        <f t="shared" si="0"/>
        <v>3.344208078089663E-25</v>
      </c>
      <c r="F35" s="219">
        <f t="shared" si="1"/>
        <v>3.7799094557217099E-25</v>
      </c>
      <c r="G35" s="219">
        <f t="shared" si="2"/>
        <v>5.3659593391576512E-33</v>
      </c>
      <c r="H35" s="219">
        <f t="shared" si="3"/>
        <v>1.7764821120776537E-33</v>
      </c>
    </row>
    <row r="36" spans="4:8">
      <c r="D36">
        <v>33</v>
      </c>
      <c r="E36" s="219">
        <f t="shared" si="0"/>
        <v>2.7564381734557039E-24</v>
      </c>
      <c r="F36" s="219">
        <f t="shared" si="1"/>
        <v>3.1344291190278849E-24</v>
      </c>
      <c r="G36" s="219">
        <f t="shared" si="2"/>
        <v>1.0446218861356616E-31</v>
      </c>
      <c r="H36" s="219">
        <f t="shared" si="3"/>
        <v>3.5309423958858917E-32</v>
      </c>
    </row>
    <row r="37" spans="4:8">
      <c r="D37">
        <v>34</v>
      </c>
      <c r="E37" s="219">
        <f t="shared" si="0"/>
        <v>2.172721854370959E-23</v>
      </c>
      <c r="F37" s="219">
        <f t="shared" si="1"/>
        <v>2.4861647662737711E-23</v>
      </c>
      <c r="G37" s="219">
        <f t="shared" si="2"/>
        <v>1.9104138528968008E-30</v>
      </c>
      <c r="H37" s="219">
        <f t="shared" si="3"/>
        <v>6.595771446113675E-31</v>
      </c>
    </row>
    <row r="38" spans="4:8">
      <c r="D38">
        <v>35</v>
      </c>
      <c r="E38" s="219">
        <f t="shared" si="0"/>
        <v>1.6388530558683996E-22</v>
      </c>
      <c r="F38" s="219">
        <f t="shared" si="1"/>
        <v>1.8874695324957795E-22</v>
      </c>
      <c r="G38" s="219">
        <f t="shared" si="2"/>
        <v>3.2821044015385071E-29</v>
      </c>
      <c r="H38" s="219">
        <f t="shared" si="3"/>
        <v>1.1579603185686336E-29</v>
      </c>
    </row>
    <row r="39" spans="4:8">
      <c r="D39">
        <v>36</v>
      </c>
      <c r="E39" s="219">
        <f t="shared" si="0"/>
        <v>1.1836160959049489E-21</v>
      </c>
      <c r="F39" s="219">
        <f t="shared" si="1"/>
        <v>1.3723630491545399E-21</v>
      </c>
      <c r="G39" s="219">
        <f t="shared" si="2"/>
        <v>5.2970481337733844E-28</v>
      </c>
      <c r="H39" s="219">
        <f t="shared" si="3"/>
        <v>1.9106595744986622E-28</v>
      </c>
    </row>
    <row r="40" spans="4:8">
      <c r="D40">
        <v>37</v>
      </c>
      <c r="E40" s="219">
        <f t="shared" si="0"/>
        <v>8.18934379869379E-21</v>
      </c>
      <c r="F40" s="219">
        <f t="shared" si="1"/>
        <v>9.5617068478483622E-21</v>
      </c>
      <c r="G40" s="219">
        <f t="shared" si="2"/>
        <v>8.0310446790535997E-27</v>
      </c>
      <c r="H40" s="219">
        <f t="shared" si="3"/>
        <v>2.9630808780943598E-27</v>
      </c>
    </row>
    <row r="41" spans="4:8">
      <c r="D41">
        <v>38</v>
      </c>
      <c r="E41" s="219">
        <f t="shared" si="0"/>
        <v>5.4308279928179232E-20</v>
      </c>
      <c r="F41" s="219">
        <f t="shared" si="1"/>
        <v>6.3869986776027643E-20</v>
      </c>
      <c r="G41" s="219">
        <f t="shared" si="2"/>
        <v>1.1438438976302014E-25</v>
      </c>
      <c r="H41" s="219">
        <f t="shared" si="3"/>
        <v>4.3190063178092006E-26</v>
      </c>
    </row>
    <row r="42" spans="4:8">
      <c r="D42">
        <v>39</v>
      </c>
      <c r="E42" s="219">
        <f t="shared" si="0"/>
        <v>3.4534495954329355E-19</v>
      </c>
      <c r="F42" s="219">
        <f t="shared" si="1"/>
        <v>4.0921494631932089E-19</v>
      </c>
      <c r="G42" s="219">
        <f t="shared" si="2"/>
        <v>1.5304462163117805E-24</v>
      </c>
      <c r="H42" s="219">
        <f t="shared" si="3"/>
        <v>5.9171769073655357E-25</v>
      </c>
    </row>
    <row r="43" spans="4:8">
      <c r="D43">
        <v>40</v>
      </c>
      <c r="E43" s="219">
        <f t="shared" si="0"/>
        <v>2.1066042532141223E-18</v>
      </c>
      <c r="F43" s="219">
        <f t="shared" si="1"/>
        <v>2.5158191995334163E-18</v>
      </c>
      <c r="G43" s="219">
        <f t="shared" si="2"/>
        <v>1.923649656676605E-23</v>
      </c>
      <c r="H43" s="219">
        <f t="shared" si="3"/>
        <v>7.6198530241604755E-24</v>
      </c>
    </row>
    <row r="44" spans="4:8">
      <c r="D44">
        <v>41</v>
      </c>
      <c r="E44" s="219">
        <f t="shared" si="0"/>
        <v>1.2331341970033807E-17</v>
      </c>
      <c r="F44" s="219">
        <f t="shared" si="1"/>
        <v>1.4847161169567455E-17</v>
      </c>
      <c r="G44" s="219">
        <f t="shared" si="2"/>
        <v>2.2713835779941663E-22</v>
      </c>
      <c r="H44" s="219">
        <f t="shared" si="3"/>
        <v>9.2234135249393585E-23</v>
      </c>
    </row>
    <row r="45" spans="4:8">
      <c r="D45">
        <v>42</v>
      </c>
      <c r="E45" s="219">
        <f t="shared" si="0"/>
        <v>6.9290397736380423E-17</v>
      </c>
      <c r="F45" s="219">
        <f t="shared" si="1"/>
        <v>8.4137558905947699E-17</v>
      </c>
      <c r="G45" s="219">
        <f t="shared" si="2"/>
        <v>2.5194838485750025E-21</v>
      </c>
      <c r="H45" s="219">
        <f t="shared" si="3"/>
        <v>1.0494515075362608E-21</v>
      </c>
    </row>
    <row r="46" spans="4:8">
      <c r="D46">
        <v>43</v>
      </c>
      <c r="E46" s="219">
        <f t="shared" si="0"/>
        <v>3.7384586685674779E-16</v>
      </c>
      <c r="F46" s="219">
        <f t="shared" si="1"/>
        <v>4.5798342576269604E-16</v>
      </c>
      <c r="G46" s="219">
        <f t="shared" si="2"/>
        <v>2.6253624574925924E-20</v>
      </c>
      <c r="H46" s="219">
        <f t="shared" si="3"/>
        <v>1.1224633591327901E-20</v>
      </c>
    </row>
    <row r="47" spans="4:8">
      <c r="D47">
        <v>44</v>
      </c>
      <c r="E47" s="219">
        <f t="shared" si="0"/>
        <v>1.9372013100758558E-15</v>
      </c>
      <c r="F47" s="219">
        <f t="shared" si="1"/>
        <v>2.3951847358385859E-15</v>
      </c>
      <c r="G47" s="219">
        <f t="shared" si="2"/>
        <v>2.5699433929172291E-19</v>
      </c>
      <c r="H47" s="219">
        <f t="shared" si="3"/>
        <v>1.1285884059538324E-19</v>
      </c>
    </row>
    <row r="48" spans="4:8">
      <c r="D48">
        <v>45</v>
      </c>
      <c r="E48" s="219">
        <f t="shared" si="0"/>
        <v>9.6429576323777069E-15</v>
      </c>
      <c r="F48" s="219">
        <f t="shared" si="1"/>
        <v>1.2038142368216359E-14</v>
      </c>
      <c r="G48" s="219">
        <f t="shared" si="2"/>
        <v>2.3632759704757133E-18</v>
      </c>
      <c r="H48" s="219">
        <f t="shared" si="3"/>
        <v>1.0667637375474852E-18</v>
      </c>
    </row>
    <row r="49" spans="4:8">
      <c r="D49">
        <v>46</v>
      </c>
      <c r="E49" s="219">
        <f t="shared" si="0"/>
        <v>4.6118493024415116E-14</v>
      </c>
      <c r="F49" s="219">
        <f t="shared" si="1"/>
        <v>5.8156635392631681E-14</v>
      </c>
      <c r="G49" s="219">
        <f t="shared" si="2"/>
        <v>2.0415589079173875E-17</v>
      </c>
      <c r="H49" s="219">
        <f t="shared" si="3"/>
        <v>9.4795348222032468E-18</v>
      </c>
    </row>
    <row r="50" spans="4:8">
      <c r="D50">
        <v>47</v>
      </c>
      <c r="E50" s="219">
        <f t="shared" si="0"/>
        <v>2.1194881900582322E-13</v>
      </c>
      <c r="F50" s="219">
        <f t="shared" si="1"/>
        <v>2.7010545439845344E-13</v>
      </c>
      <c r="G50" s="219">
        <f t="shared" si="2"/>
        <v>1.6567843639921881E-16</v>
      </c>
      <c r="H50" s="219">
        <f t="shared" si="3"/>
        <v>7.9197263146424757E-17</v>
      </c>
    </row>
    <row r="51" spans="4:8">
      <c r="D51">
        <v>48</v>
      </c>
      <c r="E51" s="219">
        <f t="shared" si="0"/>
        <v>9.3610728394238765E-13</v>
      </c>
      <c r="F51" s="219">
        <f t="shared" si="1"/>
        <v>1.2062127383408401E-12</v>
      </c>
      <c r="G51" s="219">
        <f t="shared" si="2"/>
        <v>1.2630677708842232E-15</v>
      </c>
      <c r="H51" s="219">
        <f t="shared" si="3"/>
        <v>6.2209605742717375E-16</v>
      </c>
    </row>
    <row r="52" spans="4:8">
      <c r="D52">
        <v>49</v>
      </c>
      <c r="E52" s="219">
        <f t="shared" si="0"/>
        <v>3.9736798991840041E-12</v>
      </c>
      <c r="F52" s="219">
        <f t="shared" si="1"/>
        <v>5.1798926375248962E-12</v>
      </c>
      <c r="G52" s="219">
        <f t="shared" si="2"/>
        <v>9.0457361277812933E-15</v>
      </c>
      <c r="H52" s="219">
        <f t="shared" si="3"/>
        <v>4.5946274357785631E-15</v>
      </c>
    </row>
    <row r="53" spans="4:8">
      <c r="D53">
        <v>50</v>
      </c>
      <c r="E53" s="219">
        <f t="shared" si="0"/>
        <v>1.6212613988670768E-11</v>
      </c>
      <c r="F53" s="219">
        <f t="shared" si="1"/>
        <v>2.1392506626195649E-11</v>
      </c>
      <c r="G53" s="219">
        <f t="shared" si="2"/>
        <v>6.085801332572524E-14</v>
      </c>
      <c r="H53" s="219">
        <f t="shared" si="3"/>
        <v>3.190891672910885E-14</v>
      </c>
    </row>
    <row r="54" spans="4:8">
      <c r="D54">
        <v>51</v>
      </c>
      <c r="E54" s="219">
        <f t="shared" si="0"/>
        <v>6.3578878386944531E-11</v>
      </c>
      <c r="F54" s="219">
        <f t="shared" si="1"/>
        <v>8.4971385013139101E-11</v>
      </c>
      <c r="G54" s="219">
        <f t="shared" si="2"/>
        <v>3.8463448764031875E-13</v>
      </c>
      <c r="H54" s="219">
        <f t="shared" si="3"/>
        <v>2.0838581586720541E-13</v>
      </c>
    </row>
    <row r="55" spans="4:8">
      <c r="D55">
        <v>52</v>
      </c>
      <c r="E55" s="219">
        <f t="shared" si="0"/>
        <v>2.396434646892531E-10</v>
      </c>
      <c r="F55" s="219">
        <f t="shared" si="1"/>
        <v>3.2461484970239156E-10</v>
      </c>
      <c r="G55" s="219">
        <f t="shared" si="2"/>
        <v>2.2836801020911484E-12</v>
      </c>
      <c r="H55" s="219">
        <f t="shared" si="3"/>
        <v>1.2798125438858352E-12</v>
      </c>
    </row>
    <row r="56" spans="4:8">
      <c r="D56">
        <v>53</v>
      </c>
      <c r="E56" s="219">
        <f t="shared" si="0"/>
        <v>8.6814236264785594E-10</v>
      </c>
      <c r="F56" s="219">
        <f t="shared" si="1"/>
        <v>1.1927572123502469E-9</v>
      </c>
      <c r="G56" s="219">
        <f t="shared" si="2"/>
        <v>1.273734489710921E-11</v>
      </c>
      <c r="H56" s="219">
        <f t="shared" si="3"/>
        <v>7.3922577780177942E-12</v>
      </c>
    </row>
    <row r="57" spans="4:8">
      <c r="D57">
        <v>54</v>
      </c>
      <c r="E57" s="219">
        <f t="shared" si="0"/>
        <v>3.0224215588480947E-9</v>
      </c>
      <c r="F57" s="219">
        <f t="shared" si="1"/>
        <v>4.2151787711983577E-9</v>
      </c>
      <c r="G57" s="219">
        <f t="shared" si="2"/>
        <v>6.6738915369071298E-11</v>
      </c>
      <c r="H57" s="219">
        <f t="shared" si="3"/>
        <v>4.0160005838590881E-11</v>
      </c>
    </row>
    <row r="58" spans="4:8">
      <c r="D58">
        <v>55</v>
      </c>
      <c r="E58" s="219">
        <f t="shared" si="0"/>
        <v>1.0111373942328141E-8</v>
      </c>
      <c r="F58" s="219">
        <f t="shared" si="1"/>
        <v>1.4326552713526489E-8</v>
      </c>
      <c r="G58" s="219">
        <f t="shared" si="2"/>
        <v>3.28500454538971E-10</v>
      </c>
      <c r="H58" s="219">
        <f t="shared" si="3"/>
        <v>2.0522634252189383E-10</v>
      </c>
    </row>
    <row r="59" spans="4:8">
      <c r="D59">
        <v>56</v>
      </c>
      <c r="E59" s="219">
        <f t="shared" si="0"/>
        <v>3.2500844814626371E-8</v>
      </c>
      <c r="F59" s="219">
        <f t="shared" si="1"/>
        <v>4.6827397528152694E-8</v>
      </c>
      <c r="G59" s="219">
        <f t="shared" si="2"/>
        <v>1.5189707124558215E-9</v>
      </c>
      <c r="H59" s="219">
        <f t="shared" si="3"/>
        <v>9.8658764503769437E-10</v>
      </c>
    </row>
    <row r="60" spans="4:8">
      <c r="D60">
        <v>57</v>
      </c>
      <c r="E60" s="219">
        <f t="shared" si="0"/>
        <v>1.0035348574340715E-7</v>
      </c>
      <c r="F60" s="219">
        <f t="shared" si="1"/>
        <v>1.4718088327156003E-7</v>
      </c>
      <c r="G60" s="219">
        <f t="shared" si="2"/>
        <v>6.5981080089264338E-9</v>
      </c>
      <c r="H60" s="219">
        <f t="shared" si="3"/>
        <v>4.4621724539016125E-9</v>
      </c>
    </row>
    <row r="61" spans="4:8">
      <c r="D61">
        <v>58</v>
      </c>
      <c r="E61" s="219">
        <f t="shared" si="0"/>
        <v>2.9759999220458724E-7</v>
      </c>
      <c r="F61" s="219">
        <f t="shared" si="1"/>
        <v>4.4478087547614897E-7</v>
      </c>
      <c r="G61" s="219">
        <f t="shared" si="2"/>
        <v>2.692440010635819E-8</v>
      </c>
      <c r="H61" s="219">
        <f t="shared" si="3"/>
        <v>1.8989562465887691E-8</v>
      </c>
    </row>
    <row r="62" spans="4:8">
      <c r="D62">
        <v>59</v>
      </c>
      <c r="E62" s="219">
        <f t="shared" si="0"/>
        <v>8.4740336763340114E-7</v>
      </c>
      <c r="F62" s="219">
        <f t="shared" si="1"/>
        <v>1.2921842431095497E-6</v>
      </c>
      <c r="G62" s="219">
        <f t="shared" si="2"/>
        <v>1.0321177471574996E-7</v>
      </c>
      <c r="H62" s="219">
        <f t="shared" si="3"/>
        <v>7.6049605164887013E-8</v>
      </c>
    </row>
    <row r="63" spans="4:8">
      <c r="D63">
        <v>60</v>
      </c>
      <c r="E63" s="219">
        <f t="shared" si="0"/>
        <v>2.3162358715312965E-6</v>
      </c>
      <c r="F63" s="219">
        <f t="shared" si="1"/>
        <v>3.6084201146408401E-6</v>
      </c>
      <c r="G63" s="219">
        <f t="shared" si="2"/>
        <v>3.7167987868357442E-7</v>
      </c>
      <c r="H63" s="219">
        <f t="shared" si="3"/>
        <v>2.8665157187919333E-7</v>
      </c>
    </row>
    <row r="64" spans="4:8">
      <c r="D64">
        <v>61</v>
      </c>
      <c r="E64" s="219">
        <f t="shared" si="0"/>
        <v>6.0753727777869818E-6</v>
      </c>
      <c r="F64" s="219">
        <f t="shared" si="1"/>
        <v>9.6837928924278588E-6</v>
      </c>
      <c r="G64" s="219">
        <f t="shared" si="2"/>
        <v>1.2573768221481113E-6</v>
      </c>
      <c r="H64" s="219">
        <f t="shared" si="3"/>
        <v>1.0170832425687034E-6</v>
      </c>
    </row>
    <row r="65" spans="4:8">
      <c r="D65">
        <v>62</v>
      </c>
      <c r="E65" s="219">
        <f t="shared" si="0"/>
        <v>1.5286421827980233E-5</v>
      </c>
      <c r="F65" s="219">
        <f t="shared" si="1"/>
        <v>2.4970214720408012E-5</v>
      </c>
      <c r="G65" s="219">
        <f t="shared" si="2"/>
        <v>3.9959352767263687E-6</v>
      </c>
      <c r="H65" s="219">
        <f t="shared" si="3"/>
        <v>3.3976731247300535E-6</v>
      </c>
    </row>
    <row r="66" spans="4:8">
      <c r="D66">
        <v>63</v>
      </c>
      <c r="E66" s="219">
        <f t="shared" si="0"/>
        <v>3.6881525680206275E-5</v>
      </c>
      <c r="F66" s="219">
        <f t="shared" si="1"/>
        <v>6.1851740400614409E-5</v>
      </c>
      <c r="G66" s="219">
        <f t="shared" si="2"/>
        <v>1.1929659135301238E-5</v>
      </c>
      <c r="H66" s="219">
        <f t="shared" si="3"/>
        <v>1.06885257749344E-5</v>
      </c>
    </row>
    <row r="67" spans="4:8">
      <c r="D67">
        <v>64</v>
      </c>
      <c r="E67" s="219">
        <f t="shared" si="0"/>
        <v>8.5288528135476935E-5</v>
      </c>
      <c r="F67" s="219">
        <f t="shared" si="1"/>
        <v>1.4714026853609107E-4</v>
      </c>
      <c r="G67" s="219">
        <f t="shared" si="2"/>
        <v>3.3457556441221342E-5</v>
      </c>
      <c r="H67" s="219">
        <f t="shared" si="3"/>
        <v>3.1671241833119857E-5</v>
      </c>
    </row>
    <row r="68" spans="4:8">
      <c r="D68">
        <v>65</v>
      </c>
      <c r="E68" s="219">
        <f t="shared" ref="E68:E103" si="4">_xlfn.BINOM.DIST(D68,100,0.8,FALSE)</f>
        <v>1.8894689310013394E-4</v>
      </c>
      <c r="F68" s="219">
        <f t="shared" ref="F68:F103" si="5">_xlfn.BINOM.DIST(D68,100,0.8,TRUE)</f>
        <v>3.3608716163622529E-4</v>
      </c>
      <c r="G68" s="219">
        <f t="shared" ref="G68:G103" si="6">_xlfn.NORM.DIST(D68,$B$3,SQRT($B$4),FALSE)</f>
        <v>8.8148920591861352E-5</v>
      </c>
      <c r="H68" s="219">
        <f t="shared" ref="H68:H103" si="7">_xlfn.NORM.DIST(D68,$B$3,SQRT($B$4),TRUE)</f>
        <v>8.841728520080376E-5</v>
      </c>
    </row>
    <row r="69" spans="4:8">
      <c r="D69">
        <v>66</v>
      </c>
      <c r="E69" s="219">
        <f t="shared" si="4"/>
        <v>4.0079643990937447E-4</v>
      </c>
      <c r="F69" s="219">
        <f t="shared" si="5"/>
        <v>7.3688360154559862E-4</v>
      </c>
      <c r="G69" s="219">
        <f t="shared" si="6"/>
        <v>2.1817067376144004E-4</v>
      </c>
      <c r="H69" s="219">
        <f t="shared" si="7"/>
        <v>2.3262907903552504E-4</v>
      </c>
    </row>
    <row r="70" spans="4:8">
      <c r="D70">
        <v>67</v>
      </c>
      <c r="E70" s="219">
        <f t="shared" si="4"/>
        <v>8.1355695265186419E-4</v>
      </c>
      <c r="F70" s="219">
        <f t="shared" si="5"/>
        <v>1.5504405541974632E-3</v>
      </c>
      <c r="G70" s="219">
        <f t="shared" si="6"/>
        <v>5.0726201432494203E-4</v>
      </c>
      <c r="H70" s="219">
        <f t="shared" si="7"/>
        <v>5.7702504239076603E-4</v>
      </c>
    </row>
    <row r="71" spans="4:8">
      <c r="D71">
        <v>68</v>
      </c>
      <c r="E71" s="219">
        <f t="shared" si="4"/>
        <v>1.5792576139712659E-3</v>
      </c>
      <c r="F71" s="219">
        <f t="shared" si="5"/>
        <v>3.1296981681687196E-3</v>
      </c>
      <c r="G71" s="219">
        <f t="shared" si="6"/>
        <v>1.1079621029845019E-3</v>
      </c>
      <c r="H71" s="219">
        <f t="shared" si="7"/>
        <v>1.3498980316300933E-3</v>
      </c>
    </row>
    <row r="72" spans="4:8">
      <c r="D72">
        <v>69</v>
      </c>
      <c r="E72" s="219">
        <f t="shared" si="4"/>
        <v>2.9296373128742371E-3</v>
      </c>
      <c r="F72" s="219">
        <f t="shared" si="5"/>
        <v>6.0593354810429744E-3</v>
      </c>
      <c r="G72" s="219">
        <f t="shared" si="6"/>
        <v>2.2733906253977632E-3</v>
      </c>
      <c r="H72" s="219">
        <f t="shared" si="7"/>
        <v>2.9797632350545551E-3</v>
      </c>
    </row>
    <row r="73" spans="4:8">
      <c r="D73">
        <v>70</v>
      </c>
      <c r="E73" s="219">
        <f t="shared" si="4"/>
        <v>5.1896432399486485E-3</v>
      </c>
      <c r="F73" s="219">
        <f t="shared" si="5"/>
        <v>1.1248978720991608E-2</v>
      </c>
      <c r="G73" s="219">
        <f t="shared" si="6"/>
        <v>4.3820751233921351E-3</v>
      </c>
      <c r="H73" s="219">
        <f t="shared" si="7"/>
        <v>6.2096653257761331E-3</v>
      </c>
    </row>
    <row r="74" spans="4:8">
      <c r="D74">
        <v>71</v>
      </c>
      <c r="E74" s="219">
        <f t="shared" si="4"/>
        <v>8.7712280111808157E-3</v>
      </c>
      <c r="F74" s="219">
        <f t="shared" si="5"/>
        <v>2.0020206732172412E-2</v>
      </c>
      <c r="G74" s="219">
        <f t="shared" si="6"/>
        <v>7.9349129589168545E-3</v>
      </c>
      <c r="H74" s="219">
        <f t="shared" si="7"/>
        <v>1.2224472655044696E-2</v>
      </c>
    </row>
    <row r="75" spans="4:8">
      <c r="D75">
        <v>72</v>
      </c>
      <c r="E75" s="219">
        <f t="shared" si="4"/>
        <v>1.4131422906902429E-2</v>
      </c>
      <c r="F75" s="219">
        <f t="shared" si="5"/>
        <v>3.4151629639074844E-2</v>
      </c>
      <c r="G75" s="219">
        <f t="shared" si="6"/>
        <v>1.3497741628297016E-2</v>
      </c>
      <c r="H75" s="219">
        <f t="shared" si="7"/>
        <v>2.2750131948179191E-2</v>
      </c>
    </row>
    <row r="76" spans="4:8">
      <c r="D76">
        <v>73</v>
      </c>
      <c r="E76" s="219">
        <f t="shared" si="4"/>
        <v>2.168108719963116E-2</v>
      </c>
      <c r="F76" s="219">
        <f t="shared" si="5"/>
        <v>5.5832716838706019E-2</v>
      </c>
      <c r="G76" s="219">
        <f t="shared" si="6"/>
        <v>2.1569329706627883E-2</v>
      </c>
      <c r="H76" s="219">
        <f t="shared" si="7"/>
        <v>4.00591568638171E-2</v>
      </c>
    </row>
    <row r="77" spans="4:8">
      <c r="D77">
        <v>74</v>
      </c>
      <c r="E77" s="219">
        <f t="shared" si="4"/>
        <v>3.1642667804867075E-2</v>
      </c>
      <c r="F77" s="219">
        <f t="shared" si="5"/>
        <v>8.747538464357299E-2</v>
      </c>
      <c r="G77" s="219">
        <f t="shared" si="6"/>
        <v>3.2379398916472936E-2</v>
      </c>
      <c r="H77" s="219">
        <f t="shared" si="7"/>
        <v>6.6807201268858057E-2</v>
      </c>
    </row>
    <row r="78" spans="4:8">
      <c r="D78">
        <v>75</v>
      </c>
      <c r="E78" s="219">
        <f t="shared" si="4"/>
        <v>4.3877832689415669E-2</v>
      </c>
      <c r="F78" s="219">
        <f t="shared" si="5"/>
        <v>0.13135321733298877</v>
      </c>
      <c r="G78" s="219">
        <f t="shared" si="6"/>
        <v>4.5662271347255479E-2</v>
      </c>
      <c r="H78" s="219">
        <f t="shared" si="7"/>
        <v>0.10564977366685525</v>
      </c>
    </row>
    <row r="79" spans="4:8">
      <c r="D79">
        <v>76</v>
      </c>
      <c r="E79" s="219">
        <f t="shared" si="4"/>
        <v>5.7733990380810063E-2</v>
      </c>
      <c r="F79" s="219">
        <f t="shared" si="5"/>
        <v>0.18908720771379869</v>
      </c>
      <c r="G79" s="219">
        <f t="shared" si="6"/>
        <v>6.0492681129785841E-2</v>
      </c>
      <c r="H79" s="219">
        <f t="shared" si="7"/>
        <v>0.15865525393145699</v>
      </c>
    </row>
    <row r="80" spans="4:8">
      <c r="D80">
        <v>77</v>
      </c>
      <c r="E80" s="219">
        <f t="shared" si="4"/>
        <v>7.1980039955295658E-2</v>
      </c>
      <c r="F80" s="219">
        <f t="shared" si="5"/>
        <v>0.2610672476690945</v>
      </c>
      <c r="G80" s="219">
        <f t="shared" si="6"/>
        <v>7.5284358038701107E-2</v>
      </c>
      <c r="H80" s="219">
        <f t="shared" si="7"/>
        <v>0.22662735237686821</v>
      </c>
    </row>
    <row r="81" spans="4:8">
      <c r="D81">
        <v>78</v>
      </c>
      <c r="E81" s="219">
        <f t="shared" si="4"/>
        <v>8.4899534306246208E-2</v>
      </c>
      <c r="F81" s="219">
        <f t="shared" si="5"/>
        <v>0.34596678197534042</v>
      </c>
      <c r="G81" s="219">
        <f t="shared" si="6"/>
        <v>8.8016331691074881E-2</v>
      </c>
      <c r="H81" s="219">
        <f t="shared" si="7"/>
        <v>0.30853753872598688</v>
      </c>
    </row>
    <row r="82" spans="4:8">
      <c r="D82">
        <v>79</v>
      </c>
      <c r="E82" s="219">
        <f t="shared" si="4"/>
        <v>9.4571633151261603E-2</v>
      </c>
      <c r="F82" s="219">
        <f t="shared" si="5"/>
        <v>0.44053841512660202</v>
      </c>
      <c r="G82" s="219">
        <f t="shared" si="6"/>
        <v>9.6667029200712309E-2</v>
      </c>
      <c r="H82" s="219">
        <f t="shared" si="7"/>
        <v>0.4012936743170763</v>
      </c>
    </row>
    <row r="83" spans="4:8">
      <c r="D83">
        <v>80</v>
      </c>
      <c r="E83" s="219">
        <f t="shared" si="4"/>
        <v>9.9300214808824727E-2</v>
      </c>
      <c r="F83" s="219">
        <f t="shared" si="5"/>
        <v>0.53983862993542475</v>
      </c>
      <c r="G83" s="219">
        <f t="shared" si="6"/>
        <v>9.9735570100358176E-2</v>
      </c>
      <c r="H83" s="219">
        <f t="shared" si="7"/>
        <v>0.5</v>
      </c>
    </row>
    <row r="84" spans="4:8">
      <c r="D84">
        <v>81</v>
      </c>
      <c r="E84" s="219">
        <f t="shared" si="4"/>
        <v>9.8074286230937988E-2</v>
      </c>
      <c r="F84" s="219">
        <f t="shared" si="5"/>
        <v>0.63791291616636436</v>
      </c>
      <c r="G84" s="219">
        <f t="shared" si="6"/>
        <v>9.6667029200712309E-2</v>
      </c>
      <c r="H84" s="219">
        <f t="shared" si="7"/>
        <v>0.5987063256829237</v>
      </c>
    </row>
    <row r="85" spans="4:8">
      <c r="D85">
        <v>82</v>
      </c>
      <c r="E85" s="219">
        <f t="shared" si="4"/>
        <v>9.0898118945747466E-2</v>
      </c>
      <c r="F85" s="219">
        <f t="shared" si="5"/>
        <v>0.72881103511211165</v>
      </c>
      <c r="G85" s="219">
        <f t="shared" si="6"/>
        <v>8.8016331691074881E-2</v>
      </c>
      <c r="H85" s="219">
        <f t="shared" si="7"/>
        <v>0.69146246127401312</v>
      </c>
    </row>
    <row r="86" spans="4:8">
      <c r="D86">
        <v>83</v>
      </c>
      <c r="E86" s="219">
        <f t="shared" si="4"/>
        <v>7.8851380290286918E-2</v>
      </c>
      <c r="F86" s="219">
        <f t="shared" si="5"/>
        <v>0.80766241540239858</v>
      </c>
      <c r="G86" s="219">
        <f t="shared" si="6"/>
        <v>7.5284358038701107E-2</v>
      </c>
      <c r="H86" s="219">
        <f t="shared" si="7"/>
        <v>0.77337264762313174</v>
      </c>
    </row>
    <row r="87" spans="4:8">
      <c r="D87">
        <v>84</v>
      </c>
      <c r="E87" s="219">
        <f t="shared" si="4"/>
        <v>6.3832069758803692E-2</v>
      </c>
      <c r="F87" s="219">
        <f t="shared" si="5"/>
        <v>0.87149448516120243</v>
      </c>
      <c r="G87" s="219">
        <f t="shared" si="6"/>
        <v>6.0492681129785841E-2</v>
      </c>
      <c r="H87" s="219">
        <f t="shared" si="7"/>
        <v>0.84134474606854304</v>
      </c>
    </row>
    <row r="88" spans="4:8">
      <c r="D88">
        <v>85</v>
      </c>
      <c r="E88" s="219">
        <f t="shared" si="4"/>
        <v>4.8061793700746307E-2</v>
      </c>
      <c r="F88" s="219">
        <f t="shared" si="5"/>
        <v>0.91955627886194913</v>
      </c>
      <c r="G88" s="219">
        <f t="shared" si="6"/>
        <v>4.5662271347255479E-2</v>
      </c>
      <c r="H88" s="219">
        <f t="shared" si="7"/>
        <v>0.89435022633314476</v>
      </c>
    </row>
    <row r="89" spans="4:8">
      <c r="D89">
        <v>86</v>
      </c>
      <c r="E89" s="219">
        <f t="shared" si="4"/>
        <v>3.3531483977264902E-2</v>
      </c>
      <c r="F89" s="219">
        <f t="shared" si="5"/>
        <v>0.95308776283921404</v>
      </c>
      <c r="G89" s="219">
        <f t="shared" si="6"/>
        <v>3.2379398916472936E-2</v>
      </c>
      <c r="H89" s="219">
        <f t="shared" si="7"/>
        <v>0.93319279873114191</v>
      </c>
    </row>
    <row r="90" spans="4:8">
      <c r="D90">
        <v>87</v>
      </c>
      <c r="E90" s="219">
        <f t="shared" si="4"/>
        <v>2.1583483939388894E-2</v>
      </c>
      <c r="F90" s="219">
        <f t="shared" si="5"/>
        <v>0.97467124677860295</v>
      </c>
      <c r="G90" s="219">
        <f t="shared" si="6"/>
        <v>2.1569329706627883E-2</v>
      </c>
      <c r="H90" s="219">
        <f t="shared" si="7"/>
        <v>0.95994084313618289</v>
      </c>
    </row>
    <row r="91" spans="4:8">
      <c r="D91">
        <v>88</v>
      </c>
      <c r="E91" s="219">
        <f t="shared" si="4"/>
        <v>1.2753876873275253E-2</v>
      </c>
      <c r="F91" s="219">
        <f t="shared" si="5"/>
        <v>0.98742512365187818</v>
      </c>
      <c r="G91" s="219">
        <f t="shared" si="6"/>
        <v>1.3497741628297016E-2</v>
      </c>
      <c r="H91" s="219">
        <f t="shared" si="7"/>
        <v>0.97724986805182079</v>
      </c>
    </row>
    <row r="92" spans="4:8">
      <c r="D92">
        <v>89</v>
      </c>
      <c r="E92" s="219">
        <f t="shared" si="4"/>
        <v>6.878495392328242E-3</v>
      </c>
      <c r="F92" s="219">
        <f t="shared" si="5"/>
        <v>0.9943036190442065</v>
      </c>
      <c r="G92" s="219">
        <f t="shared" si="6"/>
        <v>7.9349129589168545E-3</v>
      </c>
      <c r="H92" s="219">
        <f t="shared" si="7"/>
        <v>0.98777552734495533</v>
      </c>
    </row>
    <row r="93" spans="4:8">
      <c r="D93">
        <v>90</v>
      </c>
      <c r="E93" s="219">
        <f t="shared" si="4"/>
        <v>3.3628199695826867E-3</v>
      </c>
      <c r="F93" s="219">
        <f t="shared" si="5"/>
        <v>0.99766643901378915</v>
      </c>
      <c r="G93" s="219">
        <f t="shared" si="6"/>
        <v>4.3820751233921351E-3</v>
      </c>
      <c r="H93" s="219">
        <f t="shared" si="7"/>
        <v>0.99379033467422384</v>
      </c>
    </row>
    <row r="94" spans="4:8">
      <c r="D94">
        <v>91</v>
      </c>
      <c r="E94" s="219">
        <f t="shared" si="4"/>
        <v>1.4781626239923913E-3</v>
      </c>
      <c r="F94" s="219">
        <f t="shared" si="5"/>
        <v>0.99914460163778163</v>
      </c>
      <c r="G94" s="219">
        <f t="shared" si="6"/>
        <v>2.2733906253977632E-3</v>
      </c>
      <c r="H94" s="219">
        <f t="shared" si="7"/>
        <v>0.99702023676494544</v>
      </c>
    </row>
    <row r="95" spans="4:8">
      <c r="D95">
        <v>92</v>
      </c>
      <c r="E95" s="219">
        <f t="shared" si="4"/>
        <v>5.7841146156224093E-4</v>
      </c>
      <c r="F95" s="219">
        <f t="shared" si="5"/>
        <v>0.99972301309934375</v>
      </c>
      <c r="G95" s="219">
        <f t="shared" si="6"/>
        <v>1.1079621029845019E-3</v>
      </c>
      <c r="H95" s="219">
        <f t="shared" si="7"/>
        <v>0.9986501019683699</v>
      </c>
    </row>
    <row r="96" spans="4:8">
      <c r="D96">
        <v>93</v>
      </c>
      <c r="E96" s="219">
        <f t="shared" si="4"/>
        <v>1.9902329860206126E-4</v>
      </c>
      <c r="F96" s="219">
        <f t="shared" si="5"/>
        <v>0.99992203639794586</v>
      </c>
      <c r="G96" s="219">
        <f t="shared" si="6"/>
        <v>5.0726201432494203E-4</v>
      </c>
      <c r="H96" s="219">
        <f t="shared" si="7"/>
        <v>0.99942297495760923</v>
      </c>
    </row>
    <row r="97" spans="4:8">
      <c r="D97">
        <v>94</v>
      </c>
      <c r="E97" s="219">
        <f t="shared" si="4"/>
        <v>5.9283535753805565E-5</v>
      </c>
      <c r="F97" s="219">
        <f t="shared" si="5"/>
        <v>0.99998131993369965</v>
      </c>
      <c r="G97" s="219">
        <f t="shared" si="6"/>
        <v>2.1817067376144004E-4</v>
      </c>
      <c r="H97" s="219">
        <f t="shared" si="7"/>
        <v>0.99976737092096446</v>
      </c>
    </row>
    <row r="98" spans="4:8">
      <c r="D98">
        <v>95</v>
      </c>
      <c r="E98" s="219">
        <f t="shared" si="4"/>
        <v>1.4976893243066663E-5</v>
      </c>
      <c r="F98" s="219">
        <f t="shared" si="5"/>
        <v>0.99999629682694269</v>
      </c>
      <c r="G98" s="219">
        <f t="shared" si="6"/>
        <v>8.8148920591861352E-5</v>
      </c>
      <c r="H98" s="219">
        <f t="shared" si="7"/>
        <v>0.99991158271479919</v>
      </c>
    </row>
    <row r="99" spans="4:8">
      <c r="D99">
        <v>96</v>
      </c>
      <c r="E99" s="219">
        <f t="shared" si="4"/>
        <v>3.1201860923055643E-6</v>
      </c>
      <c r="F99" s="219">
        <f t="shared" si="5"/>
        <v>0.99999941701303507</v>
      </c>
      <c r="G99" s="219">
        <f t="shared" si="6"/>
        <v>3.3457556441221342E-5</v>
      </c>
      <c r="H99" s="219">
        <f t="shared" si="7"/>
        <v>0.99996832875816688</v>
      </c>
    </row>
    <row r="100" spans="4:8">
      <c r="D100">
        <v>97</v>
      </c>
      <c r="E100" s="219">
        <f t="shared" si="4"/>
        <v>5.1466987089576095E-7</v>
      </c>
      <c r="F100" s="219">
        <f t="shared" si="5"/>
        <v>0.99999993168290602</v>
      </c>
      <c r="G100" s="219">
        <f t="shared" si="6"/>
        <v>1.1929659135301238E-5</v>
      </c>
      <c r="H100" s="219">
        <f t="shared" si="7"/>
        <v>0.9999893114742251</v>
      </c>
    </row>
    <row r="101" spans="4:8">
      <c r="D101">
        <v>98</v>
      </c>
      <c r="E101" s="219">
        <f t="shared" si="4"/>
        <v>6.3020800517848304E-8</v>
      </c>
      <c r="F101" s="219">
        <f t="shared" si="5"/>
        <v>0.99999999470370649</v>
      </c>
      <c r="G101" s="219">
        <f t="shared" si="6"/>
        <v>3.9959352767263687E-6</v>
      </c>
      <c r="H101" s="219">
        <f t="shared" si="7"/>
        <v>0.99999660232687526</v>
      </c>
    </row>
    <row r="102" spans="4:8">
      <c r="D102">
        <v>99</v>
      </c>
      <c r="E102" s="219">
        <f t="shared" si="4"/>
        <v>5.0925899408362083E-9</v>
      </c>
      <c r="F102" s="219">
        <f t="shared" si="5"/>
        <v>0.99999999979629639</v>
      </c>
      <c r="G102" s="219">
        <f t="shared" si="6"/>
        <v>1.2573768221481113E-6</v>
      </c>
      <c r="H102" s="219">
        <f t="shared" si="7"/>
        <v>0.99999898291675748</v>
      </c>
    </row>
    <row r="103" spans="4:8">
      <c r="D103">
        <v>100</v>
      </c>
      <c r="E103" s="219">
        <f t="shared" si="4"/>
        <v>2.0370359763344954E-10</v>
      </c>
      <c r="F103" s="219">
        <f t="shared" si="5"/>
        <v>1</v>
      </c>
      <c r="G103" s="219">
        <f t="shared" si="6"/>
        <v>3.7167987868357442E-7</v>
      </c>
      <c r="H103" s="219">
        <f t="shared" si="7"/>
        <v>0.99999971334842808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2B215-924D-4534-B542-01D55A317963}">
  <sheetPr>
    <tabColor theme="1"/>
  </sheetPr>
  <dimension ref="A1:K85"/>
  <sheetViews>
    <sheetView workbookViewId="0">
      <selection sqref="A1:H1"/>
    </sheetView>
  </sheetViews>
  <sheetFormatPr defaultRowHeight="12.5"/>
  <cols>
    <col min="2" max="3" width="15.453125" bestFit="1" customWidth="1"/>
    <col min="4" max="5" width="6.54296875" bestFit="1" customWidth="1"/>
    <col min="6" max="6" width="4.54296875" bestFit="1" customWidth="1"/>
    <col min="7" max="7" width="10.90625" bestFit="1" customWidth="1"/>
    <col min="8" max="8" width="14.54296875" bestFit="1" customWidth="1"/>
    <col min="9" max="9" width="45.08984375" bestFit="1" customWidth="1"/>
  </cols>
  <sheetData>
    <row r="1" spans="1:11" ht="16" thickBot="1">
      <c r="A1" s="313" t="s">
        <v>182</v>
      </c>
      <c r="B1" s="313"/>
      <c r="C1" s="313"/>
      <c r="D1" s="313"/>
      <c r="E1" s="313"/>
      <c r="F1" s="313"/>
      <c r="G1" s="313"/>
      <c r="H1" s="313"/>
    </row>
    <row r="2" spans="1:11" ht="15.5" thickTop="1" thickBot="1">
      <c r="A2" s="208" t="s">
        <v>106</v>
      </c>
      <c r="B2" s="208" t="s">
        <v>183</v>
      </c>
      <c r="C2" s="208" t="s">
        <v>183</v>
      </c>
      <c r="D2" s="208" t="s">
        <v>184</v>
      </c>
      <c r="E2" s="208" t="s">
        <v>185</v>
      </c>
      <c r="F2" s="208" t="s">
        <v>186</v>
      </c>
      <c r="G2" s="208" t="s">
        <v>187</v>
      </c>
      <c r="H2" s="208" t="s">
        <v>188</v>
      </c>
      <c r="I2" s="144" t="s">
        <v>189</v>
      </c>
    </row>
    <row r="3" spans="1:11" ht="13.5" thickTop="1">
      <c r="A3" s="23">
        <v>134</v>
      </c>
      <c r="B3" s="204">
        <f>_xlfn.NORM.DIST(A3,170,10,0)</f>
        <v>6.1190193011377187E-5</v>
      </c>
      <c r="C3" s="204">
        <f>_xlfn.NORM.DIST(A3,170,10,FALSE)</f>
        <v>6.1190193011377187E-5</v>
      </c>
      <c r="D3" s="215">
        <f>_xlfn.NORM.DIST(A3,170,10,1)</f>
        <v>1.5910859015753364E-4</v>
      </c>
      <c r="E3" s="215">
        <f>_xlfn.NORM.DIST(A3,170,10,TRUE)</f>
        <v>1.5910859015753364E-4</v>
      </c>
      <c r="F3" s="23">
        <f>(A3-170)/10</f>
        <v>-3.6</v>
      </c>
      <c r="G3" s="204">
        <f>_xlfn.NORM.S.DIST(F3,0)</f>
        <v>6.119019301137719E-4</v>
      </c>
      <c r="H3" s="204">
        <f>_xlfn.NORM.S.DIST(F3,1)</f>
        <v>1.5910859015753364E-4</v>
      </c>
      <c r="I3" s="22" t="s">
        <v>190</v>
      </c>
      <c r="J3" s="116">
        <f>D39</f>
        <v>0.5</v>
      </c>
    </row>
    <row r="4" spans="1:11">
      <c r="A4">
        <v>135</v>
      </c>
      <c r="B4" s="116">
        <f t="shared" ref="B4:B67" si="0">_xlfn.NORM.DIST(A4,170,10,0)</f>
        <v>8.726826950457601E-5</v>
      </c>
      <c r="C4" s="116">
        <f t="shared" ref="C4:C67" si="1">_xlfn.NORM.DIST(A4,170,10,FALSE)</f>
        <v>8.726826950457601E-5</v>
      </c>
      <c r="D4" s="116">
        <f t="shared" ref="D4:D67" si="2">_xlfn.NORM.DIST(A4,170,10,1)</f>
        <v>2.3262907903552504E-4</v>
      </c>
      <c r="E4" s="116">
        <f t="shared" ref="E4:E67" si="3">_xlfn.NORM.DIST(A4,170,10,TRUE)</f>
        <v>2.3262907903552504E-4</v>
      </c>
      <c r="F4">
        <f t="shared" ref="F4:F67" si="4">(A4-170)/10</f>
        <v>-3.5</v>
      </c>
      <c r="G4" s="116">
        <f t="shared" ref="G4:G67" si="5">_xlfn.NORM.S.DIST(F4,0)</f>
        <v>8.7268269504576015E-4</v>
      </c>
      <c r="H4" s="116">
        <f t="shared" ref="H4:H67" si="6">_xlfn.NORM.S.DIST(F4,1)</f>
        <v>2.3262907903552504E-4</v>
      </c>
      <c r="I4" s="22" t="s">
        <v>191</v>
      </c>
      <c r="J4" s="116">
        <f>D39-D29</f>
        <v>0.34134474606854304</v>
      </c>
    </row>
    <row r="5" spans="1:11" ht="13">
      <c r="A5">
        <v>136</v>
      </c>
      <c r="B5" s="116">
        <f t="shared" si="0"/>
        <v>1.2322191684730198E-4</v>
      </c>
      <c r="C5" s="116">
        <f t="shared" si="1"/>
        <v>1.2322191684730198E-4</v>
      </c>
      <c r="D5" s="116">
        <f t="shared" si="2"/>
        <v>3.369292656768808E-4</v>
      </c>
      <c r="E5" s="116">
        <f t="shared" si="3"/>
        <v>3.369292656768808E-4</v>
      </c>
      <c r="F5">
        <f t="shared" si="4"/>
        <v>-3.4</v>
      </c>
      <c r="G5" s="116">
        <f t="shared" si="5"/>
        <v>1.2322191684730199E-3</v>
      </c>
      <c r="H5" s="116">
        <f t="shared" si="6"/>
        <v>3.369292656768808E-4</v>
      </c>
      <c r="I5" s="205" t="s">
        <v>192</v>
      </c>
      <c r="J5" s="204">
        <f>D49-D29</f>
        <v>0.68268949213708607</v>
      </c>
      <c r="K5" s="209" t="s">
        <v>193</v>
      </c>
    </row>
    <row r="6" spans="1:11" ht="13">
      <c r="A6">
        <v>137</v>
      </c>
      <c r="B6" s="116">
        <f t="shared" si="0"/>
        <v>1.722568939053681E-4</v>
      </c>
      <c r="C6" s="116">
        <f t="shared" si="1"/>
        <v>1.722568939053681E-4</v>
      </c>
      <c r="D6" s="116">
        <f t="shared" si="2"/>
        <v>4.8342414238377744E-4</v>
      </c>
      <c r="E6" s="116">
        <f t="shared" si="3"/>
        <v>4.8342414238377744E-4</v>
      </c>
      <c r="F6">
        <f t="shared" si="4"/>
        <v>-3.3</v>
      </c>
      <c r="G6" s="116">
        <f t="shared" si="5"/>
        <v>1.7225689390536812E-3</v>
      </c>
      <c r="H6" s="116">
        <f t="shared" si="6"/>
        <v>4.8342414238377744E-4</v>
      </c>
      <c r="I6" s="205" t="s">
        <v>194</v>
      </c>
      <c r="J6" s="207">
        <f>E59-E19</f>
        <v>0.95449973610364158</v>
      </c>
      <c r="K6" s="210" t="s">
        <v>195</v>
      </c>
    </row>
    <row r="7" spans="1:11" ht="13">
      <c r="A7">
        <v>138</v>
      </c>
      <c r="B7" s="116">
        <f t="shared" si="0"/>
        <v>2.3840882014648405E-4</v>
      </c>
      <c r="C7" s="116">
        <f t="shared" si="1"/>
        <v>2.3840882014648405E-4</v>
      </c>
      <c r="D7" s="116">
        <f t="shared" si="2"/>
        <v>6.8713793791584719E-4</v>
      </c>
      <c r="E7" s="116">
        <f t="shared" si="3"/>
        <v>6.8713793791584719E-4</v>
      </c>
      <c r="F7">
        <f t="shared" si="4"/>
        <v>-3.2</v>
      </c>
      <c r="G7" s="116">
        <f t="shared" si="5"/>
        <v>2.3840882014648404E-3</v>
      </c>
      <c r="H7" s="116">
        <f t="shared" si="6"/>
        <v>6.8713793791584719E-4</v>
      </c>
      <c r="I7" s="205" t="s">
        <v>196</v>
      </c>
      <c r="J7" s="206">
        <f>D69-D9</f>
        <v>0.99730020393673979</v>
      </c>
      <c r="K7" s="211" t="s">
        <v>197</v>
      </c>
    </row>
    <row r="8" spans="1:11">
      <c r="A8">
        <v>139</v>
      </c>
      <c r="B8" s="116">
        <f t="shared" si="0"/>
        <v>3.2668190561999186E-4</v>
      </c>
      <c r="C8" s="116">
        <f t="shared" si="1"/>
        <v>3.2668190561999186E-4</v>
      </c>
      <c r="D8" s="116">
        <f t="shared" si="2"/>
        <v>9.676032132183561E-4</v>
      </c>
      <c r="E8" s="116">
        <f t="shared" si="3"/>
        <v>9.676032132183561E-4</v>
      </c>
      <c r="F8">
        <f t="shared" si="4"/>
        <v>-3.1</v>
      </c>
      <c r="G8" s="116">
        <f t="shared" si="5"/>
        <v>3.2668190561999182E-3</v>
      </c>
      <c r="H8" s="116">
        <f t="shared" si="6"/>
        <v>9.676032132183561E-4</v>
      </c>
      <c r="I8" s="22" t="s">
        <v>198</v>
      </c>
      <c r="J8" s="116">
        <f>D44-D34</f>
        <v>0.38292492254802624</v>
      </c>
    </row>
    <row r="9" spans="1:11" ht="13">
      <c r="A9" s="23">
        <v>140</v>
      </c>
      <c r="B9" s="204">
        <f t="shared" si="0"/>
        <v>4.4318484119380076E-4</v>
      </c>
      <c r="C9" s="204">
        <f t="shared" si="1"/>
        <v>4.4318484119380076E-4</v>
      </c>
      <c r="D9" s="215">
        <f t="shared" si="2"/>
        <v>1.3498980316300933E-3</v>
      </c>
      <c r="E9" s="215">
        <f t="shared" si="3"/>
        <v>1.3498980316300933E-3</v>
      </c>
      <c r="F9" s="23">
        <f t="shared" si="4"/>
        <v>-3</v>
      </c>
      <c r="G9" s="204">
        <f t="shared" si="5"/>
        <v>4.4318484119380075E-3</v>
      </c>
      <c r="H9" s="204">
        <f t="shared" si="6"/>
        <v>1.3498980316300933E-3</v>
      </c>
    </row>
    <row r="10" spans="1:11">
      <c r="A10">
        <v>141</v>
      </c>
      <c r="B10" s="116">
        <f t="shared" si="0"/>
        <v>5.9525324197758534E-4</v>
      </c>
      <c r="C10" s="116">
        <f t="shared" si="1"/>
        <v>5.9525324197758534E-4</v>
      </c>
      <c r="D10" s="116">
        <f t="shared" si="2"/>
        <v>1.8658133003840378E-3</v>
      </c>
      <c r="E10" s="116">
        <f t="shared" si="3"/>
        <v>1.8658133003840378E-3</v>
      </c>
      <c r="F10">
        <f t="shared" si="4"/>
        <v>-2.9</v>
      </c>
      <c r="G10" s="116">
        <f t="shared" si="5"/>
        <v>5.9525324197758538E-3</v>
      </c>
      <c r="H10" s="116">
        <f t="shared" si="6"/>
        <v>1.8658133003840378E-3</v>
      </c>
      <c r="I10" s="22" t="s">
        <v>199</v>
      </c>
      <c r="J10">
        <v>0</v>
      </c>
    </row>
    <row r="11" spans="1:11" ht="13">
      <c r="A11">
        <v>142</v>
      </c>
      <c r="B11" s="116">
        <f t="shared" si="0"/>
        <v>7.9154515829799694E-4</v>
      </c>
      <c r="C11" s="116">
        <f t="shared" si="1"/>
        <v>7.9154515829799694E-4</v>
      </c>
      <c r="D11" s="116">
        <f t="shared" si="2"/>
        <v>2.5551303304279312E-3</v>
      </c>
      <c r="E11" s="116">
        <f t="shared" si="3"/>
        <v>2.5551303304279312E-3</v>
      </c>
      <c r="F11">
        <f t="shared" si="4"/>
        <v>-2.8</v>
      </c>
      <c r="G11" s="116">
        <f t="shared" si="5"/>
        <v>7.9154515829799686E-3</v>
      </c>
      <c r="H11" s="116">
        <f t="shared" si="6"/>
        <v>2.5551303304279312E-3</v>
      </c>
      <c r="I11" s="22" t="s">
        <v>200</v>
      </c>
      <c r="J11" s="116">
        <f>1-D39</f>
        <v>0.5</v>
      </c>
    </row>
    <row r="12" spans="1:11" ht="13">
      <c r="A12">
        <v>143</v>
      </c>
      <c r="B12" s="116">
        <f t="shared" si="0"/>
        <v>1.0420934814422591E-3</v>
      </c>
      <c r="C12" s="116">
        <f t="shared" si="1"/>
        <v>1.0420934814422591E-3</v>
      </c>
      <c r="D12" s="116">
        <f t="shared" si="2"/>
        <v>3.4669738030406643E-3</v>
      </c>
      <c r="E12" s="116">
        <f t="shared" si="3"/>
        <v>3.4669738030406643E-3</v>
      </c>
      <c r="F12">
        <f t="shared" si="4"/>
        <v>-2.7</v>
      </c>
      <c r="G12" s="116">
        <f t="shared" si="5"/>
        <v>1.0420934814422592E-2</v>
      </c>
      <c r="H12" s="116">
        <f t="shared" si="6"/>
        <v>3.4669738030406643E-3</v>
      </c>
      <c r="I12" s="22" t="s">
        <v>201</v>
      </c>
      <c r="J12" s="116">
        <f>1-D49</f>
        <v>0.15865525393145696</v>
      </c>
    </row>
    <row r="13" spans="1:11" ht="13">
      <c r="A13">
        <v>144</v>
      </c>
      <c r="B13" s="116">
        <f t="shared" si="0"/>
        <v>1.3582969233685612E-3</v>
      </c>
      <c r="C13" s="116">
        <f t="shared" si="1"/>
        <v>1.3582969233685612E-3</v>
      </c>
      <c r="D13" s="116">
        <f t="shared" si="2"/>
        <v>4.6611880237187476E-3</v>
      </c>
      <c r="E13" s="116">
        <f t="shared" si="3"/>
        <v>4.6611880237187476E-3</v>
      </c>
      <c r="F13">
        <f t="shared" si="4"/>
        <v>-2.6</v>
      </c>
      <c r="G13" s="116">
        <f t="shared" si="5"/>
        <v>1.3582969233685613E-2</v>
      </c>
      <c r="H13" s="116">
        <f t="shared" si="6"/>
        <v>4.6611880237187476E-3</v>
      </c>
      <c r="I13" s="22" t="s">
        <v>202</v>
      </c>
      <c r="J13" s="116">
        <f>1-D47</f>
        <v>0.21185539858339664</v>
      </c>
    </row>
    <row r="14" spans="1:11">
      <c r="A14">
        <v>145</v>
      </c>
      <c r="B14" s="116">
        <f t="shared" si="0"/>
        <v>1.752830049356854E-3</v>
      </c>
      <c r="C14" s="116">
        <f t="shared" si="1"/>
        <v>1.752830049356854E-3</v>
      </c>
      <c r="D14" s="116">
        <f t="shared" si="2"/>
        <v>6.2096653257761331E-3</v>
      </c>
      <c r="E14" s="116">
        <f t="shared" si="3"/>
        <v>6.2096653257761331E-3</v>
      </c>
      <c r="F14">
        <f t="shared" si="4"/>
        <v>-2.5</v>
      </c>
      <c r="G14" s="116">
        <f t="shared" si="5"/>
        <v>1.752830049356854E-2</v>
      </c>
      <c r="H14" s="116">
        <f t="shared" si="6"/>
        <v>6.2096653257761331E-3</v>
      </c>
      <c r="I14" s="22"/>
    </row>
    <row r="15" spans="1:11" ht="13">
      <c r="A15">
        <v>146</v>
      </c>
      <c r="B15" s="116">
        <f t="shared" si="0"/>
        <v>2.2394530294842902E-3</v>
      </c>
      <c r="C15" s="116">
        <f t="shared" si="1"/>
        <v>2.2394530294842902E-3</v>
      </c>
      <c r="D15" s="116">
        <f t="shared" si="2"/>
        <v>8.1975359245961311E-3</v>
      </c>
      <c r="E15" s="116">
        <f t="shared" si="3"/>
        <v>8.1975359245961311E-3</v>
      </c>
      <c r="F15">
        <f t="shared" si="4"/>
        <v>-2.4</v>
      </c>
      <c r="G15" s="116">
        <f t="shared" si="5"/>
        <v>2.2394530294842899E-2</v>
      </c>
      <c r="H15" s="116">
        <f t="shared" si="6"/>
        <v>8.1975359245961311E-3</v>
      </c>
      <c r="I15" s="144" t="s">
        <v>203</v>
      </c>
    </row>
    <row r="16" spans="1:11" ht="13">
      <c r="A16">
        <v>147</v>
      </c>
      <c r="B16" s="116">
        <f t="shared" si="0"/>
        <v>2.8327037741601186E-3</v>
      </c>
      <c r="C16" s="116">
        <f t="shared" si="1"/>
        <v>2.8327037741601186E-3</v>
      </c>
      <c r="D16" s="116">
        <f t="shared" si="2"/>
        <v>1.0724110021675811E-2</v>
      </c>
      <c r="E16" s="116">
        <f t="shared" si="3"/>
        <v>1.0724110021675811E-2</v>
      </c>
      <c r="F16">
        <f t="shared" si="4"/>
        <v>-2.2999999999999998</v>
      </c>
      <c r="G16" s="116">
        <f t="shared" si="5"/>
        <v>2.8327037741601186E-2</v>
      </c>
      <c r="H16" s="116">
        <f t="shared" si="6"/>
        <v>1.0724110021675811E-2</v>
      </c>
      <c r="I16" s="205" t="s">
        <v>204</v>
      </c>
      <c r="J16" s="217">
        <f>$H$49-$H$29</f>
        <v>0.68268949213708607</v>
      </c>
      <c r="K16" s="212" t="s">
        <v>193</v>
      </c>
    </row>
    <row r="17" spans="1:11" ht="13">
      <c r="A17">
        <v>148</v>
      </c>
      <c r="B17" s="116">
        <f t="shared" si="0"/>
        <v>3.5474592846231421E-3</v>
      </c>
      <c r="C17" s="116">
        <f t="shared" si="1"/>
        <v>3.5474592846231421E-3</v>
      </c>
      <c r="D17" s="116">
        <f t="shared" si="2"/>
        <v>1.3903447513498597E-2</v>
      </c>
      <c r="E17" s="116">
        <f t="shared" si="3"/>
        <v>1.3903447513498597E-2</v>
      </c>
      <c r="F17">
        <f t="shared" si="4"/>
        <v>-2.2000000000000002</v>
      </c>
      <c r="G17" s="116">
        <f t="shared" si="5"/>
        <v>3.5474592846231424E-2</v>
      </c>
      <c r="H17" s="116">
        <f t="shared" si="6"/>
        <v>1.3903447513498597E-2</v>
      </c>
      <c r="I17" s="205" t="s">
        <v>205</v>
      </c>
      <c r="J17" s="213">
        <f>H59-H19</f>
        <v>0.95449973610364158</v>
      </c>
      <c r="K17" s="213" t="s">
        <v>195</v>
      </c>
    </row>
    <row r="18" spans="1:11" ht="13">
      <c r="A18">
        <v>149</v>
      </c>
      <c r="B18" s="116">
        <f t="shared" si="0"/>
        <v>4.3983595980427196E-3</v>
      </c>
      <c r="C18" s="116">
        <f t="shared" si="1"/>
        <v>4.3983595980427196E-3</v>
      </c>
      <c r="D18" s="116">
        <f t="shared" si="2"/>
        <v>1.7864420562816546E-2</v>
      </c>
      <c r="E18" s="116">
        <f t="shared" si="3"/>
        <v>1.7864420562816546E-2</v>
      </c>
      <c r="F18">
        <f t="shared" si="4"/>
        <v>-2.1</v>
      </c>
      <c r="G18" s="116">
        <f t="shared" si="5"/>
        <v>4.3983595980427191E-2</v>
      </c>
      <c r="H18" s="116">
        <f t="shared" si="6"/>
        <v>1.7864420562816546E-2</v>
      </c>
      <c r="I18" s="205" t="s">
        <v>206</v>
      </c>
      <c r="J18" s="216">
        <f>H69-H9</f>
        <v>0.99730020393673979</v>
      </c>
      <c r="K18" s="214" t="s">
        <v>197</v>
      </c>
    </row>
    <row r="19" spans="1:11" ht="13">
      <c r="A19" s="23">
        <v>150</v>
      </c>
      <c r="B19" s="204">
        <f t="shared" si="0"/>
        <v>5.3990966513188061E-3</v>
      </c>
      <c r="C19" s="204">
        <f t="shared" si="1"/>
        <v>5.3990966513188061E-3</v>
      </c>
      <c r="D19" s="215">
        <f t="shared" si="2"/>
        <v>2.2750131948179191E-2</v>
      </c>
      <c r="E19" s="215">
        <f t="shared" si="3"/>
        <v>2.2750131948179191E-2</v>
      </c>
      <c r="F19" s="23">
        <f t="shared" si="4"/>
        <v>-2</v>
      </c>
      <c r="G19" s="204">
        <f t="shared" si="5"/>
        <v>5.3990966513188063E-2</v>
      </c>
      <c r="H19" s="204">
        <f t="shared" si="6"/>
        <v>2.2750131948179191E-2</v>
      </c>
    </row>
    <row r="20" spans="1:11">
      <c r="A20">
        <v>151</v>
      </c>
      <c r="B20" s="116">
        <f t="shared" si="0"/>
        <v>6.5615814774676604E-3</v>
      </c>
      <c r="C20" s="116">
        <f t="shared" si="1"/>
        <v>6.5615814774676604E-3</v>
      </c>
      <c r="D20" s="116">
        <f t="shared" si="2"/>
        <v>2.87165598160018E-2</v>
      </c>
      <c r="E20" s="116">
        <f t="shared" si="3"/>
        <v>2.87165598160018E-2</v>
      </c>
      <c r="F20">
        <f t="shared" si="4"/>
        <v>-1.9</v>
      </c>
      <c r="G20" s="116">
        <f t="shared" si="5"/>
        <v>6.5615814774676595E-2</v>
      </c>
      <c r="H20" s="116">
        <f t="shared" si="6"/>
        <v>2.87165598160018E-2</v>
      </c>
    </row>
    <row r="21" spans="1:11">
      <c r="A21">
        <v>152</v>
      </c>
      <c r="B21" s="116">
        <f t="shared" si="0"/>
        <v>7.8950158300894139E-3</v>
      </c>
      <c r="C21" s="116">
        <f t="shared" si="1"/>
        <v>7.8950158300894139E-3</v>
      </c>
      <c r="D21" s="116">
        <f t="shared" si="2"/>
        <v>3.5930319112925789E-2</v>
      </c>
      <c r="E21" s="116">
        <f t="shared" si="3"/>
        <v>3.5930319112925789E-2</v>
      </c>
      <c r="F21">
        <f t="shared" si="4"/>
        <v>-1.8</v>
      </c>
      <c r="G21" s="116">
        <f t="shared" si="5"/>
        <v>7.8950158300894149E-2</v>
      </c>
      <c r="H21" s="116">
        <f t="shared" si="6"/>
        <v>3.5930319112925789E-2</v>
      </c>
    </row>
    <row r="22" spans="1:11">
      <c r="A22">
        <v>153</v>
      </c>
      <c r="B22" s="116">
        <f t="shared" si="0"/>
        <v>9.4049077376886937E-3</v>
      </c>
      <c r="C22" s="116">
        <f t="shared" si="1"/>
        <v>9.4049077376886937E-3</v>
      </c>
      <c r="D22" s="116">
        <f t="shared" si="2"/>
        <v>4.4565462758543041E-2</v>
      </c>
      <c r="E22" s="116">
        <f t="shared" si="3"/>
        <v>4.4565462758543041E-2</v>
      </c>
      <c r="F22">
        <f t="shared" si="4"/>
        <v>-1.7</v>
      </c>
      <c r="G22" s="116">
        <f t="shared" si="5"/>
        <v>9.4049077376886947E-2</v>
      </c>
      <c r="H22" s="116">
        <f t="shared" si="6"/>
        <v>4.4565462758543041E-2</v>
      </c>
    </row>
    <row r="23" spans="1:11">
      <c r="A23">
        <v>154</v>
      </c>
      <c r="B23" s="116">
        <f t="shared" si="0"/>
        <v>1.1092083467945555E-2</v>
      </c>
      <c r="C23" s="116">
        <f t="shared" si="1"/>
        <v>1.1092083467945555E-2</v>
      </c>
      <c r="D23" s="116">
        <f t="shared" si="2"/>
        <v>5.4799291699557967E-2</v>
      </c>
      <c r="E23" s="116">
        <f t="shared" si="3"/>
        <v>5.4799291699557967E-2</v>
      </c>
      <c r="F23">
        <f t="shared" si="4"/>
        <v>-1.6</v>
      </c>
      <c r="G23" s="116">
        <f t="shared" si="5"/>
        <v>0.11092083467945554</v>
      </c>
      <c r="H23" s="116">
        <f t="shared" si="6"/>
        <v>5.4799291699557967E-2</v>
      </c>
      <c r="I23" s="22"/>
    </row>
    <row r="24" spans="1:11">
      <c r="A24">
        <v>155</v>
      </c>
      <c r="B24" s="116">
        <f t="shared" si="0"/>
        <v>1.2951759566589173E-2</v>
      </c>
      <c r="C24" s="116">
        <f t="shared" si="1"/>
        <v>1.2951759566589173E-2</v>
      </c>
      <c r="D24" s="116">
        <f t="shared" si="2"/>
        <v>6.6807201268858057E-2</v>
      </c>
      <c r="E24" s="116">
        <f t="shared" si="3"/>
        <v>6.6807201268858057E-2</v>
      </c>
      <c r="F24">
        <f t="shared" si="4"/>
        <v>-1.5</v>
      </c>
      <c r="G24" s="116">
        <f t="shared" si="5"/>
        <v>0.12951759566589174</v>
      </c>
      <c r="H24" s="116">
        <f t="shared" si="6"/>
        <v>6.6807201268858057E-2</v>
      </c>
    </row>
    <row r="25" spans="1:11">
      <c r="A25">
        <v>156</v>
      </c>
      <c r="B25" s="116">
        <f t="shared" si="0"/>
        <v>1.4972746563574486E-2</v>
      </c>
      <c r="C25" s="116">
        <f t="shared" si="1"/>
        <v>1.4972746563574486E-2</v>
      </c>
      <c r="D25" s="116">
        <f t="shared" si="2"/>
        <v>8.0756659233771053E-2</v>
      </c>
      <c r="E25" s="116">
        <f t="shared" si="3"/>
        <v>8.0756659233771053E-2</v>
      </c>
      <c r="F25">
        <f t="shared" si="4"/>
        <v>-1.4</v>
      </c>
      <c r="G25" s="116">
        <f t="shared" si="5"/>
        <v>0.14972746563574488</v>
      </c>
      <c r="H25" s="116">
        <f t="shared" si="6"/>
        <v>8.0756659233771053E-2</v>
      </c>
    </row>
    <row r="26" spans="1:11">
      <c r="A26">
        <v>157</v>
      </c>
      <c r="B26" s="116">
        <f t="shared" si="0"/>
        <v>1.7136859204780735E-2</v>
      </c>
      <c r="C26" s="116">
        <f t="shared" si="1"/>
        <v>1.7136859204780735E-2</v>
      </c>
      <c r="D26" s="116">
        <f t="shared" si="2"/>
        <v>9.6800484585610316E-2</v>
      </c>
      <c r="E26" s="116">
        <f t="shared" si="3"/>
        <v>9.6800484585610316E-2</v>
      </c>
      <c r="F26">
        <f t="shared" si="4"/>
        <v>-1.3</v>
      </c>
      <c r="G26" s="116">
        <f t="shared" si="5"/>
        <v>0.17136859204780736</v>
      </c>
      <c r="H26" s="116">
        <f t="shared" si="6"/>
        <v>9.6800484585610316E-2</v>
      </c>
    </row>
    <row r="27" spans="1:11">
      <c r="A27">
        <v>158</v>
      </c>
      <c r="B27" s="116">
        <f t="shared" si="0"/>
        <v>1.9418605498321296E-2</v>
      </c>
      <c r="C27" s="116">
        <f t="shared" si="1"/>
        <v>1.9418605498321296E-2</v>
      </c>
      <c r="D27" s="116">
        <f t="shared" si="2"/>
        <v>0.11506967022170828</v>
      </c>
      <c r="E27" s="116">
        <f t="shared" si="3"/>
        <v>0.11506967022170828</v>
      </c>
      <c r="F27">
        <f t="shared" si="4"/>
        <v>-1.2</v>
      </c>
      <c r="G27" s="116">
        <f t="shared" si="5"/>
        <v>0.19418605498321295</v>
      </c>
      <c r="H27" s="116">
        <f t="shared" si="6"/>
        <v>0.11506967022170828</v>
      </c>
    </row>
    <row r="28" spans="1:11">
      <c r="A28">
        <v>159</v>
      </c>
      <c r="B28" s="116">
        <f t="shared" si="0"/>
        <v>2.1785217703255054E-2</v>
      </c>
      <c r="C28" s="116">
        <f t="shared" si="1"/>
        <v>2.1785217703255054E-2</v>
      </c>
      <c r="D28" s="116">
        <f t="shared" si="2"/>
        <v>0.13566606094638264</v>
      </c>
      <c r="E28" s="116">
        <f t="shared" si="3"/>
        <v>0.13566606094638264</v>
      </c>
      <c r="F28">
        <f t="shared" si="4"/>
        <v>-1.1000000000000001</v>
      </c>
      <c r="G28" s="116">
        <f t="shared" si="5"/>
        <v>0.21785217703255053</v>
      </c>
      <c r="H28" s="116">
        <f t="shared" si="6"/>
        <v>0.13566606094638264</v>
      </c>
    </row>
    <row r="29" spans="1:11" ht="13">
      <c r="A29" s="23">
        <v>160</v>
      </c>
      <c r="B29" s="204">
        <f t="shared" si="0"/>
        <v>2.4197072451914336E-2</v>
      </c>
      <c r="C29" s="204">
        <f t="shared" si="1"/>
        <v>2.4197072451914336E-2</v>
      </c>
      <c r="D29" s="215">
        <f t="shared" si="2"/>
        <v>0.15865525393145699</v>
      </c>
      <c r="E29" s="215">
        <f t="shared" si="3"/>
        <v>0.15865525393145699</v>
      </c>
      <c r="F29" s="23">
        <f t="shared" si="4"/>
        <v>-1</v>
      </c>
      <c r="G29" s="204">
        <f t="shared" si="5"/>
        <v>0.24197072451914337</v>
      </c>
      <c r="H29" s="204">
        <f t="shared" si="6"/>
        <v>0.15865525393145699</v>
      </c>
    </row>
    <row r="30" spans="1:11">
      <c r="A30">
        <v>161</v>
      </c>
      <c r="B30" s="116">
        <f t="shared" si="0"/>
        <v>2.6608524989875482E-2</v>
      </c>
      <c r="C30" s="116">
        <f t="shared" si="1"/>
        <v>2.6608524989875482E-2</v>
      </c>
      <c r="D30" s="116">
        <f t="shared" si="2"/>
        <v>0.1840601253467595</v>
      </c>
      <c r="E30" s="116">
        <f t="shared" si="3"/>
        <v>0.1840601253467595</v>
      </c>
      <c r="F30">
        <f t="shared" si="4"/>
        <v>-0.9</v>
      </c>
      <c r="G30" s="116">
        <f t="shared" si="5"/>
        <v>0.26608524989875482</v>
      </c>
      <c r="H30" s="116">
        <f t="shared" si="6"/>
        <v>0.1840601253467595</v>
      </c>
    </row>
    <row r="31" spans="1:11">
      <c r="A31">
        <v>162</v>
      </c>
      <c r="B31" s="116">
        <f t="shared" si="0"/>
        <v>2.8969155276148274E-2</v>
      </c>
      <c r="C31" s="116">
        <f t="shared" si="1"/>
        <v>2.8969155276148274E-2</v>
      </c>
      <c r="D31" s="116">
        <f t="shared" si="2"/>
        <v>0.21185539858339661</v>
      </c>
      <c r="E31" s="116">
        <f t="shared" si="3"/>
        <v>0.21185539858339661</v>
      </c>
      <c r="F31">
        <f t="shared" si="4"/>
        <v>-0.8</v>
      </c>
      <c r="G31" s="116">
        <f t="shared" si="5"/>
        <v>0.28969155276148273</v>
      </c>
      <c r="H31" s="116">
        <f t="shared" si="6"/>
        <v>0.21185539858339661</v>
      </c>
    </row>
    <row r="32" spans="1:11">
      <c r="A32">
        <v>163</v>
      </c>
      <c r="B32" s="116">
        <f t="shared" si="0"/>
        <v>3.1225393336676129E-2</v>
      </c>
      <c r="C32" s="116">
        <f t="shared" si="1"/>
        <v>3.1225393336676129E-2</v>
      </c>
      <c r="D32" s="116">
        <f t="shared" si="2"/>
        <v>0.24196365222307298</v>
      </c>
      <c r="E32" s="116">
        <f t="shared" si="3"/>
        <v>0.24196365222307298</v>
      </c>
      <c r="F32">
        <f t="shared" si="4"/>
        <v>-0.7</v>
      </c>
      <c r="G32" s="116">
        <f t="shared" si="5"/>
        <v>0.31225393336676127</v>
      </c>
      <c r="H32" s="116">
        <f t="shared" si="6"/>
        <v>0.24196365222307298</v>
      </c>
    </row>
    <row r="33" spans="1:8">
      <c r="A33">
        <v>164</v>
      </c>
      <c r="B33" s="116">
        <f t="shared" si="0"/>
        <v>3.3322460289179963E-2</v>
      </c>
      <c r="C33" s="116">
        <f t="shared" si="1"/>
        <v>3.3322460289179963E-2</v>
      </c>
      <c r="D33" s="116">
        <f t="shared" si="2"/>
        <v>0.27425311775007355</v>
      </c>
      <c r="E33" s="116">
        <f t="shared" si="3"/>
        <v>0.27425311775007355</v>
      </c>
      <c r="F33">
        <f t="shared" si="4"/>
        <v>-0.6</v>
      </c>
      <c r="G33" s="116">
        <f t="shared" si="5"/>
        <v>0.33322460289179967</v>
      </c>
      <c r="H33" s="116">
        <f t="shared" si="6"/>
        <v>0.27425311775007355</v>
      </c>
    </row>
    <row r="34" spans="1:8">
      <c r="A34">
        <v>165</v>
      </c>
      <c r="B34" s="116">
        <f t="shared" si="0"/>
        <v>3.5206532676429952E-2</v>
      </c>
      <c r="C34" s="116">
        <f t="shared" si="1"/>
        <v>3.5206532676429952E-2</v>
      </c>
      <c r="D34" s="116">
        <f t="shared" si="2"/>
        <v>0.30853753872598688</v>
      </c>
      <c r="E34" s="116">
        <f t="shared" si="3"/>
        <v>0.30853753872598688</v>
      </c>
      <c r="F34">
        <f t="shared" si="4"/>
        <v>-0.5</v>
      </c>
      <c r="G34" s="116">
        <f t="shared" si="5"/>
        <v>0.35206532676429952</v>
      </c>
      <c r="H34" s="116">
        <f t="shared" si="6"/>
        <v>0.30853753872598688</v>
      </c>
    </row>
    <row r="35" spans="1:8">
      <c r="A35">
        <v>166</v>
      </c>
      <c r="B35" s="116">
        <f t="shared" si="0"/>
        <v>3.6827014030332332E-2</v>
      </c>
      <c r="C35" s="116">
        <f t="shared" si="1"/>
        <v>3.6827014030332332E-2</v>
      </c>
      <c r="D35" s="116">
        <f t="shared" si="2"/>
        <v>0.34457825838967576</v>
      </c>
      <c r="E35" s="116">
        <f t="shared" si="3"/>
        <v>0.34457825838967576</v>
      </c>
      <c r="F35">
        <f t="shared" si="4"/>
        <v>-0.4</v>
      </c>
      <c r="G35" s="116">
        <f t="shared" si="5"/>
        <v>0.36827014030332333</v>
      </c>
      <c r="H35" s="116">
        <f t="shared" si="6"/>
        <v>0.34457825838967576</v>
      </c>
    </row>
    <row r="36" spans="1:8">
      <c r="A36">
        <v>167</v>
      </c>
      <c r="B36" s="116">
        <f t="shared" si="0"/>
        <v>3.8138781546052408E-2</v>
      </c>
      <c r="C36" s="116">
        <f t="shared" si="1"/>
        <v>3.8138781546052408E-2</v>
      </c>
      <c r="D36" s="116">
        <f t="shared" si="2"/>
        <v>0.38208857781104733</v>
      </c>
      <c r="E36" s="116">
        <f t="shared" si="3"/>
        <v>0.38208857781104733</v>
      </c>
      <c r="F36">
        <f t="shared" si="4"/>
        <v>-0.3</v>
      </c>
      <c r="G36" s="116">
        <f t="shared" si="5"/>
        <v>0.38138781546052414</v>
      </c>
      <c r="H36" s="116">
        <f t="shared" si="6"/>
        <v>0.38208857781104733</v>
      </c>
    </row>
    <row r="37" spans="1:8">
      <c r="A37">
        <v>168</v>
      </c>
      <c r="B37" s="116">
        <f t="shared" si="0"/>
        <v>3.9104269397545591E-2</v>
      </c>
      <c r="C37" s="116">
        <f t="shared" si="1"/>
        <v>3.9104269397545591E-2</v>
      </c>
      <c r="D37" s="116">
        <f t="shared" si="2"/>
        <v>0.42074029056089696</v>
      </c>
      <c r="E37" s="116">
        <f t="shared" si="3"/>
        <v>0.42074029056089696</v>
      </c>
      <c r="F37">
        <f t="shared" si="4"/>
        <v>-0.2</v>
      </c>
      <c r="G37" s="116">
        <f t="shared" si="5"/>
        <v>0.39104269397545588</v>
      </c>
      <c r="H37" s="116">
        <f t="shared" si="6"/>
        <v>0.42074029056089696</v>
      </c>
    </row>
    <row r="38" spans="1:8">
      <c r="A38">
        <v>169</v>
      </c>
      <c r="B38" s="116">
        <f t="shared" si="0"/>
        <v>3.9695254747701178E-2</v>
      </c>
      <c r="C38" s="116">
        <f t="shared" si="1"/>
        <v>3.9695254747701178E-2</v>
      </c>
      <c r="D38" s="116">
        <f t="shared" si="2"/>
        <v>0.46017216272297101</v>
      </c>
      <c r="E38" s="116">
        <f t="shared" si="3"/>
        <v>0.46017216272297101</v>
      </c>
      <c r="F38">
        <f t="shared" si="4"/>
        <v>-0.1</v>
      </c>
      <c r="G38" s="116">
        <f t="shared" si="5"/>
        <v>0.39695254747701181</v>
      </c>
      <c r="H38" s="116">
        <f t="shared" si="6"/>
        <v>0.46017216272297101</v>
      </c>
    </row>
    <row r="39" spans="1:8" ht="13">
      <c r="A39" s="23">
        <v>170</v>
      </c>
      <c r="B39" s="204">
        <f t="shared" si="0"/>
        <v>3.9894228040143274E-2</v>
      </c>
      <c r="C39" s="204">
        <f t="shared" si="1"/>
        <v>3.9894228040143274E-2</v>
      </c>
      <c r="D39" s="215">
        <f t="shared" si="2"/>
        <v>0.5</v>
      </c>
      <c r="E39" s="215">
        <f t="shared" si="3"/>
        <v>0.5</v>
      </c>
      <c r="F39" s="23">
        <f t="shared" si="4"/>
        <v>0</v>
      </c>
      <c r="G39" s="204">
        <f t="shared" si="5"/>
        <v>0.3989422804014327</v>
      </c>
      <c r="H39" s="204">
        <f t="shared" si="6"/>
        <v>0.5</v>
      </c>
    </row>
    <row r="40" spans="1:8">
      <c r="A40">
        <v>171</v>
      </c>
      <c r="B40" s="116">
        <f t="shared" si="0"/>
        <v>3.9695254747701178E-2</v>
      </c>
      <c r="C40" s="116">
        <f t="shared" si="1"/>
        <v>3.9695254747701178E-2</v>
      </c>
      <c r="D40" s="116">
        <f t="shared" si="2"/>
        <v>0.53982783727702899</v>
      </c>
      <c r="E40" s="116">
        <f t="shared" si="3"/>
        <v>0.53982783727702899</v>
      </c>
      <c r="F40">
        <f t="shared" si="4"/>
        <v>0.1</v>
      </c>
      <c r="G40" s="116">
        <f t="shared" si="5"/>
        <v>0.39695254747701181</v>
      </c>
      <c r="H40" s="116">
        <f t="shared" si="6"/>
        <v>0.53982783727702899</v>
      </c>
    </row>
    <row r="41" spans="1:8">
      <c r="A41">
        <v>172</v>
      </c>
      <c r="B41" s="116">
        <f t="shared" si="0"/>
        <v>3.9104269397545591E-2</v>
      </c>
      <c r="C41" s="116">
        <f t="shared" si="1"/>
        <v>3.9104269397545591E-2</v>
      </c>
      <c r="D41" s="116">
        <f t="shared" si="2"/>
        <v>0.57925970943910299</v>
      </c>
      <c r="E41" s="116">
        <f t="shared" si="3"/>
        <v>0.57925970943910299</v>
      </c>
      <c r="F41">
        <f t="shared" si="4"/>
        <v>0.2</v>
      </c>
      <c r="G41" s="116">
        <f t="shared" si="5"/>
        <v>0.39104269397545588</v>
      </c>
      <c r="H41" s="116">
        <f t="shared" si="6"/>
        <v>0.57925970943910299</v>
      </c>
    </row>
    <row r="42" spans="1:8">
      <c r="A42">
        <v>173</v>
      </c>
      <c r="B42" s="116">
        <f t="shared" si="0"/>
        <v>3.8138781546052408E-2</v>
      </c>
      <c r="C42" s="116">
        <f t="shared" si="1"/>
        <v>3.8138781546052408E-2</v>
      </c>
      <c r="D42" s="116">
        <f t="shared" si="2"/>
        <v>0.61791142218895267</v>
      </c>
      <c r="E42" s="116">
        <f t="shared" si="3"/>
        <v>0.61791142218895267</v>
      </c>
      <c r="F42">
        <f t="shared" si="4"/>
        <v>0.3</v>
      </c>
      <c r="G42" s="116">
        <f t="shared" si="5"/>
        <v>0.38138781546052414</v>
      </c>
      <c r="H42" s="116">
        <f t="shared" si="6"/>
        <v>0.61791142218895267</v>
      </c>
    </row>
    <row r="43" spans="1:8">
      <c r="A43">
        <v>174</v>
      </c>
      <c r="B43" s="116">
        <f t="shared" si="0"/>
        <v>3.6827014030332332E-2</v>
      </c>
      <c r="C43" s="116">
        <f t="shared" si="1"/>
        <v>3.6827014030332332E-2</v>
      </c>
      <c r="D43" s="116">
        <f t="shared" si="2"/>
        <v>0.65542174161032429</v>
      </c>
      <c r="E43" s="116">
        <f t="shared" si="3"/>
        <v>0.65542174161032429</v>
      </c>
      <c r="F43">
        <f t="shared" si="4"/>
        <v>0.4</v>
      </c>
      <c r="G43" s="116">
        <f t="shared" si="5"/>
        <v>0.36827014030332333</v>
      </c>
      <c r="H43" s="116">
        <f t="shared" si="6"/>
        <v>0.65542174161032429</v>
      </c>
    </row>
    <row r="44" spans="1:8">
      <c r="A44">
        <v>175</v>
      </c>
      <c r="B44" s="116">
        <f t="shared" si="0"/>
        <v>3.5206532676429952E-2</v>
      </c>
      <c r="C44" s="116">
        <f t="shared" si="1"/>
        <v>3.5206532676429952E-2</v>
      </c>
      <c r="D44" s="116">
        <f t="shared" si="2"/>
        <v>0.69146246127401312</v>
      </c>
      <c r="E44" s="116">
        <f t="shared" si="3"/>
        <v>0.69146246127401312</v>
      </c>
      <c r="F44">
        <f t="shared" si="4"/>
        <v>0.5</v>
      </c>
      <c r="G44" s="116">
        <f t="shared" si="5"/>
        <v>0.35206532676429952</v>
      </c>
      <c r="H44" s="116">
        <f t="shared" si="6"/>
        <v>0.69146246127401312</v>
      </c>
    </row>
    <row r="45" spans="1:8">
      <c r="A45">
        <v>176</v>
      </c>
      <c r="B45" s="116">
        <f t="shared" si="0"/>
        <v>3.3322460289179963E-2</v>
      </c>
      <c r="C45" s="116">
        <f t="shared" si="1"/>
        <v>3.3322460289179963E-2</v>
      </c>
      <c r="D45" s="116">
        <f t="shared" si="2"/>
        <v>0.72574688224992645</v>
      </c>
      <c r="E45" s="116">
        <f t="shared" si="3"/>
        <v>0.72574688224992645</v>
      </c>
      <c r="F45">
        <f t="shared" si="4"/>
        <v>0.6</v>
      </c>
      <c r="G45" s="116">
        <f t="shared" si="5"/>
        <v>0.33322460289179967</v>
      </c>
      <c r="H45" s="116">
        <f t="shared" si="6"/>
        <v>0.72574688224992645</v>
      </c>
    </row>
    <row r="46" spans="1:8">
      <c r="A46">
        <v>177</v>
      </c>
      <c r="B46" s="116">
        <f t="shared" si="0"/>
        <v>3.1225393336676129E-2</v>
      </c>
      <c r="C46" s="116">
        <f t="shared" si="1"/>
        <v>3.1225393336676129E-2</v>
      </c>
      <c r="D46" s="116">
        <f t="shared" si="2"/>
        <v>0.75803634777692697</v>
      </c>
      <c r="E46" s="116">
        <f t="shared" si="3"/>
        <v>0.75803634777692697</v>
      </c>
      <c r="F46">
        <f t="shared" si="4"/>
        <v>0.7</v>
      </c>
      <c r="G46" s="116">
        <f t="shared" si="5"/>
        <v>0.31225393336676127</v>
      </c>
      <c r="H46" s="116">
        <f t="shared" si="6"/>
        <v>0.75803634777692697</v>
      </c>
    </row>
    <row r="47" spans="1:8">
      <c r="A47">
        <v>178</v>
      </c>
      <c r="B47" s="116">
        <f t="shared" si="0"/>
        <v>2.8969155276148274E-2</v>
      </c>
      <c r="C47" s="116">
        <f t="shared" si="1"/>
        <v>2.8969155276148274E-2</v>
      </c>
      <c r="D47" s="116">
        <f t="shared" si="2"/>
        <v>0.78814460141660336</v>
      </c>
      <c r="E47" s="116">
        <f t="shared" si="3"/>
        <v>0.78814460141660336</v>
      </c>
      <c r="F47">
        <f t="shared" si="4"/>
        <v>0.8</v>
      </c>
      <c r="G47" s="116">
        <f t="shared" si="5"/>
        <v>0.28969155276148273</v>
      </c>
      <c r="H47" s="116">
        <f t="shared" si="6"/>
        <v>0.78814460141660336</v>
      </c>
    </row>
    <row r="48" spans="1:8">
      <c r="A48">
        <v>179</v>
      </c>
      <c r="B48" s="116">
        <f t="shared" si="0"/>
        <v>2.6608524989875482E-2</v>
      </c>
      <c r="C48" s="116">
        <f t="shared" si="1"/>
        <v>2.6608524989875482E-2</v>
      </c>
      <c r="D48" s="116">
        <f t="shared" si="2"/>
        <v>0.81593987465324047</v>
      </c>
      <c r="E48" s="116">
        <f t="shared" si="3"/>
        <v>0.81593987465324047</v>
      </c>
      <c r="F48">
        <f t="shared" si="4"/>
        <v>0.9</v>
      </c>
      <c r="G48" s="116">
        <f t="shared" si="5"/>
        <v>0.26608524989875482</v>
      </c>
      <c r="H48" s="116">
        <f t="shared" si="6"/>
        <v>0.81593987465324047</v>
      </c>
    </row>
    <row r="49" spans="1:8" ht="13">
      <c r="A49" s="23">
        <v>180</v>
      </c>
      <c r="B49" s="204">
        <f t="shared" si="0"/>
        <v>2.4197072451914336E-2</v>
      </c>
      <c r="C49" s="204">
        <f t="shared" si="1"/>
        <v>2.4197072451914336E-2</v>
      </c>
      <c r="D49" s="215">
        <f t="shared" si="2"/>
        <v>0.84134474606854304</v>
      </c>
      <c r="E49" s="215">
        <f t="shared" si="3"/>
        <v>0.84134474606854304</v>
      </c>
      <c r="F49" s="23">
        <f t="shared" si="4"/>
        <v>1</v>
      </c>
      <c r="G49" s="204">
        <f t="shared" si="5"/>
        <v>0.24197072451914337</v>
      </c>
      <c r="H49" s="204">
        <f t="shared" si="6"/>
        <v>0.84134474606854304</v>
      </c>
    </row>
    <row r="50" spans="1:8">
      <c r="A50">
        <v>181</v>
      </c>
      <c r="B50" s="116">
        <f t="shared" si="0"/>
        <v>2.1785217703255054E-2</v>
      </c>
      <c r="C50" s="116">
        <f t="shared" si="1"/>
        <v>2.1785217703255054E-2</v>
      </c>
      <c r="D50" s="116">
        <f t="shared" si="2"/>
        <v>0.86433393905361733</v>
      </c>
      <c r="E50" s="116">
        <f t="shared" si="3"/>
        <v>0.86433393905361733</v>
      </c>
      <c r="F50">
        <f t="shared" si="4"/>
        <v>1.1000000000000001</v>
      </c>
      <c r="G50" s="116">
        <f t="shared" si="5"/>
        <v>0.21785217703255053</v>
      </c>
      <c r="H50" s="116">
        <f t="shared" si="6"/>
        <v>0.86433393905361733</v>
      </c>
    </row>
    <row r="51" spans="1:8">
      <c r="A51">
        <v>182</v>
      </c>
      <c r="B51" s="116">
        <f t="shared" si="0"/>
        <v>1.9418605498321296E-2</v>
      </c>
      <c r="C51" s="116">
        <f t="shared" si="1"/>
        <v>1.9418605498321296E-2</v>
      </c>
      <c r="D51" s="116">
        <f t="shared" si="2"/>
        <v>0.88493032977829178</v>
      </c>
      <c r="E51" s="116">
        <f t="shared" si="3"/>
        <v>0.88493032977829178</v>
      </c>
      <c r="F51">
        <f t="shared" si="4"/>
        <v>1.2</v>
      </c>
      <c r="G51" s="116">
        <f t="shared" si="5"/>
        <v>0.19418605498321295</v>
      </c>
      <c r="H51" s="116">
        <f t="shared" si="6"/>
        <v>0.88493032977829178</v>
      </c>
    </row>
    <row r="52" spans="1:8">
      <c r="A52">
        <v>183</v>
      </c>
      <c r="B52" s="116">
        <f t="shared" si="0"/>
        <v>1.7136859204780735E-2</v>
      </c>
      <c r="C52" s="116">
        <f t="shared" si="1"/>
        <v>1.7136859204780735E-2</v>
      </c>
      <c r="D52" s="116">
        <f t="shared" si="2"/>
        <v>0.9031995154143897</v>
      </c>
      <c r="E52" s="116">
        <f t="shared" si="3"/>
        <v>0.9031995154143897</v>
      </c>
      <c r="F52">
        <f t="shared" si="4"/>
        <v>1.3</v>
      </c>
      <c r="G52" s="116">
        <f t="shared" si="5"/>
        <v>0.17136859204780736</v>
      </c>
      <c r="H52" s="116">
        <f t="shared" si="6"/>
        <v>0.9031995154143897</v>
      </c>
    </row>
    <row r="53" spans="1:8">
      <c r="A53">
        <v>184</v>
      </c>
      <c r="B53" s="116">
        <f t="shared" si="0"/>
        <v>1.4972746563574486E-2</v>
      </c>
      <c r="C53" s="116">
        <f t="shared" si="1"/>
        <v>1.4972746563574486E-2</v>
      </c>
      <c r="D53" s="116">
        <f t="shared" si="2"/>
        <v>0.91924334076622893</v>
      </c>
      <c r="E53" s="116">
        <f t="shared" si="3"/>
        <v>0.91924334076622893</v>
      </c>
      <c r="F53">
        <f t="shared" si="4"/>
        <v>1.4</v>
      </c>
      <c r="G53" s="116">
        <f t="shared" si="5"/>
        <v>0.14972746563574488</v>
      </c>
      <c r="H53" s="116">
        <f t="shared" si="6"/>
        <v>0.91924334076622893</v>
      </c>
    </row>
    <row r="54" spans="1:8">
      <c r="A54">
        <v>185</v>
      </c>
      <c r="B54" s="116">
        <f t="shared" si="0"/>
        <v>1.2951759566589173E-2</v>
      </c>
      <c r="C54" s="116">
        <f t="shared" si="1"/>
        <v>1.2951759566589173E-2</v>
      </c>
      <c r="D54" s="116">
        <f t="shared" si="2"/>
        <v>0.93319279873114191</v>
      </c>
      <c r="E54" s="116">
        <f t="shared" si="3"/>
        <v>0.93319279873114191</v>
      </c>
      <c r="F54">
        <f t="shared" si="4"/>
        <v>1.5</v>
      </c>
      <c r="G54" s="116">
        <f t="shared" si="5"/>
        <v>0.12951759566589174</v>
      </c>
      <c r="H54" s="116">
        <f t="shared" si="6"/>
        <v>0.93319279873114191</v>
      </c>
    </row>
    <row r="55" spans="1:8">
      <c r="A55">
        <v>186</v>
      </c>
      <c r="B55" s="116">
        <f t="shared" si="0"/>
        <v>1.1092083467945555E-2</v>
      </c>
      <c r="C55" s="116">
        <f t="shared" si="1"/>
        <v>1.1092083467945555E-2</v>
      </c>
      <c r="D55" s="116">
        <f t="shared" si="2"/>
        <v>0.94520070830044201</v>
      </c>
      <c r="E55" s="116">
        <f t="shared" si="3"/>
        <v>0.94520070830044201</v>
      </c>
      <c r="F55">
        <f t="shared" si="4"/>
        <v>1.6</v>
      </c>
      <c r="G55" s="116">
        <f t="shared" si="5"/>
        <v>0.11092083467945554</v>
      </c>
      <c r="H55" s="116">
        <f t="shared" si="6"/>
        <v>0.94520070830044201</v>
      </c>
    </row>
    <row r="56" spans="1:8">
      <c r="A56">
        <v>187</v>
      </c>
      <c r="B56" s="116">
        <f t="shared" si="0"/>
        <v>9.4049077376886937E-3</v>
      </c>
      <c r="C56" s="116">
        <f t="shared" si="1"/>
        <v>9.4049077376886937E-3</v>
      </c>
      <c r="D56" s="116">
        <f t="shared" si="2"/>
        <v>0.95543453724145699</v>
      </c>
      <c r="E56" s="116">
        <f t="shared" si="3"/>
        <v>0.95543453724145699</v>
      </c>
      <c r="F56">
        <f t="shared" si="4"/>
        <v>1.7</v>
      </c>
      <c r="G56" s="116">
        <f t="shared" si="5"/>
        <v>9.4049077376886947E-2</v>
      </c>
      <c r="H56" s="116">
        <f t="shared" si="6"/>
        <v>0.95543453724145699</v>
      </c>
    </row>
    <row r="57" spans="1:8">
      <c r="A57">
        <v>188</v>
      </c>
      <c r="B57" s="116">
        <f t="shared" si="0"/>
        <v>7.8950158300894139E-3</v>
      </c>
      <c r="C57" s="116">
        <f t="shared" si="1"/>
        <v>7.8950158300894139E-3</v>
      </c>
      <c r="D57" s="116">
        <f t="shared" si="2"/>
        <v>0.96406968088707423</v>
      </c>
      <c r="E57" s="116">
        <f t="shared" si="3"/>
        <v>0.96406968088707423</v>
      </c>
      <c r="F57">
        <f t="shared" si="4"/>
        <v>1.8</v>
      </c>
      <c r="G57" s="116">
        <f t="shared" si="5"/>
        <v>7.8950158300894149E-2</v>
      </c>
      <c r="H57" s="116">
        <f t="shared" si="6"/>
        <v>0.96406968088707423</v>
      </c>
    </row>
    <row r="58" spans="1:8">
      <c r="A58">
        <v>189</v>
      </c>
      <c r="B58" s="116">
        <f t="shared" si="0"/>
        <v>6.5615814774676604E-3</v>
      </c>
      <c r="C58" s="116">
        <f t="shared" si="1"/>
        <v>6.5615814774676604E-3</v>
      </c>
      <c r="D58" s="116">
        <f t="shared" si="2"/>
        <v>0.97128344018399815</v>
      </c>
      <c r="E58" s="116">
        <f t="shared" si="3"/>
        <v>0.97128344018399815</v>
      </c>
      <c r="F58">
        <f t="shared" si="4"/>
        <v>1.9</v>
      </c>
      <c r="G58" s="116">
        <f t="shared" si="5"/>
        <v>6.5615814774676595E-2</v>
      </c>
      <c r="H58" s="116">
        <f t="shared" si="6"/>
        <v>0.97128344018399815</v>
      </c>
    </row>
    <row r="59" spans="1:8" ht="13">
      <c r="A59" s="23">
        <v>190</v>
      </c>
      <c r="B59" s="204">
        <f t="shared" si="0"/>
        <v>5.3990966513188061E-3</v>
      </c>
      <c r="C59" s="204">
        <f t="shared" si="1"/>
        <v>5.3990966513188061E-3</v>
      </c>
      <c r="D59" s="215">
        <f t="shared" si="2"/>
        <v>0.97724986805182079</v>
      </c>
      <c r="E59" s="215">
        <f t="shared" si="3"/>
        <v>0.97724986805182079</v>
      </c>
      <c r="F59" s="23">
        <f t="shared" si="4"/>
        <v>2</v>
      </c>
      <c r="G59" s="204">
        <f t="shared" si="5"/>
        <v>5.3990966513188063E-2</v>
      </c>
      <c r="H59" s="204">
        <f t="shared" si="6"/>
        <v>0.97724986805182079</v>
      </c>
    </row>
    <row r="60" spans="1:8">
      <c r="A60">
        <v>191</v>
      </c>
      <c r="B60" s="116">
        <f t="shared" si="0"/>
        <v>4.3983595980427196E-3</v>
      </c>
      <c r="C60" s="116">
        <f t="shared" si="1"/>
        <v>4.3983595980427196E-3</v>
      </c>
      <c r="D60" s="116">
        <f t="shared" si="2"/>
        <v>0.98213557943718344</v>
      </c>
      <c r="E60" s="116">
        <f t="shared" si="3"/>
        <v>0.98213557943718344</v>
      </c>
      <c r="F60">
        <f t="shared" si="4"/>
        <v>2.1</v>
      </c>
      <c r="G60" s="116">
        <f t="shared" si="5"/>
        <v>4.3983595980427191E-2</v>
      </c>
      <c r="H60" s="116">
        <f t="shared" si="6"/>
        <v>0.98213557943718344</v>
      </c>
    </row>
    <row r="61" spans="1:8">
      <c r="A61">
        <v>192</v>
      </c>
      <c r="B61" s="116">
        <f t="shared" si="0"/>
        <v>3.5474592846231421E-3</v>
      </c>
      <c r="C61" s="116">
        <f t="shared" si="1"/>
        <v>3.5474592846231421E-3</v>
      </c>
      <c r="D61" s="116">
        <f t="shared" si="2"/>
        <v>0.98609655248650141</v>
      </c>
      <c r="E61" s="116">
        <f t="shared" si="3"/>
        <v>0.98609655248650141</v>
      </c>
      <c r="F61">
        <f t="shared" si="4"/>
        <v>2.2000000000000002</v>
      </c>
      <c r="G61" s="116">
        <f t="shared" si="5"/>
        <v>3.5474592846231424E-2</v>
      </c>
      <c r="H61" s="116">
        <f t="shared" si="6"/>
        <v>0.98609655248650141</v>
      </c>
    </row>
    <row r="62" spans="1:8">
      <c r="A62">
        <v>193</v>
      </c>
      <c r="B62" s="116">
        <f t="shared" si="0"/>
        <v>2.8327037741601186E-3</v>
      </c>
      <c r="C62" s="116">
        <f t="shared" si="1"/>
        <v>2.8327037741601186E-3</v>
      </c>
      <c r="D62" s="116">
        <f t="shared" si="2"/>
        <v>0.98927588997832416</v>
      </c>
      <c r="E62" s="116">
        <f t="shared" si="3"/>
        <v>0.98927588997832416</v>
      </c>
      <c r="F62">
        <f t="shared" si="4"/>
        <v>2.2999999999999998</v>
      </c>
      <c r="G62" s="116">
        <f t="shared" si="5"/>
        <v>2.8327037741601186E-2</v>
      </c>
      <c r="H62" s="116">
        <f t="shared" si="6"/>
        <v>0.98927588997832416</v>
      </c>
    </row>
    <row r="63" spans="1:8">
      <c r="A63">
        <v>194</v>
      </c>
      <c r="B63" s="116">
        <f t="shared" si="0"/>
        <v>2.2394530294842902E-3</v>
      </c>
      <c r="C63" s="116">
        <f t="shared" si="1"/>
        <v>2.2394530294842902E-3</v>
      </c>
      <c r="D63" s="116">
        <f t="shared" si="2"/>
        <v>0.99180246407540384</v>
      </c>
      <c r="E63" s="116">
        <f t="shared" si="3"/>
        <v>0.99180246407540384</v>
      </c>
      <c r="F63">
        <f t="shared" si="4"/>
        <v>2.4</v>
      </c>
      <c r="G63" s="116">
        <f t="shared" si="5"/>
        <v>2.2394530294842899E-2</v>
      </c>
      <c r="H63" s="116">
        <f t="shared" si="6"/>
        <v>0.99180246407540384</v>
      </c>
    </row>
    <row r="64" spans="1:8">
      <c r="A64">
        <v>195</v>
      </c>
      <c r="B64" s="116">
        <f t="shared" si="0"/>
        <v>1.752830049356854E-3</v>
      </c>
      <c r="C64" s="116">
        <f t="shared" si="1"/>
        <v>1.752830049356854E-3</v>
      </c>
      <c r="D64" s="116">
        <f t="shared" si="2"/>
        <v>0.99379033467422384</v>
      </c>
      <c r="E64" s="116">
        <f t="shared" si="3"/>
        <v>0.99379033467422384</v>
      </c>
      <c r="F64">
        <f t="shared" si="4"/>
        <v>2.5</v>
      </c>
      <c r="G64" s="116">
        <f t="shared" si="5"/>
        <v>1.752830049356854E-2</v>
      </c>
      <c r="H64" s="116">
        <f t="shared" si="6"/>
        <v>0.99379033467422384</v>
      </c>
    </row>
    <row r="65" spans="1:8">
      <c r="A65">
        <v>196</v>
      </c>
      <c r="B65" s="116">
        <f t="shared" si="0"/>
        <v>1.3582969233685612E-3</v>
      </c>
      <c r="C65" s="116">
        <f t="shared" si="1"/>
        <v>1.3582969233685612E-3</v>
      </c>
      <c r="D65" s="116">
        <f t="shared" si="2"/>
        <v>0.99533881197628127</v>
      </c>
      <c r="E65" s="116">
        <f t="shared" si="3"/>
        <v>0.99533881197628127</v>
      </c>
      <c r="F65">
        <f t="shared" si="4"/>
        <v>2.6</v>
      </c>
      <c r="G65" s="116">
        <f t="shared" si="5"/>
        <v>1.3582969233685613E-2</v>
      </c>
      <c r="H65" s="116">
        <f t="shared" si="6"/>
        <v>0.99533881197628127</v>
      </c>
    </row>
    <row r="66" spans="1:8">
      <c r="A66">
        <v>197</v>
      </c>
      <c r="B66" s="116">
        <f t="shared" si="0"/>
        <v>1.0420934814422591E-3</v>
      </c>
      <c r="C66" s="116">
        <f t="shared" si="1"/>
        <v>1.0420934814422591E-3</v>
      </c>
      <c r="D66" s="116">
        <f t="shared" si="2"/>
        <v>0.99653302619695938</v>
      </c>
      <c r="E66" s="116">
        <f t="shared" si="3"/>
        <v>0.99653302619695938</v>
      </c>
      <c r="F66">
        <f t="shared" si="4"/>
        <v>2.7</v>
      </c>
      <c r="G66" s="116">
        <f t="shared" si="5"/>
        <v>1.0420934814422592E-2</v>
      </c>
      <c r="H66" s="116">
        <f t="shared" si="6"/>
        <v>0.99653302619695938</v>
      </c>
    </row>
    <row r="67" spans="1:8">
      <c r="A67">
        <v>198</v>
      </c>
      <c r="B67" s="116">
        <f t="shared" si="0"/>
        <v>7.9154515829799694E-4</v>
      </c>
      <c r="C67" s="116">
        <f t="shared" si="1"/>
        <v>7.9154515829799694E-4</v>
      </c>
      <c r="D67" s="116">
        <f t="shared" si="2"/>
        <v>0.99744486966957202</v>
      </c>
      <c r="E67" s="116">
        <f t="shared" si="3"/>
        <v>0.99744486966957202</v>
      </c>
      <c r="F67">
        <f t="shared" si="4"/>
        <v>2.8</v>
      </c>
      <c r="G67" s="116">
        <f t="shared" si="5"/>
        <v>7.9154515829799686E-3</v>
      </c>
      <c r="H67" s="116">
        <f t="shared" si="6"/>
        <v>0.99744486966957202</v>
      </c>
    </row>
    <row r="68" spans="1:8">
      <c r="A68">
        <v>199</v>
      </c>
      <c r="B68" s="116">
        <f t="shared" ref="B68:B85" si="7">_xlfn.NORM.DIST(A68,170,10,0)</f>
        <v>5.9525324197758534E-4</v>
      </c>
      <c r="C68" s="116">
        <f t="shared" ref="C68:C85" si="8">_xlfn.NORM.DIST(A68,170,10,FALSE)</f>
        <v>5.9525324197758534E-4</v>
      </c>
      <c r="D68" s="116">
        <f t="shared" ref="D68:D85" si="9">_xlfn.NORM.DIST(A68,170,10,1)</f>
        <v>0.99813418669961596</v>
      </c>
      <c r="E68" s="116">
        <f t="shared" ref="E68:E85" si="10">_xlfn.NORM.DIST(A68,170,10,TRUE)</f>
        <v>0.99813418669961596</v>
      </c>
      <c r="F68">
        <f t="shared" ref="F68:F85" si="11">(A68-170)/10</f>
        <v>2.9</v>
      </c>
      <c r="G68" s="116">
        <f t="shared" ref="G68:G85" si="12">_xlfn.NORM.S.DIST(F68,0)</f>
        <v>5.9525324197758538E-3</v>
      </c>
      <c r="H68" s="116">
        <f t="shared" ref="H68:H85" si="13">_xlfn.NORM.S.DIST(F68,1)</f>
        <v>0.99813418669961596</v>
      </c>
    </row>
    <row r="69" spans="1:8" ht="13">
      <c r="A69" s="23">
        <v>200</v>
      </c>
      <c r="B69" s="204">
        <f t="shared" si="7"/>
        <v>4.4318484119380076E-4</v>
      </c>
      <c r="C69" s="204">
        <f t="shared" si="8"/>
        <v>4.4318484119380076E-4</v>
      </c>
      <c r="D69" s="215">
        <f t="shared" si="9"/>
        <v>0.9986501019683699</v>
      </c>
      <c r="E69" s="215">
        <f t="shared" si="10"/>
        <v>0.9986501019683699</v>
      </c>
      <c r="F69" s="23">
        <f t="shared" si="11"/>
        <v>3</v>
      </c>
      <c r="G69" s="204">
        <f t="shared" si="12"/>
        <v>4.4318484119380075E-3</v>
      </c>
      <c r="H69" s="204">
        <f t="shared" si="13"/>
        <v>0.9986501019683699</v>
      </c>
    </row>
    <row r="70" spans="1:8">
      <c r="A70">
        <v>201</v>
      </c>
      <c r="B70" s="116">
        <f t="shared" si="7"/>
        <v>3.2668190561999186E-4</v>
      </c>
      <c r="C70" s="116">
        <f t="shared" si="8"/>
        <v>3.2668190561999186E-4</v>
      </c>
      <c r="D70" s="116">
        <f t="shared" si="9"/>
        <v>0.99903239678678168</v>
      </c>
      <c r="E70" s="116">
        <f t="shared" si="10"/>
        <v>0.99903239678678168</v>
      </c>
      <c r="F70">
        <f t="shared" si="11"/>
        <v>3.1</v>
      </c>
      <c r="G70" s="116">
        <f t="shared" si="12"/>
        <v>3.2668190561999182E-3</v>
      </c>
      <c r="H70" s="116">
        <f t="shared" si="13"/>
        <v>0.99903239678678168</v>
      </c>
    </row>
    <row r="71" spans="1:8">
      <c r="A71">
        <v>202</v>
      </c>
      <c r="B71" s="116">
        <f t="shared" si="7"/>
        <v>2.3840882014648405E-4</v>
      </c>
      <c r="C71" s="116">
        <f t="shared" si="8"/>
        <v>2.3840882014648405E-4</v>
      </c>
      <c r="D71" s="116">
        <f t="shared" si="9"/>
        <v>0.99931286206208414</v>
      </c>
      <c r="E71" s="116">
        <f t="shared" si="10"/>
        <v>0.99931286206208414</v>
      </c>
      <c r="F71">
        <f t="shared" si="11"/>
        <v>3.2</v>
      </c>
      <c r="G71" s="116">
        <f t="shared" si="12"/>
        <v>2.3840882014648404E-3</v>
      </c>
      <c r="H71" s="116">
        <f t="shared" si="13"/>
        <v>0.99931286206208414</v>
      </c>
    </row>
    <row r="72" spans="1:8">
      <c r="A72">
        <v>203</v>
      </c>
      <c r="B72" s="116">
        <f t="shared" si="7"/>
        <v>1.722568939053681E-4</v>
      </c>
      <c r="C72" s="116">
        <f t="shared" si="8"/>
        <v>1.722568939053681E-4</v>
      </c>
      <c r="D72" s="116">
        <f t="shared" si="9"/>
        <v>0.99951657585761622</v>
      </c>
      <c r="E72" s="116">
        <f t="shared" si="10"/>
        <v>0.99951657585761622</v>
      </c>
      <c r="F72">
        <f t="shared" si="11"/>
        <v>3.3</v>
      </c>
      <c r="G72" s="116">
        <f t="shared" si="12"/>
        <v>1.7225689390536812E-3</v>
      </c>
      <c r="H72" s="116">
        <f t="shared" si="13"/>
        <v>0.99951657585761622</v>
      </c>
    </row>
    <row r="73" spans="1:8">
      <c r="A73">
        <v>204</v>
      </c>
      <c r="B73" s="116">
        <f t="shared" si="7"/>
        <v>1.2322191684730198E-4</v>
      </c>
      <c r="C73" s="116">
        <f t="shared" si="8"/>
        <v>1.2322191684730198E-4</v>
      </c>
      <c r="D73" s="116">
        <f t="shared" si="9"/>
        <v>0.99966307073432314</v>
      </c>
      <c r="E73" s="116">
        <f t="shared" si="10"/>
        <v>0.99966307073432314</v>
      </c>
      <c r="F73">
        <f t="shared" si="11"/>
        <v>3.4</v>
      </c>
      <c r="G73" s="116">
        <f t="shared" si="12"/>
        <v>1.2322191684730199E-3</v>
      </c>
      <c r="H73" s="116">
        <f t="shared" si="13"/>
        <v>0.99966307073432314</v>
      </c>
    </row>
    <row r="74" spans="1:8">
      <c r="A74">
        <v>205</v>
      </c>
      <c r="B74" s="116">
        <f t="shared" si="7"/>
        <v>8.726826950457601E-5</v>
      </c>
      <c r="C74" s="116">
        <f t="shared" si="8"/>
        <v>8.726826950457601E-5</v>
      </c>
      <c r="D74" s="116">
        <f t="shared" si="9"/>
        <v>0.99976737092096446</v>
      </c>
      <c r="E74" s="116">
        <f t="shared" si="10"/>
        <v>0.99976737092096446</v>
      </c>
      <c r="F74">
        <f t="shared" si="11"/>
        <v>3.5</v>
      </c>
      <c r="G74" s="116">
        <f t="shared" si="12"/>
        <v>8.7268269504576015E-4</v>
      </c>
      <c r="H74" s="116">
        <f t="shared" si="13"/>
        <v>0.99976737092096446</v>
      </c>
    </row>
    <row r="75" spans="1:8">
      <c r="A75">
        <v>206</v>
      </c>
      <c r="B75" s="116">
        <f t="shared" si="7"/>
        <v>6.1190193011377187E-5</v>
      </c>
      <c r="C75" s="116">
        <f t="shared" si="8"/>
        <v>6.1190193011377187E-5</v>
      </c>
      <c r="D75" s="116">
        <f t="shared" si="9"/>
        <v>0.99984089140984245</v>
      </c>
      <c r="E75" s="116">
        <f t="shared" si="10"/>
        <v>0.99984089140984245</v>
      </c>
      <c r="F75">
        <f t="shared" si="11"/>
        <v>3.6</v>
      </c>
      <c r="G75" s="116">
        <f t="shared" si="12"/>
        <v>6.119019301137719E-4</v>
      </c>
      <c r="H75" s="116">
        <f t="shared" si="13"/>
        <v>0.99984089140984245</v>
      </c>
    </row>
    <row r="76" spans="1:8">
      <c r="A76">
        <v>207</v>
      </c>
      <c r="B76" s="116">
        <f t="shared" si="7"/>
        <v>4.2478027055075142E-5</v>
      </c>
      <c r="C76" s="116">
        <f t="shared" si="8"/>
        <v>4.2478027055075142E-5</v>
      </c>
      <c r="D76" s="116">
        <f t="shared" si="9"/>
        <v>0.99989220026652259</v>
      </c>
      <c r="E76" s="116">
        <f t="shared" si="10"/>
        <v>0.99989220026652259</v>
      </c>
      <c r="F76">
        <f t="shared" si="11"/>
        <v>3.7</v>
      </c>
      <c r="G76" s="116">
        <f t="shared" si="12"/>
        <v>4.2478027055075143E-4</v>
      </c>
      <c r="H76" s="116">
        <f t="shared" si="13"/>
        <v>0.99989220026652259</v>
      </c>
    </row>
    <row r="77" spans="1:8">
      <c r="A77">
        <v>208</v>
      </c>
      <c r="B77" s="116">
        <f t="shared" si="7"/>
        <v>2.9194692579146026E-5</v>
      </c>
      <c r="C77" s="116">
        <f t="shared" si="8"/>
        <v>2.9194692579146026E-5</v>
      </c>
      <c r="D77" s="116">
        <f t="shared" si="9"/>
        <v>0.99992765195607491</v>
      </c>
      <c r="E77" s="116">
        <f t="shared" si="10"/>
        <v>0.99992765195607491</v>
      </c>
      <c r="F77">
        <f t="shared" si="11"/>
        <v>3.8</v>
      </c>
      <c r="G77" s="116">
        <f t="shared" si="12"/>
        <v>2.9194692579146027E-4</v>
      </c>
      <c r="H77" s="116">
        <f t="shared" si="13"/>
        <v>0.99992765195607491</v>
      </c>
    </row>
    <row r="78" spans="1:8">
      <c r="A78">
        <v>209</v>
      </c>
      <c r="B78" s="116">
        <f t="shared" si="7"/>
        <v>1.9865547139277272E-5</v>
      </c>
      <c r="C78" s="116">
        <f t="shared" si="8"/>
        <v>1.9865547139277272E-5</v>
      </c>
      <c r="D78" s="116">
        <f t="shared" si="9"/>
        <v>0.99995190365598241</v>
      </c>
      <c r="E78" s="116">
        <f t="shared" si="10"/>
        <v>0.99995190365598241</v>
      </c>
      <c r="F78">
        <f t="shared" si="11"/>
        <v>3.9</v>
      </c>
      <c r="G78" s="116">
        <f t="shared" si="12"/>
        <v>1.9865547139277272E-4</v>
      </c>
      <c r="H78" s="116">
        <f t="shared" si="13"/>
        <v>0.99995190365598241</v>
      </c>
    </row>
    <row r="79" spans="1:8">
      <c r="A79">
        <v>210</v>
      </c>
      <c r="B79" s="116">
        <f t="shared" si="7"/>
        <v>1.3383022576488536E-5</v>
      </c>
      <c r="C79" s="116">
        <f t="shared" si="8"/>
        <v>1.3383022576488536E-5</v>
      </c>
      <c r="D79" s="116">
        <f t="shared" si="9"/>
        <v>0.99996832875816688</v>
      </c>
      <c r="E79" s="116">
        <f t="shared" si="10"/>
        <v>0.99996832875816688</v>
      </c>
      <c r="F79">
        <f t="shared" si="11"/>
        <v>4</v>
      </c>
      <c r="G79" s="116">
        <f t="shared" si="12"/>
        <v>1.3383022576488537E-4</v>
      </c>
      <c r="H79" s="116">
        <f t="shared" si="13"/>
        <v>0.99996832875816688</v>
      </c>
    </row>
    <row r="80" spans="1:8">
      <c r="A80">
        <v>211</v>
      </c>
      <c r="B80" s="116">
        <f t="shared" si="7"/>
        <v>8.9261657177132918E-6</v>
      </c>
      <c r="C80" s="116">
        <f t="shared" si="8"/>
        <v>8.9261657177132918E-6</v>
      </c>
      <c r="D80" s="116">
        <f t="shared" si="9"/>
        <v>0.99997934249308751</v>
      </c>
      <c r="E80" s="116">
        <f t="shared" si="10"/>
        <v>0.99997934249308751</v>
      </c>
      <c r="F80">
        <f t="shared" si="11"/>
        <v>4.0999999999999996</v>
      </c>
      <c r="G80" s="116">
        <f t="shared" si="12"/>
        <v>8.9261657177132928E-5</v>
      </c>
      <c r="H80" s="116">
        <f t="shared" si="13"/>
        <v>0.99997934249308751</v>
      </c>
    </row>
    <row r="81" spans="1:8">
      <c r="A81">
        <v>212</v>
      </c>
      <c r="B81" s="116">
        <f t="shared" si="7"/>
        <v>5.8943067756539858E-6</v>
      </c>
      <c r="C81" s="116">
        <f t="shared" si="8"/>
        <v>5.8943067756539858E-6</v>
      </c>
      <c r="D81" s="116">
        <f t="shared" si="9"/>
        <v>0.9999866542509841</v>
      </c>
      <c r="E81" s="116">
        <f t="shared" si="10"/>
        <v>0.9999866542509841</v>
      </c>
      <c r="F81">
        <f t="shared" si="11"/>
        <v>4.2</v>
      </c>
      <c r="G81" s="116">
        <f t="shared" si="12"/>
        <v>5.8943067756539855E-5</v>
      </c>
      <c r="H81" s="116">
        <f t="shared" si="13"/>
        <v>0.9999866542509841</v>
      </c>
    </row>
    <row r="82" spans="1:8">
      <c r="A82">
        <v>213</v>
      </c>
      <c r="B82" s="116">
        <f t="shared" si="7"/>
        <v>3.8535196742087128E-6</v>
      </c>
      <c r="C82" s="116">
        <f t="shared" si="8"/>
        <v>3.8535196742087128E-6</v>
      </c>
      <c r="D82" s="116">
        <f t="shared" si="9"/>
        <v>0.99999146009452899</v>
      </c>
      <c r="E82" s="116">
        <f t="shared" si="10"/>
        <v>0.99999146009452899</v>
      </c>
      <c r="F82">
        <f t="shared" si="11"/>
        <v>4.3</v>
      </c>
      <c r="G82" s="116">
        <f t="shared" si="12"/>
        <v>3.8535196742087129E-5</v>
      </c>
      <c r="H82" s="116">
        <f t="shared" si="13"/>
        <v>0.99999146009452899</v>
      </c>
    </row>
    <row r="83" spans="1:8">
      <c r="A83">
        <v>214</v>
      </c>
      <c r="B83" s="116">
        <f t="shared" si="7"/>
        <v>2.4942471290053532E-6</v>
      </c>
      <c r="C83" s="116">
        <f t="shared" si="8"/>
        <v>2.4942471290053532E-6</v>
      </c>
      <c r="D83" s="116">
        <f t="shared" si="9"/>
        <v>0.99999458745609227</v>
      </c>
      <c r="E83" s="116">
        <f t="shared" si="10"/>
        <v>0.99999458745609227</v>
      </c>
      <c r="F83">
        <f t="shared" si="11"/>
        <v>4.4000000000000004</v>
      </c>
      <c r="G83" s="116">
        <f t="shared" si="12"/>
        <v>2.4942471290053535E-5</v>
      </c>
      <c r="H83" s="116">
        <f t="shared" si="13"/>
        <v>0.99999458745609227</v>
      </c>
    </row>
    <row r="84" spans="1:8">
      <c r="A84">
        <v>215</v>
      </c>
      <c r="B84" s="116">
        <f t="shared" si="7"/>
        <v>1.5983741106905478E-6</v>
      </c>
      <c r="C84" s="116">
        <f t="shared" si="8"/>
        <v>1.5983741106905478E-6</v>
      </c>
      <c r="D84" s="116">
        <f t="shared" si="9"/>
        <v>0.99999660232687526</v>
      </c>
      <c r="E84" s="116">
        <f t="shared" si="10"/>
        <v>0.99999660232687526</v>
      </c>
      <c r="F84">
        <f t="shared" si="11"/>
        <v>4.5</v>
      </c>
      <c r="G84" s="116">
        <f t="shared" si="12"/>
        <v>1.5983741106905475E-5</v>
      </c>
      <c r="H84" s="116">
        <f t="shared" si="13"/>
        <v>0.99999660232687526</v>
      </c>
    </row>
    <row r="85" spans="1:8">
      <c r="A85">
        <v>216</v>
      </c>
      <c r="B85" s="116">
        <f t="shared" si="7"/>
        <v>1.014085206548676E-6</v>
      </c>
      <c r="C85" s="116">
        <f t="shared" si="8"/>
        <v>1.014085206548676E-6</v>
      </c>
      <c r="D85" s="116">
        <f t="shared" si="9"/>
        <v>0.9999978875452975</v>
      </c>
      <c r="E85" s="116">
        <f t="shared" si="10"/>
        <v>0.9999978875452975</v>
      </c>
      <c r="F85">
        <f t="shared" si="11"/>
        <v>4.5999999999999996</v>
      </c>
      <c r="G85" s="116">
        <f t="shared" si="12"/>
        <v>1.0140852065486758E-5</v>
      </c>
      <c r="H85" s="116">
        <f t="shared" si="13"/>
        <v>0.9999978875452975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7381-0824-4ACC-BF2C-11B3241ED611}">
  <sheetPr>
    <tabColor rgb="FF0070C0"/>
  </sheetPr>
  <dimension ref="A1:K81"/>
  <sheetViews>
    <sheetView workbookViewId="0">
      <selection activeCell="D12" sqref="D12"/>
    </sheetView>
  </sheetViews>
  <sheetFormatPr defaultRowHeight="12.5"/>
  <cols>
    <col min="1" max="1" width="10.90625" customWidth="1"/>
    <col min="2" max="2" width="14.90625" bestFit="1" customWidth="1"/>
    <col min="3" max="3" width="15.90625" customWidth="1"/>
    <col min="4" max="4" width="19.90625" bestFit="1" customWidth="1"/>
    <col min="5" max="5" width="11.54296875" bestFit="1" customWidth="1"/>
    <col min="6" max="6" width="17.90625" customWidth="1"/>
    <col min="7" max="11" width="20.90625" customWidth="1"/>
  </cols>
  <sheetData>
    <row r="1" spans="1:8">
      <c r="A1" t="s">
        <v>207</v>
      </c>
    </row>
    <row r="2" spans="1:8">
      <c r="A2" t="s">
        <v>208</v>
      </c>
      <c r="B2">
        <v>0.5</v>
      </c>
    </row>
    <row r="3" spans="1:8">
      <c r="A3" t="s">
        <v>54</v>
      </c>
      <c r="B3">
        <v>3</v>
      </c>
    </row>
    <row r="5" spans="1:8">
      <c r="A5" t="s">
        <v>106</v>
      </c>
      <c r="B5" s="20" t="s">
        <v>209</v>
      </c>
      <c r="C5" s="20" t="s">
        <v>210</v>
      </c>
      <c r="D5" s="20" t="s">
        <v>184</v>
      </c>
      <c r="E5" s="20" t="s">
        <v>211</v>
      </c>
      <c r="F5" t="s">
        <v>212</v>
      </c>
      <c r="G5" s="22" t="s">
        <v>213</v>
      </c>
      <c r="H5" s="22" t="s">
        <v>214</v>
      </c>
    </row>
    <row r="6" spans="1:8">
      <c r="A6">
        <v>0</v>
      </c>
      <c r="B6">
        <f>_xlfn.BINOM.DIST(A6,3,0.5,0)</f>
        <v>0.12500000000000003</v>
      </c>
      <c r="C6">
        <f>_xlfn.BINOM.DIST(A6,$B$3,$B$2,FALSE)</f>
        <v>0.12500000000000003</v>
      </c>
      <c r="D6">
        <f>_xlfn.BINOM.DIST(A6,$B$3,$B$2,1)</f>
        <v>0.12500000000000003</v>
      </c>
      <c r="E6">
        <f>BINOMDIST(A6,$B$3,$B$2,1)</f>
        <v>0.12500000000000003</v>
      </c>
      <c r="F6">
        <f>B6</f>
        <v>0.12500000000000003</v>
      </c>
      <c r="G6">
        <f>Tabuľka8[[#This Row],[xi]]*Tabuľka8[[#This Row],[pi = BI(0,5; 3)]]</f>
        <v>0</v>
      </c>
      <c r="H6">
        <f>Tabuľka8[[#This Row],[xi]]*Tabuľka8[[#This Row],[xi*pi]]</f>
        <v>0</v>
      </c>
    </row>
    <row r="7" spans="1:8" ht="13">
      <c r="A7">
        <v>1</v>
      </c>
      <c r="B7" s="23">
        <f t="shared" ref="B7:B9" si="0">_xlfn.BINOM.DIST(A7,3,0.5,0)</f>
        <v>0.375</v>
      </c>
      <c r="C7">
        <f t="shared" ref="C7:C9" si="1">_xlfn.BINOM.DIST(A7,$B$3,$B$2,FALSE)</f>
        <v>0.375</v>
      </c>
      <c r="D7" s="194">
        <f t="shared" ref="D7:D9" si="2">_xlfn.BINOM.DIST(A7,$B$3,$B$2,1)</f>
        <v>0.5</v>
      </c>
      <c r="E7">
        <f t="shared" ref="E7:E9" si="3">BINOMDIST(A7,$B$3,$B$2,1)</f>
        <v>0.5</v>
      </c>
      <c r="F7">
        <f>B7+F6</f>
        <v>0.5</v>
      </c>
      <c r="G7">
        <f>Tabuľka8[[#This Row],[xi]]*Tabuľka8[[#This Row],[pi = BI(0,5; 3)]]</f>
        <v>0.375</v>
      </c>
      <c r="H7">
        <f>Tabuľka8[[#This Row],[xi]]*Tabuľka8[[#This Row],[xi*pi]]</f>
        <v>0.375</v>
      </c>
    </row>
    <row r="8" spans="1:8" ht="13">
      <c r="A8">
        <v>2</v>
      </c>
      <c r="B8">
        <f t="shared" si="0"/>
        <v>0.375</v>
      </c>
      <c r="C8">
        <f t="shared" si="1"/>
        <v>0.375</v>
      </c>
      <c r="D8" s="144">
        <f t="shared" si="2"/>
        <v>0.875</v>
      </c>
      <c r="E8">
        <f t="shared" si="3"/>
        <v>0.875</v>
      </c>
      <c r="F8">
        <f t="shared" ref="F8:F9" si="4">B8+F7</f>
        <v>0.875</v>
      </c>
      <c r="G8">
        <f>Tabuľka8[[#This Row],[xi]]*Tabuľka8[[#This Row],[pi = BI(0,5; 3)]]</f>
        <v>0.75</v>
      </c>
      <c r="H8">
        <f>Tabuľka8[[#This Row],[xi]]*Tabuľka8[[#This Row],[xi*pi]]</f>
        <v>1.5</v>
      </c>
    </row>
    <row r="9" spans="1:8" ht="13">
      <c r="A9">
        <v>3</v>
      </c>
      <c r="B9" s="193">
        <f t="shared" si="0"/>
        <v>0.12500000000000003</v>
      </c>
      <c r="C9">
        <f t="shared" si="1"/>
        <v>0.12500000000000003</v>
      </c>
      <c r="D9">
        <f t="shared" si="2"/>
        <v>1</v>
      </c>
      <c r="E9">
        <f t="shared" si="3"/>
        <v>1</v>
      </c>
      <c r="F9">
        <f t="shared" si="4"/>
        <v>1</v>
      </c>
      <c r="G9">
        <f>Tabuľka8[[#This Row],[xi]]*Tabuľka8[[#This Row],[pi = BI(0,5; 3)]]</f>
        <v>0.37500000000000011</v>
      </c>
      <c r="H9">
        <f>Tabuľka8[[#This Row],[xi]]*Tabuľka8[[#This Row],[xi*pi]]</f>
        <v>1.1250000000000004</v>
      </c>
    </row>
    <row r="10" spans="1:8" ht="13">
      <c r="B10">
        <f>SUBTOTAL(109,Tabuľka8[pi = BI(0,5; 3)])</f>
        <v>1</v>
      </c>
      <c r="C10">
        <f>SUBTOTAL(109,Tabuľka8[pi = BI(0,5; 3)2])</f>
        <v>1</v>
      </c>
      <c r="D10" s="20" t="s">
        <v>215</v>
      </c>
      <c r="E10" s="20" t="s">
        <v>215</v>
      </c>
      <c r="F10" s="20" t="s">
        <v>215</v>
      </c>
      <c r="G10" s="128">
        <f>SUBTOTAL(109,Tabuľka8[xi*pi])</f>
        <v>1.5</v>
      </c>
      <c r="H10" s="20">
        <f>SUBTOTAL(109,Tabuľka8[xi^2*pi])</f>
        <v>3.0000000000000004</v>
      </c>
    </row>
    <row r="11" spans="1:8" ht="13">
      <c r="A11" s="197" t="s">
        <v>216</v>
      </c>
      <c r="B11" s="196">
        <f>Tabuľka8[[#Totals],[xi*pi]]</f>
        <v>1.5</v>
      </c>
    </row>
    <row r="12" spans="1:8" ht="15">
      <c r="A12" s="199" t="s">
        <v>217</v>
      </c>
      <c r="B12" s="198">
        <f>H12</f>
        <v>0.75000000000000044</v>
      </c>
      <c r="H12" s="198">
        <f>Tabuľka8[[#Totals],[xi^2*pi]]-Tabuľka8[[#Totals],[xi*pi]]^2</f>
        <v>0.75000000000000044</v>
      </c>
    </row>
    <row r="13" spans="1:8" ht="15">
      <c r="A13" s="201" t="s">
        <v>218</v>
      </c>
      <c r="B13" s="200">
        <f>H13</f>
        <v>0.86602540378443893</v>
      </c>
      <c r="H13" s="200">
        <f>SQRT(H12)</f>
        <v>0.86602540378443893</v>
      </c>
    </row>
    <row r="15" spans="1:8" ht="13">
      <c r="A15" s="22" t="s">
        <v>219</v>
      </c>
      <c r="B15" s="23">
        <f>B7</f>
        <v>0.375</v>
      </c>
      <c r="C15" s="22" t="s">
        <v>220</v>
      </c>
      <c r="D15" s="22" t="s">
        <v>221</v>
      </c>
    </row>
    <row r="16" spans="1:8" ht="13">
      <c r="A16" s="22" t="s">
        <v>222</v>
      </c>
      <c r="B16" s="193">
        <f>B9</f>
        <v>0.12500000000000003</v>
      </c>
      <c r="C16" s="22" t="s">
        <v>223</v>
      </c>
      <c r="D16" s="22" t="s">
        <v>224</v>
      </c>
    </row>
    <row r="17" spans="1:5">
      <c r="A17" s="22" t="s">
        <v>225</v>
      </c>
      <c r="B17">
        <f>B6</f>
        <v>0.12500000000000003</v>
      </c>
      <c r="C17" s="22" t="s">
        <v>226</v>
      </c>
      <c r="D17" s="22" t="s">
        <v>227</v>
      </c>
      <c r="E17" s="22" t="s">
        <v>228</v>
      </c>
    </row>
    <row r="18" spans="1:5" ht="13">
      <c r="A18" s="22" t="s">
        <v>229</v>
      </c>
      <c r="B18" s="194">
        <f>D7</f>
        <v>0.5</v>
      </c>
      <c r="C18" s="22" t="s">
        <v>230</v>
      </c>
      <c r="D18" s="22" t="s">
        <v>231</v>
      </c>
      <c r="E18" s="22" t="s">
        <v>232</v>
      </c>
    </row>
    <row r="19" spans="1:5">
      <c r="A19" s="22" t="s">
        <v>233</v>
      </c>
      <c r="B19">
        <f>1-B18</f>
        <v>0.5</v>
      </c>
      <c r="C19" s="22" t="s">
        <v>234</v>
      </c>
      <c r="D19" s="22" t="s">
        <v>235</v>
      </c>
      <c r="E19" s="22" t="s">
        <v>236</v>
      </c>
    </row>
    <row r="21" spans="1:5" ht="13">
      <c r="A21" s="22" t="s">
        <v>237</v>
      </c>
      <c r="B21" s="144">
        <f>D8</f>
        <v>0.875</v>
      </c>
      <c r="C21" s="22" t="s">
        <v>238</v>
      </c>
      <c r="D21" s="22" t="s">
        <v>239</v>
      </c>
      <c r="E21" s="22" t="s">
        <v>240</v>
      </c>
    </row>
    <row r="41" spans="1:8">
      <c r="A41" s="22" t="s">
        <v>241</v>
      </c>
    </row>
    <row r="42" spans="1:8">
      <c r="A42" t="s">
        <v>208</v>
      </c>
      <c r="B42">
        <v>0.51</v>
      </c>
    </row>
    <row r="43" spans="1:8">
      <c r="A43" t="s">
        <v>54</v>
      </c>
      <c r="B43">
        <v>3</v>
      </c>
    </row>
    <row r="45" spans="1:8">
      <c r="A45" t="s">
        <v>106</v>
      </c>
      <c r="B45" s="19" t="s">
        <v>242</v>
      </c>
      <c r="C45" s="19" t="s">
        <v>243</v>
      </c>
      <c r="D45" s="20" t="s">
        <v>184</v>
      </c>
      <c r="E45" s="20" t="s">
        <v>211</v>
      </c>
      <c r="F45" t="s">
        <v>212</v>
      </c>
      <c r="G45" s="22" t="s">
        <v>213</v>
      </c>
      <c r="H45" s="22" t="s">
        <v>214</v>
      </c>
    </row>
    <row r="46" spans="1:8">
      <c r="A46">
        <v>0</v>
      </c>
      <c r="B46">
        <f t="shared" ref="B46:B49" si="5">_xlfn.BINOM.DIST(A46,3,0.51,0)</f>
        <v>0.117649</v>
      </c>
      <c r="C46">
        <f t="shared" ref="C46:C49" si="6">_xlfn.BINOM.DIST(A46,$B$43,$B$42,FALSE)</f>
        <v>0.117649</v>
      </c>
      <c r="D46">
        <f t="shared" ref="D46:D49" si="7">_xlfn.BINOM.DIST(A46,$B$43,$B$42,1)</f>
        <v>0.117649</v>
      </c>
      <c r="E46">
        <f t="shared" ref="E46:E49" si="8">BINOMDIST(A46,$B$43,$B$42,1)</f>
        <v>0.117649</v>
      </c>
      <c r="F46">
        <f>B46</f>
        <v>0.117649</v>
      </c>
      <c r="G46">
        <f>Tabuľka810[[#This Row],[xi]]*Tabuľka810[[#This Row],[pi = BI(0,51; 3)]]</f>
        <v>0</v>
      </c>
      <c r="H46">
        <f>Tabuľka810[[#This Row],[xi]]*Tabuľka810[[#This Row],[xi*pi]]</f>
        <v>0</v>
      </c>
    </row>
    <row r="47" spans="1:8" ht="13">
      <c r="A47">
        <v>1</v>
      </c>
      <c r="B47" s="23">
        <f t="shared" si="5"/>
        <v>0.36735299999999999</v>
      </c>
      <c r="C47">
        <f t="shared" si="6"/>
        <v>0.36735299999999999</v>
      </c>
      <c r="D47" s="194">
        <f t="shared" si="7"/>
        <v>0.48500199999999999</v>
      </c>
      <c r="E47">
        <f t="shared" si="8"/>
        <v>0.48500199999999999</v>
      </c>
      <c r="F47">
        <f>B47+F46</f>
        <v>0.48500199999999999</v>
      </c>
      <c r="G47">
        <f>Tabuľka810[[#This Row],[xi]]*Tabuľka810[[#This Row],[pi = BI(0,51; 3)]]</f>
        <v>0.36735299999999999</v>
      </c>
      <c r="H47">
        <f>Tabuľka810[[#This Row],[xi]]*Tabuľka810[[#This Row],[xi*pi]]</f>
        <v>0.36735299999999999</v>
      </c>
    </row>
    <row r="48" spans="1:8" ht="13">
      <c r="A48">
        <v>2</v>
      </c>
      <c r="B48">
        <f t="shared" si="5"/>
        <v>0.38234700000000005</v>
      </c>
      <c r="C48">
        <f t="shared" si="6"/>
        <v>0.38234700000000005</v>
      </c>
      <c r="D48" s="144">
        <f t="shared" si="7"/>
        <v>0.86734900000000004</v>
      </c>
      <c r="E48">
        <f t="shared" si="8"/>
        <v>0.86734900000000004</v>
      </c>
      <c r="F48">
        <f t="shared" ref="F48:F49" si="9">B48+F47</f>
        <v>0.86734900000000004</v>
      </c>
      <c r="G48">
        <f>Tabuľka810[[#This Row],[xi]]*Tabuľka810[[#This Row],[pi = BI(0,51; 3)]]</f>
        <v>0.7646940000000001</v>
      </c>
      <c r="H48">
        <f>Tabuľka810[[#This Row],[xi]]*Tabuľka810[[#This Row],[xi*pi]]</f>
        <v>1.5293880000000002</v>
      </c>
    </row>
    <row r="49" spans="1:8" ht="13">
      <c r="A49">
        <v>3</v>
      </c>
      <c r="B49" s="193">
        <f t="shared" si="5"/>
        <v>0.13265099999999999</v>
      </c>
      <c r="C49">
        <f t="shared" si="6"/>
        <v>0.13265099999999999</v>
      </c>
      <c r="D49">
        <f t="shared" si="7"/>
        <v>1</v>
      </c>
      <c r="E49">
        <f t="shared" si="8"/>
        <v>1</v>
      </c>
      <c r="F49">
        <f t="shared" si="9"/>
        <v>1</v>
      </c>
      <c r="G49">
        <f>Tabuľka810[[#This Row],[xi]]*Tabuľka810[[#This Row],[pi = BI(0,51; 3)]]</f>
        <v>0.397953</v>
      </c>
      <c r="H49">
        <f>Tabuľka810[[#This Row],[xi]]*Tabuľka810[[#This Row],[xi*pi]]</f>
        <v>1.193859</v>
      </c>
    </row>
    <row r="50" spans="1:8" ht="13">
      <c r="B50">
        <f>SUBTOTAL(109,Tabuľka810[pi = BI(0,51; 3)])</f>
        <v>1</v>
      </c>
      <c r="C50">
        <f>SUBTOTAL(109,Tabuľka810[pi = BI(0,51; 3)2])</f>
        <v>1</v>
      </c>
      <c r="D50" s="20" t="s">
        <v>215</v>
      </c>
      <c r="E50" s="20" t="s">
        <v>215</v>
      </c>
      <c r="F50" s="20" t="s">
        <v>215</v>
      </c>
      <c r="G50" s="128">
        <f>SUBTOTAL(109,Tabuľka810[xi*pi])</f>
        <v>1.53</v>
      </c>
      <c r="H50" s="20">
        <f>SUBTOTAL(109,Tabuľka810[xi^2*pi])</f>
        <v>3.0906000000000002</v>
      </c>
    </row>
    <row r="51" spans="1:8" ht="13">
      <c r="A51" s="197" t="s">
        <v>216</v>
      </c>
      <c r="B51" s="196">
        <f>Tabuľka810[[#Totals],[xi*pi]]</f>
        <v>1.53</v>
      </c>
    </row>
    <row r="52" spans="1:8" ht="15">
      <c r="A52" s="199" t="s">
        <v>217</v>
      </c>
      <c r="B52" s="198">
        <f>H52</f>
        <v>0.74970000000000026</v>
      </c>
      <c r="H52" s="198">
        <f>Tabuľka810[[#Totals],[xi^2*pi]]-Tabuľka810[[#Totals],[xi*pi]]^2</f>
        <v>0.74970000000000026</v>
      </c>
    </row>
    <row r="53" spans="1:8" ht="15">
      <c r="A53" s="201" t="s">
        <v>218</v>
      </c>
      <c r="B53" s="200">
        <f>H53</f>
        <v>0.86585218137970887</v>
      </c>
      <c r="H53" s="200">
        <f>SQRT(H52)</f>
        <v>0.86585218137970887</v>
      </c>
    </row>
    <row r="55" spans="1:8" ht="13">
      <c r="A55" s="22" t="s">
        <v>219</v>
      </c>
      <c r="B55" s="23">
        <f>B47</f>
        <v>0.36735299999999999</v>
      </c>
      <c r="C55" s="22" t="s">
        <v>220</v>
      </c>
      <c r="D55" s="22" t="s">
        <v>221</v>
      </c>
    </row>
    <row r="56" spans="1:8" ht="13">
      <c r="A56" s="22" t="s">
        <v>222</v>
      </c>
      <c r="B56" s="193">
        <f>B49</f>
        <v>0.13265099999999999</v>
      </c>
      <c r="C56" s="22" t="s">
        <v>223</v>
      </c>
      <c r="D56" s="22" t="s">
        <v>224</v>
      </c>
    </row>
    <row r="57" spans="1:8">
      <c r="A57" s="22" t="s">
        <v>225</v>
      </c>
      <c r="B57">
        <f>B46</f>
        <v>0.117649</v>
      </c>
      <c r="C57" s="22" t="s">
        <v>226</v>
      </c>
      <c r="D57" s="22" t="s">
        <v>227</v>
      </c>
      <c r="E57" s="22" t="s">
        <v>228</v>
      </c>
    </row>
    <row r="58" spans="1:8" ht="13">
      <c r="A58" s="22" t="s">
        <v>229</v>
      </c>
      <c r="B58" s="194">
        <f>D47</f>
        <v>0.48500199999999999</v>
      </c>
      <c r="C58" s="22" t="s">
        <v>230</v>
      </c>
      <c r="D58" s="22" t="s">
        <v>231</v>
      </c>
      <c r="E58" s="22" t="s">
        <v>232</v>
      </c>
    </row>
    <row r="59" spans="1:8">
      <c r="A59" s="22" t="s">
        <v>233</v>
      </c>
      <c r="B59">
        <f>1-B58</f>
        <v>0.51499800000000007</v>
      </c>
      <c r="C59" s="22" t="s">
        <v>234</v>
      </c>
      <c r="D59" s="22" t="s">
        <v>235</v>
      </c>
      <c r="E59" s="22" t="s">
        <v>236</v>
      </c>
    </row>
    <row r="61" spans="1:8" ht="13">
      <c r="A61" s="22" t="s">
        <v>237</v>
      </c>
      <c r="B61" s="144">
        <f>D48</f>
        <v>0.86734900000000004</v>
      </c>
      <c r="C61" s="22" t="s">
        <v>238</v>
      </c>
      <c r="D61" s="22" t="s">
        <v>239</v>
      </c>
      <c r="E61" s="22" t="s">
        <v>240</v>
      </c>
    </row>
    <row r="64" spans="1:8">
      <c r="A64" s="22" t="s">
        <v>244</v>
      </c>
      <c r="G64" s="22" t="s">
        <v>245</v>
      </c>
    </row>
    <row r="65" spans="1:11" ht="13">
      <c r="A65" s="22" t="s">
        <v>106</v>
      </c>
      <c r="B65" s="22" t="s">
        <v>246</v>
      </c>
      <c r="C65" s="202" t="s">
        <v>184</v>
      </c>
      <c r="D65" s="195" t="s">
        <v>213</v>
      </c>
      <c r="E65" s="203" t="s">
        <v>214</v>
      </c>
      <c r="G65" s="22" t="s">
        <v>106</v>
      </c>
      <c r="H65" s="22" t="s">
        <v>247</v>
      </c>
      <c r="I65" s="202" t="s">
        <v>184</v>
      </c>
      <c r="J65" s="195" t="s">
        <v>213</v>
      </c>
      <c r="K65" s="203" t="s">
        <v>214</v>
      </c>
    </row>
    <row r="66" spans="1:11">
      <c r="A66">
        <v>0</v>
      </c>
      <c r="B66" s="116">
        <f>_xlfn.BINOM.DIST(A66,10,0.2,0)</f>
        <v>0.1073741824</v>
      </c>
      <c r="C66" s="116">
        <f>_xlfn.BINOM.DIST(A66,10,0.2,1)</f>
        <v>0.1073741824</v>
      </c>
      <c r="D66">
        <f>A66*B66</f>
        <v>0</v>
      </c>
      <c r="E66">
        <f>Tabuľka10[[#This Row],[xi]]*Tabuľka10[[#This Row],[xi*pi]]</f>
        <v>0</v>
      </c>
      <c r="G66">
        <v>0</v>
      </c>
      <c r="H66" s="116">
        <f t="shared" ref="H66:H76" si="10">_xlfn.BINOM.DIST(G66,10,0.8,0)</f>
        <v>1.0240000000000004E-7</v>
      </c>
      <c r="I66" s="116">
        <f t="shared" ref="I66:I76" si="11">_xlfn.BINOM.DIST(G66,10,0.8,1)</f>
        <v>1.0240000000000004E-7</v>
      </c>
      <c r="J66">
        <f>G66*H66</f>
        <v>0</v>
      </c>
      <c r="K66">
        <f>Tabuľka1012[[#This Row],[xi]]*Tabuľka1012[[#This Row],[xi*pi]]</f>
        <v>0</v>
      </c>
    </row>
    <row r="67" spans="1:11">
      <c r="A67">
        <v>1</v>
      </c>
      <c r="B67" s="116">
        <f t="shared" ref="B67:B76" si="12">_xlfn.BINOM.DIST(A67,10,0.2,0)</f>
        <v>0.26843545600000002</v>
      </c>
      <c r="C67" s="116">
        <f t="shared" ref="C67:C76" si="13">_xlfn.BINOM.DIST(A67,10,0.2,1)</f>
        <v>0.3758096384000002</v>
      </c>
      <c r="D67" s="116">
        <f t="shared" ref="D67:D76" si="14">A67*B67</f>
        <v>0.26843545600000002</v>
      </c>
      <c r="E67" s="116">
        <f>Tabuľka10[[#This Row],[xi]]*Tabuľka10[[#This Row],[xi*pi]]</f>
        <v>0.26843545600000002</v>
      </c>
      <c r="G67">
        <v>1</v>
      </c>
      <c r="H67" s="116">
        <f t="shared" si="10"/>
        <v>4.0959999999999935E-6</v>
      </c>
      <c r="I67" s="116">
        <f t="shared" si="11"/>
        <v>4.1983999999999986E-6</v>
      </c>
      <c r="J67" s="116">
        <f t="shared" ref="J67:J76" si="15">G67*H67</f>
        <v>4.0959999999999935E-6</v>
      </c>
      <c r="K67" s="116">
        <f>Tabuľka1012[[#This Row],[xi]]*Tabuľka1012[[#This Row],[xi*pi]]</f>
        <v>4.0959999999999935E-6</v>
      </c>
    </row>
    <row r="68" spans="1:11">
      <c r="A68">
        <v>2</v>
      </c>
      <c r="B68" s="116">
        <f t="shared" si="12"/>
        <v>0.3019898880000001</v>
      </c>
      <c r="C68" s="116">
        <f t="shared" si="13"/>
        <v>0.67779952639999996</v>
      </c>
      <c r="D68" s="116">
        <f t="shared" si="14"/>
        <v>0.60397977600000019</v>
      </c>
      <c r="E68" s="116">
        <f>Tabuľka10[[#This Row],[xi]]*Tabuľka10[[#This Row],[xi*pi]]</f>
        <v>1.2079595520000004</v>
      </c>
      <c r="G68">
        <v>2</v>
      </c>
      <c r="H68" s="116">
        <f t="shared" si="10"/>
        <v>7.3727999999999861E-5</v>
      </c>
      <c r="I68" s="116">
        <f t="shared" si="11"/>
        <v>7.792640000000023E-5</v>
      </c>
      <c r="J68" s="116">
        <f t="shared" si="15"/>
        <v>1.4745599999999972E-4</v>
      </c>
      <c r="K68" s="116">
        <f>Tabuľka1012[[#This Row],[xi]]*Tabuľka1012[[#This Row],[xi*pi]]</f>
        <v>2.9491199999999944E-4</v>
      </c>
    </row>
    <row r="69" spans="1:11">
      <c r="A69">
        <v>3</v>
      </c>
      <c r="B69" s="116">
        <f t="shared" si="12"/>
        <v>0.20132659200000003</v>
      </c>
      <c r="C69" s="116">
        <f t="shared" si="13"/>
        <v>0.87912611839999999</v>
      </c>
      <c r="D69" s="116">
        <f t="shared" si="14"/>
        <v>0.60397977600000008</v>
      </c>
      <c r="E69" s="116">
        <f>Tabuľka10[[#This Row],[xi]]*Tabuľka10[[#This Row],[xi*pi]]</f>
        <v>1.8119393280000002</v>
      </c>
      <c r="G69">
        <v>3</v>
      </c>
      <c r="H69" s="116">
        <f t="shared" si="10"/>
        <v>7.8643199999999815E-4</v>
      </c>
      <c r="I69" s="116">
        <f t="shared" si="11"/>
        <v>8.6435839999999902E-4</v>
      </c>
      <c r="J69" s="116">
        <f t="shared" si="15"/>
        <v>2.3592959999999942E-3</v>
      </c>
      <c r="K69" s="116">
        <f>Tabuľka1012[[#This Row],[xi]]*Tabuľka1012[[#This Row],[xi*pi]]</f>
        <v>7.0778879999999827E-3</v>
      </c>
    </row>
    <row r="70" spans="1:11">
      <c r="A70">
        <v>4</v>
      </c>
      <c r="B70" s="116">
        <f t="shared" si="12"/>
        <v>8.8080384000000025E-2</v>
      </c>
      <c r="C70" s="116">
        <f t="shared" si="13"/>
        <v>0.96720650240000006</v>
      </c>
      <c r="D70" s="116">
        <f t="shared" si="14"/>
        <v>0.3523215360000001</v>
      </c>
      <c r="E70" s="116">
        <f>Tabuľka10[[#This Row],[xi]]*Tabuľka10[[#This Row],[xi*pi]]</f>
        <v>1.4092861440000004</v>
      </c>
      <c r="G70">
        <v>4</v>
      </c>
      <c r="H70" s="116">
        <f t="shared" si="10"/>
        <v>5.5050239999999894E-3</v>
      </c>
      <c r="I70" s="116">
        <f t="shared" si="11"/>
        <v>6.3693824E-3</v>
      </c>
      <c r="J70" s="116">
        <f t="shared" si="15"/>
        <v>2.2020095999999958E-2</v>
      </c>
      <c r="K70" s="116">
        <f>Tabuľka1012[[#This Row],[xi]]*Tabuľka1012[[#This Row],[xi*pi]]</f>
        <v>8.8080383999999831E-2</v>
      </c>
    </row>
    <row r="71" spans="1:11">
      <c r="A71">
        <v>5</v>
      </c>
      <c r="B71" s="116">
        <f t="shared" si="12"/>
        <v>2.6424115200000015E-2</v>
      </c>
      <c r="C71" s="116">
        <f t="shared" si="13"/>
        <v>0.99363061760000004</v>
      </c>
      <c r="D71" s="116">
        <f t="shared" si="14"/>
        <v>0.13212057600000007</v>
      </c>
      <c r="E71" s="116">
        <f>Tabuľka10[[#This Row],[xi]]*Tabuľka10[[#This Row],[xi*pi]]</f>
        <v>0.66060288000000034</v>
      </c>
      <c r="G71">
        <v>5</v>
      </c>
      <c r="H71" s="116">
        <f t="shared" si="10"/>
        <v>2.642411519999999E-2</v>
      </c>
      <c r="I71" s="116">
        <f t="shared" si="11"/>
        <v>3.2793497599999978E-2</v>
      </c>
      <c r="J71" s="116">
        <f t="shared" si="15"/>
        <v>0.13212057599999996</v>
      </c>
      <c r="K71" s="116">
        <f>Tabuľka1012[[#This Row],[xi]]*Tabuľka1012[[#This Row],[xi*pi]]</f>
        <v>0.66060287999999978</v>
      </c>
    </row>
    <row r="72" spans="1:11">
      <c r="A72">
        <v>6</v>
      </c>
      <c r="B72" s="116">
        <f t="shared" si="12"/>
        <v>5.5050240000000016E-3</v>
      </c>
      <c r="C72" s="116">
        <f t="shared" si="13"/>
        <v>0.99913564160000001</v>
      </c>
      <c r="D72" s="116">
        <f t="shared" si="14"/>
        <v>3.3030144000000011E-2</v>
      </c>
      <c r="E72" s="116">
        <f>Tabuľka10[[#This Row],[xi]]*Tabuľka10[[#This Row],[xi*pi]]</f>
        <v>0.19818086400000007</v>
      </c>
      <c r="G72">
        <v>6</v>
      </c>
      <c r="H72" s="116">
        <f t="shared" si="10"/>
        <v>8.8080383999999984E-2</v>
      </c>
      <c r="I72" s="116">
        <f t="shared" si="11"/>
        <v>0.12087388159999995</v>
      </c>
      <c r="J72" s="116">
        <f t="shared" si="15"/>
        <v>0.52848230399999996</v>
      </c>
      <c r="K72" s="116">
        <f>Tabuľka1012[[#This Row],[xi]]*Tabuľka1012[[#This Row],[xi*pi]]</f>
        <v>3.1708938239999997</v>
      </c>
    </row>
    <row r="73" spans="1:11">
      <c r="A73">
        <v>7</v>
      </c>
      <c r="B73" s="116">
        <f t="shared" si="12"/>
        <v>7.8643199999999956E-4</v>
      </c>
      <c r="C73" s="116">
        <f t="shared" si="13"/>
        <v>0.99992207360000007</v>
      </c>
      <c r="D73" s="116">
        <f t="shared" si="14"/>
        <v>5.5050239999999973E-3</v>
      </c>
      <c r="E73" s="116">
        <f>Tabuľka10[[#This Row],[xi]]*Tabuľka10[[#This Row],[xi*pi]]</f>
        <v>3.8535167999999981E-2</v>
      </c>
      <c r="G73">
        <v>7</v>
      </c>
      <c r="H73" s="116">
        <f t="shared" si="10"/>
        <v>0.20132659199999994</v>
      </c>
      <c r="I73" s="116">
        <f t="shared" si="11"/>
        <v>0.32220047359999993</v>
      </c>
      <c r="J73" s="116">
        <f t="shared" si="15"/>
        <v>1.4092861439999995</v>
      </c>
      <c r="K73" s="116">
        <f>Tabuľka1012[[#This Row],[xi]]*Tabuľka1012[[#This Row],[xi*pi]]</f>
        <v>9.8650030079999969</v>
      </c>
    </row>
    <row r="74" spans="1:11">
      <c r="A74">
        <v>8</v>
      </c>
      <c r="B74" s="116">
        <f t="shared" si="12"/>
        <v>7.3728000000000132E-5</v>
      </c>
      <c r="C74" s="116">
        <f t="shared" si="13"/>
        <v>0.99999580160000001</v>
      </c>
      <c r="D74" s="116">
        <f t="shared" si="14"/>
        <v>5.8982400000000105E-4</v>
      </c>
      <c r="E74" s="116">
        <f>Tabuľka10[[#This Row],[xi]]*Tabuľka10[[#This Row],[xi*pi]]</f>
        <v>4.7185920000000084E-3</v>
      </c>
      <c r="G74">
        <v>8</v>
      </c>
      <c r="H74" s="116">
        <f t="shared" si="10"/>
        <v>0.3019898880000001</v>
      </c>
      <c r="I74" s="116">
        <f t="shared" si="11"/>
        <v>0.62419036159999974</v>
      </c>
      <c r="J74" s="116">
        <f t="shared" si="15"/>
        <v>2.4159191040000008</v>
      </c>
      <c r="K74" s="116">
        <f>Tabuľka1012[[#This Row],[xi]]*Tabuľka1012[[#This Row],[xi*pi]]</f>
        <v>19.327352832000006</v>
      </c>
    </row>
    <row r="75" spans="1:11">
      <c r="A75">
        <v>9</v>
      </c>
      <c r="B75" s="116">
        <f t="shared" si="12"/>
        <v>4.0959999999999935E-6</v>
      </c>
      <c r="C75" s="116">
        <f t="shared" si="13"/>
        <v>0.99999989759999997</v>
      </c>
      <c r="D75" s="116">
        <f t="shared" si="14"/>
        <v>3.6863999999999944E-5</v>
      </c>
      <c r="E75" s="116">
        <f>Tabuľka10[[#This Row],[xi]]*Tabuľka10[[#This Row],[xi*pi]]</f>
        <v>3.317759999999995E-4</v>
      </c>
      <c r="G75">
        <v>9</v>
      </c>
      <c r="H75" s="116">
        <f t="shared" si="10"/>
        <v>0.26843545600000007</v>
      </c>
      <c r="I75" s="116">
        <f t="shared" si="11"/>
        <v>0.89262581759999993</v>
      </c>
      <c r="J75" s="116">
        <f t="shared" si="15"/>
        <v>2.4159191040000008</v>
      </c>
      <c r="K75" s="116">
        <f>Tabuľka1012[[#This Row],[xi]]*Tabuľka1012[[#This Row],[xi*pi]]</f>
        <v>21.743271936000006</v>
      </c>
    </row>
    <row r="76" spans="1:11">
      <c r="A76">
        <v>10</v>
      </c>
      <c r="B76" s="116">
        <f t="shared" si="12"/>
        <v>1.0240000000000004E-7</v>
      </c>
      <c r="C76" s="116">
        <f t="shared" si="13"/>
        <v>1</v>
      </c>
      <c r="D76" s="116">
        <f t="shared" si="14"/>
        <v>1.0240000000000005E-6</v>
      </c>
      <c r="E76" s="116">
        <f>Tabuľka10[[#This Row],[xi]]*Tabuľka10[[#This Row],[xi*pi]]</f>
        <v>1.0240000000000005E-5</v>
      </c>
      <c r="G76">
        <v>10</v>
      </c>
      <c r="H76" s="116">
        <f t="shared" si="10"/>
        <v>0.10737418240000005</v>
      </c>
      <c r="I76" s="116">
        <f t="shared" si="11"/>
        <v>1</v>
      </c>
      <c r="J76" s="116">
        <f t="shared" si="15"/>
        <v>1.0737418240000005</v>
      </c>
      <c r="K76" s="116">
        <f>Tabuľka1012[[#This Row],[xi]]*Tabuľka1012[[#This Row],[xi*pi]]</f>
        <v>10.737418240000006</v>
      </c>
    </row>
    <row r="77" spans="1:11">
      <c r="A77" t="s">
        <v>248</v>
      </c>
      <c r="B77" s="116">
        <f>SUBTOTAL(109,Tabuľka10[pi = BI(0,2; 10)])</f>
        <v>1</v>
      </c>
      <c r="D77">
        <f>SUBTOTAL(109,Tabuľka10[xi*pi])</f>
        <v>2.0000000000000004</v>
      </c>
      <c r="E77">
        <f>SUBTOTAL(109,Tabuľka10[xi^2*pi])</f>
        <v>5.6000000000000023</v>
      </c>
      <c r="G77" t="s">
        <v>248</v>
      </c>
      <c r="H77" s="116">
        <f>SUBTOTAL(109,Tabuľka1012[pi = BI(0,8; 10)])</f>
        <v>1</v>
      </c>
      <c r="J77">
        <f>SUBTOTAL(109,Tabuľka1012[xi*pi])</f>
        <v>8.0000000000000018</v>
      </c>
      <c r="K77">
        <f>SUBTOTAL(109,Tabuľka1012[xi^2*pi])</f>
        <v>65.600000000000009</v>
      </c>
    </row>
    <row r="79" spans="1:11" ht="13">
      <c r="A79" s="197" t="s">
        <v>216</v>
      </c>
      <c r="B79" s="196">
        <f>Tabuľka10[[#Totals],[xi*pi]]</f>
        <v>2.0000000000000004</v>
      </c>
      <c r="E79">
        <f>Tabuľka10[[#Totals],[xi^2*pi]]-Tabuľka10[[#Totals],[xi*pi]]^2</f>
        <v>1.6000000000000005</v>
      </c>
      <c r="G79" s="197" t="s">
        <v>216</v>
      </c>
      <c r="H79" s="196">
        <f>Tabuľka1012[[#Totals],[xi*pi]]</f>
        <v>8.0000000000000018</v>
      </c>
      <c r="K79">
        <f>Tabuľka1012[[#Totals],[xi^2*pi]]-Tabuľka1012[[#Totals],[xi*pi]]^2</f>
        <v>1.5999999999999801</v>
      </c>
    </row>
    <row r="80" spans="1:11" ht="15">
      <c r="A80" s="199" t="s">
        <v>217</v>
      </c>
      <c r="B80" s="198">
        <f>E79</f>
        <v>1.6000000000000005</v>
      </c>
      <c r="G80" s="199" t="s">
        <v>217</v>
      </c>
      <c r="H80" s="198">
        <f>K79</f>
        <v>1.5999999999999801</v>
      </c>
    </row>
    <row r="81" spans="1:8" ht="15">
      <c r="A81" s="201" t="s">
        <v>218</v>
      </c>
      <c r="B81" s="200">
        <f>SQRT(B80)</f>
        <v>1.264911064067352</v>
      </c>
      <c r="G81" s="201" t="s">
        <v>218</v>
      </c>
      <c r="H81" s="200">
        <f>SQRT(H80)</f>
        <v>1.2649110640673438</v>
      </c>
    </row>
  </sheetData>
  <pageMargins left="0.7" right="0.7" top="0.75" bottom="0.75" header="0.3" footer="0.3"/>
  <pageSetup paperSize="9" orientation="portrait" r:id="rId1"/>
  <drawing r:id="rId2"/>
  <legacyDrawing r:id="rId3"/>
  <tableParts count="4">
    <tablePart r:id="rId4"/>
    <tablePart r:id="rId5"/>
    <tablePart r:id="rId6"/>
    <tablePart r:id="rId7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49DE9-6171-4FB4-803D-86D38E4BB931}">
  <sheetPr>
    <tabColor rgb="FFFF0000"/>
  </sheetPr>
  <dimension ref="B1:E12"/>
  <sheetViews>
    <sheetView workbookViewId="0"/>
  </sheetViews>
  <sheetFormatPr defaultRowHeight="12.5"/>
  <cols>
    <col min="2" max="3" width="10" bestFit="1" customWidth="1"/>
  </cols>
  <sheetData>
    <row r="1" spans="2:5" ht="13">
      <c r="B1" s="144" t="s">
        <v>249</v>
      </c>
      <c r="C1" s="144"/>
      <c r="D1" s="144"/>
      <c r="E1" s="144"/>
    </row>
    <row r="2" spans="2:5">
      <c r="B2">
        <f ca="1">RAND()</f>
        <v>0.60572354121684246</v>
      </c>
      <c r="C2">
        <f ca="1">RAND()</f>
        <v>0.38748473368771541</v>
      </c>
    </row>
    <row r="5" spans="2:5" ht="13">
      <c r="B5" s="144" t="s">
        <v>250</v>
      </c>
      <c r="C5" s="144"/>
      <c r="D5" s="144"/>
      <c r="E5" s="144"/>
    </row>
    <row r="6" spans="2:5">
      <c r="B6">
        <f ca="1">RANDBETWEEN(1,6)</f>
        <v>3</v>
      </c>
      <c r="C6">
        <f t="shared" ref="C6:E6" ca="1" si="0">RANDBETWEEN(1,6)</f>
        <v>3</v>
      </c>
      <c r="D6">
        <f t="shared" ca="1" si="0"/>
        <v>5</v>
      </c>
      <c r="E6">
        <f t="shared" ca="1" si="0"/>
        <v>1</v>
      </c>
    </row>
    <row r="7" spans="2:5">
      <c r="B7">
        <f t="shared" ref="B7:E12" ca="1" si="1">RANDBETWEEN(1,6)</f>
        <v>4</v>
      </c>
      <c r="C7">
        <f t="shared" ca="1" si="1"/>
        <v>1</v>
      </c>
      <c r="D7">
        <f t="shared" ca="1" si="1"/>
        <v>5</v>
      </c>
      <c r="E7">
        <f t="shared" ca="1" si="1"/>
        <v>6</v>
      </c>
    </row>
    <row r="8" spans="2:5">
      <c r="B8">
        <f t="shared" ca="1" si="1"/>
        <v>4</v>
      </c>
      <c r="C8">
        <f t="shared" ca="1" si="1"/>
        <v>3</v>
      </c>
      <c r="D8">
        <f t="shared" ca="1" si="1"/>
        <v>6</v>
      </c>
      <c r="E8">
        <f t="shared" ca="1" si="1"/>
        <v>4</v>
      </c>
    </row>
    <row r="9" spans="2:5">
      <c r="B9">
        <f t="shared" ca="1" si="1"/>
        <v>2</v>
      </c>
      <c r="C9">
        <f t="shared" ca="1" si="1"/>
        <v>1</v>
      </c>
      <c r="D9">
        <f t="shared" ca="1" si="1"/>
        <v>6</v>
      </c>
      <c r="E9">
        <f t="shared" ca="1" si="1"/>
        <v>1</v>
      </c>
    </row>
    <row r="10" spans="2:5">
      <c r="B10">
        <f t="shared" ca="1" si="1"/>
        <v>4</v>
      </c>
      <c r="C10">
        <f t="shared" ca="1" si="1"/>
        <v>2</v>
      </c>
      <c r="D10">
        <f t="shared" ca="1" si="1"/>
        <v>5</v>
      </c>
      <c r="E10">
        <f t="shared" ca="1" si="1"/>
        <v>6</v>
      </c>
    </row>
    <row r="11" spans="2:5">
      <c r="B11">
        <f t="shared" ca="1" si="1"/>
        <v>2</v>
      </c>
      <c r="C11">
        <f t="shared" ca="1" si="1"/>
        <v>1</v>
      </c>
      <c r="D11">
        <f t="shared" ca="1" si="1"/>
        <v>2</v>
      </c>
      <c r="E11">
        <f t="shared" ca="1" si="1"/>
        <v>2</v>
      </c>
    </row>
    <row r="12" spans="2:5">
      <c r="B12">
        <f t="shared" ca="1" si="1"/>
        <v>5</v>
      </c>
      <c r="C12">
        <f t="shared" ca="1" si="1"/>
        <v>2</v>
      </c>
      <c r="D12">
        <f t="shared" ca="1" si="1"/>
        <v>4</v>
      </c>
      <c r="E12">
        <f t="shared" ca="1" si="1"/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0C369-19A2-4F8B-9415-9D4D298D56D6}">
  <sheetPr>
    <tabColor theme="1"/>
  </sheetPr>
  <dimension ref="B13:V40"/>
  <sheetViews>
    <sheetView workbookViewId="0"/>
  </sheetViews>
  <sheetFormatPr defaultRowHeight="12.5"/>
  <cols>
    <col min="2" max="2" width="26.90625" bestFit="1" customWidth="1"/>
    <col min="3" max="3" width="13.453125" bestFit="1" customWidth="1"/>
    <col min="5" max="5" width="5" bestFit="1" customWidth="1"/>
    <col min="6" max="6" width="22.54296875" bestFit="1" customWidth="1"/>
    <col min="7" max="7" width="14.54296875" bestFit="1" customWidth="1"/>
    <col min="19" max="19" width="17" bestFit="1" customWidth="1"/>
    <col min="20" max="21" width="8.90625" bestFit="1" customWidth="1"/>
    <col min="22" max="22" width="9.90625" bestFit="1" customWidth="1"/>
  </cols>
  <sheetData>
    <row r="13" spans="2:22" ht="20">
      <c r="B13" s="170" t="s">
        <v>251</v>
      </c>
      <c r="C13" s="171"/>
      <c r="D13" s="171"/>
      <c r="E13" s="171"/>
      <c r="F13" s="171"/>
      <c r="S13" s="316" t="s">
        <v>252</v>
      </c>
      <c r="T13" s="316"/>
      <c r="U13" s="316"/>
      <c r="V13" s="316"/>
    </row>
    <row r="14" spans="2:22" ht="20">
      <c r="B14" s="172" t="s">
        <v>253</v>
      </c>
      <c r="C14" s="172" t="s">
        <v>254</v>
      </c>
      <c r="D14" s="171"/>
      <c r="E14" s="173" t="s">
        <v>255</v>
      </c>
      <c r="F14" s="173" t="s">
        <v>256</v>
      </c>
      <c r="S14" s="316"/>
      <c r="T14" s="316"/>
      <c r="U14" s="316"/>
      <c r="V14" s="316"/>
    </row>
    <row r="15" spans="2:22" ht="20">
      <c r="B15" s="171" t="s">
        <v>257</v>
      </c>
      <c r="C15" s="177" t="s">
        <v>258</v>
      </c>
      <c r="D15" s="171"/>
      <c r="E15" s="171" t="s">
        <v>259</v>
      </c>
      <c r="F15" s="171" t="s">
        <v>260</v>
      </c>
      <c r="S15" s="316"/>
      <c r="T15" s="316"/>
      <c r="U15" s="316"/>
      <c r="V15" s="316"/>
    </row>
    <row r="16" spans="2:22" ht="20">
      <c r="B16" s="171" t="s">
        <v>261</v>
      </c>
      <c r="C16" s="178" t="s">
        <v>262</v>
      </c>
      <c r="D16" s="171"/>
      <c r="E16" s="171" t="s">
        <v>263</v>
      </c>
      <c r="F16" s="171" t="s">
        <v>264</v>
      </c>
      <c r="S16" s="171"/>
      <c r="T16" s="171"/>
      <c r="U16" s="171"/>
      <c r="V16" s="171"/>
    </row>
    <row r="17" spans="2:22" ht="20">
      <c r="B17" s="171"/>
      <c r="C17" s="171"/>
      <c r="D17" s="171"/>
      <c r="E17" s="171"/>
      <c r="F17" s="171"/>
      <c r="S17" s="188"/>
      <c r="T17" s="314" t="s">
        <v>265</v>
      </c>
      <c r="U17" s="315"/>
      <c r="V17" s="188"/>
    </row>
    <row r="18" spans="2:22" ht="20">
      <c r="B18" s="174" t="s">
        <v>266</v>
      </c>
      <c r="C18" s="175"/>
      <c r="D18" s="171"/>
      <c r="E18" s="171"/>
      <c r="F18" s="171" t="s">
        <v>267</v>
      </c>
      <c r="S18" s="188" t="s">
        <v>268</v>
      </c>
      <c r="T18" s="189" t="s">
        <v>259</v>
      </c>
      <c r="U18" s="189" t="s">
        <v>263</v>
      </c>
      <c r="V18" s="188" t="s">
        <v>46</v>
      </c>
    </row>
    <row r="19" spans="2:22" ht="20">
      <c r="B19" s="171" t="s">
        <v>269</v>
      </c>
      <c r="C19" s="171">
        <v>0.99</v>
      </c>
      <c r="D19" s="171"/>
      <c r="E19" s="171"/>
      <c r="F19" s="176" t="s">
        <v>270</v>
      </c>
      <c r="S19" s="188" t="s">
        <v>257</v>
      </c>
      <c r="T19" s="190">
        <f>G31</f>
        <v>1.9800000000000002E-2</v>
      </c>
      <c r="U19" s="190">
        <f>G32</f>
        <v>2.0000000000000017E-4</v>
      </c>
      <c r="V19" s="191">
        <f>SUM(T19:U19)</f>
        <v>0.02</v>
      </c>
    </row>
    <row r="20" spans="2:22" ht="20">
      <c r="B20" s="171" t="s">
        <v>271</v>
      </c>
      <c r="C20" s="171">
        <v>2E-3</v>
      </c>
      <c r="D20" s="171"/>
      <c r="E20" s="171"/>
      <c r="F20" s="171"/>
      <c r="S20" s="188" t="s">
        <v>261</v>
      </c>
      <c r="T20" s="190">
        <f>G33</f>
        <v>1.9599999999999999E-3</v>
      </c>
      <c r="U20" s="190">
        <f>G34</f>
        <v>0.97804000000000002</v>
      </c>
      <c r="V20" s="191">
        <f>SUM(T20:U20)</f>
        <v>0.98</v>
      </c>
    </row>
    <row r="21" spans="2:22" ht="20">
      <c r="B21" s="171" t="s">
        <v>272</v>
      </c>
      <c r="C21" s="171">
        <v>0.02</v>
      </c>
      <c r="D21" s="171"/>
      <c r="E21" s="171"/>
      <c r="F21" s="171"/>
      <c r="S21" s="188" t="s">
        <v>46</v>
      </c>
      <c r="T21" s="191">
        <f>SUM(T19:T20)</f>
        <v>2.1760000000000002E-2</v>
      </c>
      <c r="U21" s="191">
        <f t="shared" ref="U21:V21" si="0">SUM(U19:U20)</f>
        <v>0.97824</v>
      </c>
      <c r="V21" s="192">
        <f t="shared" si="0"/>
        <v>1</v>
      </c>
    </row>
    <row r="22" spans="2:22" ht="20">
      <c r="B22" s="171"/>
      <c r="C22" s="171"/>
      <c r="D22" s="171"/>
      <c r="E22" s="171"/>
      <c r="F22" s="171"/>
    </row>
    <row r="23" spans="2:22" ht="20">
      <c r="B23" s="174" t="s">
        <v>273</v>
      </c>
      <c r="C23" s="171"/>
      <c r="D23" s="171"/>
      <c r="E23" s="171"/>
      <c r="F23" s="171"/>
      <c r="S23" s="171" t="s">
        <v>267</v>
      </c>
    </row>
    <row r="24" spans="2:22" ht="20">
      <c r="B24" s="171" t="s">
        <v>274</v>
      </c>
      <c r="C24" s="171">
        <f>1-C21</f>
        <v>0.98</v>
      </c>
      <c r="D24" s="171"/>
      <c r="E24" s="171"/>
      <c r="F24" s="171"/>
      <c r="S24" s="176" t="s">
        <v>270</v>
      </c>
    </row>
    <row r="25" spans="2:22" ht="20">
      <c r="B25" s="171" t="s">
        <v>269</v>
      </c>
      <c r="C25" s="171">
        <f>C19</f>
        <v>0.99</v>
      </c>
      <c r="D25" s="171"/>
      <c r="E25" s="171"/>
      <c r="F25" s="171"/>
    </row>
    <row r="26" spans="2:22" ht="20">
      <c r="B26" s="171" t="s">
        <v>275</v>
      </c>
      <c r="C26" s="171">
        <f>1-C25</f>
        <v>1.0000000000000009E-2</v>
      </c>
      <c r="D26" s="171"/>
      <c r="E26" s="171"/>
      <c r="F26" s="171"/>
      <c r="S26" s="317" t="s">
        <v>276</v>
      </c>
      <c r="T26" s="317"/>
      <c r="U26" s="317"/>
    </row>
    <row r="27" spans="2:22" ht="20">
      <c r="B27" s="171" t="s">
        <v>271</v>
      </c>
      <c r="C27" s="171">
        <f>C20</f>
        <v>2E-3</v>
      </c>
      <c r="D27" s="171"/>
      <c r="E27" s="171"/>
      <c r="F27" s="171"/>
      <c r="S27" s="317"/>
      <c r="T27" s="317"/>
      <c r="U27" s="317"/>
    </row>
    <row r="28" spans="2:22" ht="20">
      <c r="B28" s="171" t="s">
        <v>277</v>
      </c>
      <c r="C28" s="171">
        <f>1-C27</f>
        <v>0.998</v>
      </c>
      <c r="D28" s="171"/>
      <c r="E28" s="171"/>
      <c r="F28" s="171"/>
      <c r="S28" s="317"/>
      <c r="T28" s="317"/>
      <c r="U28" s="317"/>
    </row>
    <row r="29" spans="2:22">
      <c r="S29" s="317"/>
      <c r="T29" s="317"/>
      <c r="U29" s="317"/>
    </row>
    <row r="30" spans="2:22" ht="20">
      <c r="B30" s="179" t="s">
        <v>278</v>
      </c>
      <c r="C30" s="179" t="s">
        <v>279</v>
      </c>
      <c r="D30" s="179" t="s">
        <v>278</v>
      </c>
      <c r="E30" s="179" t="s">
        <v>280</v>
      </c>
      <c r="F30" s="179" t="s">
        <v>281</v>
      </c>
      <c r="G30" s="179" t="s">
        <v>282</v>
      </c>
      <c r="S30" s="317"/>
      <c r="T30" s="317"/>
      <c r="U30" s="317"/>
    </row>
    <row r="31" spans="2:22" ht="21">
      <c r="B31" s="180" t="s">
        <v>257</v>
      </c>
      <c r="C31" s="181">
        <f>C21</f>
        <v>0.02</v>
      </c>
      <c r="D31" s="180" t="s">
        <v>259</v>
      </c>
      <c r="E31" s="181">
        <f>C25</f>
        <v>0.99</v>
      </c>
      <c r="F31" s="182" t="s">
        <v>283</v>
      </c>
      <c r="G31" s="181">
        <f>C31*E31</f>
        <v>1.9800000000000002E-2</v>
      </c>
    </row>
    <row r="32" spans="2:22" ht="21">
      <c r="B32" s="180" t="s">
        <v>257</v>
      </c>
      <c r="C32" s="181">
        <f>C31</f>
        <v>0.02</v>
      </c>
      <c r="D32" s="180" t="s">
        <v>263</v>
      </c>
      <c r="E32" s="181">
        <f>1-E31</f>
        <v>1.0000000000000009E-2</v>
      </c>
      <c r="F32" s="182" t="s">
        <v>284</v>
      </c>
      <c r="G32" s="181">
        <f t="shared" ref="G32:G34" si="1">C32*E32</f>
        <v>2.0000000000000017E-4</v>
      </c>
    </row>
    <row r="33" spans="2:7" ht="21">
      <c r="B33" s="180" t="s">
        <v>261</v>
      </c>
      <c r="C33" s="181">
        <f>1-C31</f>
        <v>0.98</v>
      </c>
      <c r="D33" s="180" t="s">
        <v>259</v>
      </c>
      <c r="E33" s="181">
        <f>C27</f>
        <v>2E-3</v>
      </c>
      <c r="F33" s="182" t="s">
        <v>285</v>
      </c>
      <c r="G33" s="181">
        <f t="shared" si="1"/>
        <v>1.9599999999999999E-3</v>
      </c>
    </row>
    <row r="34" spans="2:7" ht="21">
      <c r="B34" s="180" t="s">
        <v>261</v>
      </c>
      <c r="C34" s="181">
        <f>C33</f>
        <v>0.98</v>
      </c>
      <c r="D34" s="180" t="s">
        <v>263</v>
      </c>
      <c r="E34" s="181">
        <f>1-E33</f>
        <v>0.998</v>
      </c>
      <c r="F34" s="182" t="s">
        <v>286</v>
      </c>
      <c r="G34" s="181">
        <f t="shared" si="1"/>
        <v>0.97804000000000002</v>
      </c>
    </row>
    <row r="35" spans="2:7" ht="20">
      <c r="B35" s="183"/>
      <c r="C35" s="171"/>
      <c r="D35" s="171"/>
      <c r="E35" s="171"/>
      <c r="F35" s="171"/>
      <c r="G35" s="171"/>
    </row>
    <row r="36" spans="2:7" ht="20">
      <c r="B36" s="180" t="s">
        <v>259</v>
      </c>
      <c r="C36" s="184">
        <f>G31+G33</f>
        <v>2.1760000000000002E-2</v>
      </c>
      <c r="D36" s="181"/>
      <c r="E36" s="171"/>
      <c r="F36" s="171"/>
      <c r="G36" s="171"/>
    </row>
    <row r="37" spans="2:7" ht="20">
      <c r="B37" s="180" t="s">
        <v>263</v>
      </c>
      <c r="C37" s="185">
        <f>G32+G34</f>
        <v>0.97824</v>
      </c>
      <c r="D37" s="185">
        <f>1-C36</f>
        <v>0.97824</v>
      </c>
      <c r="E37" s="171"/>
      <c r="F37" s="171"/>
      <c r="G37" s="171"/>
    </row>
    <row r="38" spans="2:7" ht="20">
      <c r="B38" s="183"/>
      <c r="C38" s="171"/>
      <c r="D38" s="171"/>
      <c r="E38" s="171"/>
      <c r="F38" s="171"/>
      <c r="G38" s="171"/>
    </row>
    <row r="39" spans="2:7" ht="21">
      <c r="B39" s="186" t="s">
        <v>270</v>
      </c>
      <c r="C39" s="186">
        <f>G39/G40</f>
        <v>0.90992647058823528</v>
      </c>
      <c r="D39" s="171"/>
      <c r="E39" s="171"/>
      <c r="F39" s="182" t="s">
        <v>283</v>
      </c>
      <c r="G39" s="187">
        <f>G31</f>
        <v>1.9800000000000002E-2</v>
      </c>
    </row>
    <row r="40" spans="2:7" ht="21">
      <c r="B40" s="171"/>
      <c r="C40" s="171"/>
      <c r="D40" s="171"/>
      <c r="E40" s="171"/>
      <c r="F40" s="182" t="s">
        <v>287</v>
      </c>
      <c r="G40" s="187">
        <f>C36</f>
        <v>2.1760000000000002E-2</v>
      </c>
    </row>
  </sheetData>
  <mergeCells count="3">
    <mergeCell ref="T17:U17"/>
    <mergeCell ref="S13:V15"/>
    <mergeCell ref="S26:U30"/>
  </mergeCells>
  <pageMargins left="0.7" right="0.7" top="0.75" bottom="0.75" header="0.3" footer="0.3"/>
  <ignoredErrors>
    <ignoredError sqref="C27 E32 C33" formula="1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D8472-8253-4D07-9369-C656280CF7BC}">
  <sheetPr>
    <tabColor rgb="FFFF0000"/>
  </sheetPr>
  <dimension ref="A1:K30"/>
  <sheetViews>
    <sheetView workbookViewId="0"/>
  </sheetViews>
  <sheetFormatPr defaultRowHeight="12.5"/>
  <cols>
    <col min="3" max="3" width="26.90625" bestFit="1" customWidth="1"/>
    <col min="4" max="4" width="19" bestFit="1" customWidth="1"/>
    <col min="5" max="5" width="7" bestFit="1" customWidth="1"/>
    <col min="6" max="6" width="13" bestFit="1" customWidth="1"/>
    <col min="7" max="7" width="4.453125" customWidth="1"/>
    <col min="8" max="8" width="22.54296875" bestFit="1" customWidth="1"/>
    <col min="9" max="9" width="14.08984375" bestFit="1" customWidth="1"/>
    <col min="10" max="10" width="24" customWidth="1"/>
  </cols>
  <sheetData>
    <row r="1" spans="1:11">
      <c r="D1" s="22" t="s">
        <v>288</v>
      </c>
      <c r="E1" s="22" t="s">
        <v>289</v>
      </c>
    </row>
    <row r="2" spans="1:11" ht="13">
      <c r="C2" s="144" t="s">
        <v>290</v>
      </c>
      <c r="D2" s="22" t="s">
        <v>291</v>
      </c>
      <c r="E2" s="22" t="s">
        <v>292</v>
      </c>
    </row>
    <row r="3" spans="1:11" ht="13">
      <c r="C3" s="318" t="s">
        <v>293</v>
      </c>
      <c r="D3" s="318"/>
      <c r="E3" s="318"/>
      <c r="F3" s="318"/>
      <c r="H3" s="22" t="s">
        <v>294</v>
      </c>
    </row>
    <row r="4" spans="1:11" ht="25">
      <c r="C4" s="4" t="s">
        <v>295</v>
      </c>
      <c r="D4" t="s">
        <v>296</v>
      </c>
      <c r="H4" s="22" t="s">
        <v>297</v>
      </c>
      <c r="I4" s="22" t="s">
        <v>298</v>
      </c>
      <c r="J4" s="161" t="s">
        <v>299</v>
      </c>
    </row>
    <row r="5" spans="1:11">
      <c r="C5" s="4" t="s">
        <v>300</v>
      </c>
      <c r="D5" s="4" t="s">
        <v>301</v>
      </c>
      <c r="E5" s="4" t="s">
        <v>302</v>
      </c>
      <c r="F5" s="4" t="s">
        <v>303</v>
      </c>
      <c r="H5" s="22" t="s">
        <v>253</v>
      </c>
      <c r="I5" t="s">
        <v>304</v>
      </c>
      <c r="J5" s="22" t="s">
        <v>305</v>
      </c>
    </row>
    <row r="6" spans="1:11" ht="13">
      <c r="A6" s="22" t="s">
        <v>306</v>
      </c>
      <c r="B6" s="22" t="s">
        <v>307</v>
      </c>
      <c r="C6" s="5">
        <v>0</v>
      </c>
      <c r="D6" s="157">
        <v>10</v>
      </c>
      <c r="E6" s="158">
        <v>9</v>
      </c>
      <c r="F6" s="157">
        <v>19</v>
      </c>
      <c r="H6" s="22" t="s">
        <v>255</v>
      </c>
      <c r="I6" s="22" t="s">
        <v>308</v>
      </c>
      <c r="J6" s="115" t="s">
        <v>309</v>
      </c>
    </row>
    <row r="7" spans="1:11" ht="13">
      <c r="A7" s="22" t="s">
        <v>310</v>
      </c>
      <c r="B7" s="22" t="s">
        <v>311</v>
      </c>
      <c r="C7" s="5">
        <v>1</v>
      </c>
      <c r="D7" s="158">
        <v>15</v>
      </c>
      <c r="E7" s="157">
        <v>6</v>
      </c>
      <c r="F7" s="158">
        <v>21</v>
      </c>
    </row>
    <row r="8" spans="1:11" ht="14">
      <c r="A8" s="22" t="s">
        <v>312</v>
      </c>
      <c r="B8" s="22" t="s">
        <v>313</v>
      </c>
      <c r="C8" s="5">
        <v>2</v>
      </c>
      <c r="D8" s="159">
        <v>2</v>
      </c>
      <c r="E8" s="158">
        <v>8</v>
      </c>
      <c r="F8" s="157">
        <v>10</v>
      </c>
      <c r="H8" s="22" t="s">
        <v>314</v>
      </c>
      <c r="I8" s="22" t="s">
        <v>315</v>
      </c>
    </row>
    <row r="9" spans="1:11" ht="13">
      <c r="C9" s="5" t="s">
        <v>303</v>
      </c>
      <c r="D9" s="157">
        <v>27</v>
      </c>
      <c r="E9" s="157">
        <v>23</v>
      </c>
      <c r="F9" s="160">
        <v>50</v>
      </c>
      <c r="H9" s="22" t="s">
        <v>316</v>
      </c>
      <c r="I9">
        <f>GETPIVOTDATA("Garage capacity",$C$4,"Garage capacity",1)/GETPIVOTDATA("Garage capacity",$C$4)</f>
        <v>0.42</v>
      </c>
      <c r="J9" s="18">
        <f>GETPIVOTDATA("Garage capacity",$C$4,"Garage capacity",1)/GETPIVOTDATA("Garage capacity",$C$4)</f>
        <v>0.42</v>
      </c>
    </row>
    <row r="10" spans="1:11">
      <c r="H10" s="22" t="s">
        <v>317</v>
      </c>
      <c r="I10">
        <f>GETPIVOTDATA("Garage capacity",$C$4,"Location","Town")/GETPIVOTDATA("Garage capacity",$C$4)</f>
        <v>0.54</v>
      </c>
    </row>
    <row r="11" spans="1:11">
      <c r="C11" s="4" t="s">
        <v>295</v>
      </c>
      <c r="D11" s="4" t="s">
        <v>296</v>
      </c>
      <c r="H11" s="22" t="s">
        <v>318</v>
      </c>
      <c r="I11">
        <f>15/50</f>
        <v>0.3</v>
      </c>
    </row>
    <row r="12" spans="1:11">
      <c r="C12" s="4" t="s">
        <v>300</v>
      </c>
      <c r="D12" t="s">
        <v>301</v>
      </c>
      <c r="E12" t="s">
        <v>302</v>
      </c>
      <c r="F12" t="s">
        <v>303</v>
      </c>
      <c r="G12" s="4"/>
      <c r="H12" s="4"/>
      <c r="I12" s="4"/>
      <c r="J12" s="4"/>
      <c r="K12" s="4"/>
    </row>
    <row r="13" spans="1:11" ht="13">
      <c r="A13" s="22" t="s">
        <v>306</v>
      </c>
      <c r="B13" s="22" t="s">
        <v>307</v>
      </c>
      <c r="C13" s="5">
        <v>0</v>
      </c>
      <c r="D13" s="163">
        <v>0.2</v>
      </c>
      <c r="E13" s="164">
        <v>0.18</v>
      </c>
      <c r="F13" s="163">
        <v>0.38</v>
      </c>
      <c r="H13" s="22" t="s">
        <v>319</v>
      </c>
    </row>
    <row r="14" spans="1:11" ht="13">
      <c r="A14" s="22" t="s">
        <v>310</v>
      </c>
      <c r="B14" s="22" t="s">
        <v>311</v>
      </c>
      <c r="C14" s="5">
        <v>1</v>
      </c>
      <c r="D14" s="162">
        <v>0.3</v>
      </c>
      <c r="E14" s="163">
        <v>0.12</v>
      </c>
      <c r="F14" s="164">
        <v>0.42</v>
      </c>
      <c r="I14" s="22" t="s">
        <v>320</v>
      </c>
      <c r="J14" s="22" t="s">
        <v>320</v>
      </c>
    </row>
    <row r="15" spans="1:11" ht="14">
      <c r="A15" s="22" t="s">
        <v>312</v>
      </c>
      <c r="B15" s="22" t="s">
        <v>313</v>
      </c>
      <c r="C15" s="5">
        <v>2</v>
      </c>
      <c r="D15" s="165">
        <v>0.04</v>
      </c>
      <c r="E15" s="164">
        <v>0.16</v>
      </c>
      <c r="F15" s="163">
        <v>0.2</v>
      </c>
      <c r="H15" s="22" t="s">
        <v>321</v>
      </c>
      <c r="I15" t="b">
        <f>I17=I18</f>
        <v>0</v>
      </c>
    </row>
    <row r="16" spans="1:11" ht="13">
      <c r="C16" s="5" t="s">
        <v>303</v>
      </c>
      <c r="D16" s="163">
        <v>0.54</v>
      </c>
      <c r="E16" s="163">
        <v>0.46</v>
      </c>
      <c r="F16" s="164">
        <v>1</v>
      </c>
    </row>
    <row r="17" spans="3:9" ht="13">
      <c r="G17" s="22" t="s">
        <v>322</v>
      </c>
      <c r="H17" s="22" t="s">
        <v>318</v>
      </c>
      <c r="I17" s="23">
        <f>I11</f>
        <v>0.3</v>
      </c>
    </row>
    <row r="18" spans="3:9" ht="13">
      <c r="G18" s="22" t="s">
        <v>323</v>
      </c>
      <c r="H18" s="22" t="s">
        <v>324</v>
      </c>
      <c r="I18" s="167">
        <f>I9*I10</f>
        <v>0.2268</v>
      </c>
    </row>
    <row r="20" spans="3:9" ht="16.5">
      <c r="C20" s="168" t="s">
        <v>325</v>
      </c>
      <c r="H20" s="22" t="s">
        <v>326</v>
      </c>
    </row>
    <row r="21" spans="3:9">
      <c r="C21" s="22" t="s">
        <v>327</v>
      </c>
      <c r="D21" s="22" t="s">
        <v>314</v>
      </c>
      <c r="E21" s="22" t="s">
        <v>315</v>
      </c>
      <c r="H21" s="22" t="s">
        <v>328</v>
      </c>
    </row>
    <row r="22" spans="3:9">
      <c r="D22" s="22" t="s">
        <v>329</v>
      </c>
      <c r="E22" s="18">
        <f>GETPIVOTDATA("Garage capacity",$C$4,"Garage capacity",0)/GETPIVOTDATA("Garage capacity",$C$4)</f>
        <v>0.38</v>
      </c>
      <c r="F22" s="169">
        <f>GETPIVOTDATA("Garage capacity",$C$4,"Garage capacity",0)/GETPIVOTDATA("Garage capacity",$C$4)</f>
        <v>0.38</v>
      </c>
    </row>
    <row r="23" spans="3:9">
      <c r="D23" s="22" t="s">
        <v>330</v>
      </c>
      <c r="E23" s="18">
        <f>GETPIVOTDATA("Garage capacity",$C$4,"Location","Village")/GETPIVOTDATA("Garage capacity",$C$4)</f>
        <v>0.46</v>
      </c>
      <c r="F23" s="169">
        <f>GETPIVOTDATA("Garage capacity",$C$4,"Location","Village")/GETPIVOTDATA("Garage capacity",$C$4)</f>
        <v>0.46</v>
      </c>
    </row>
    <row r="24" spans="3:9">
      <c r="D24" s="22" t="s">
        <v>331</v>
      </c>
    </row>
    <row r="26" spans="3:9">
      <c r="C26" s="22" t="s">
        <v>322</v>
      </c>
      <c r="D26" s="22" t="s">
        <v>331</v>
      </c>
      <c r="F26" s="166">
        <f>GETPIVOTDATA("Garage capacity",$C$11,"Location","Village","Garage capacity",0)</f>
        <v>0.18</v>
      </c>
    </row>
    <row r="27" spans="3:9">
      <c r="C27" s="22" t="s">
        <v>323</v>
      </c>
      <c r="D27" s="22" t="s">
        <v>332</v>
      </c>
      <c r="F27" s="166">
        <f>F22*F23</f>
        <v>0.17480000000000001</v>
      </c>
    </row>
    <row r="29" spans="3:9" ht="16.5">
      <c r="C29" s="22" t="s">
        <v>326</v>
      </c>
    </row>
    <row r="30" spans="3:9">
      <c r="C30" s="22" t="s">
        <v>333</v>
      </c>
    </row>
  </sheetData>
  <mergeCells count="1">
    <mergeCell ref="C3:F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4BB0E-6010-48EF-9525-7CE07EC33897}">
  <dimension ref="A1:H51"/>
  <sheetViews>
    <sheetView workbookViewId="0"/>
  </sheetViews>
  <sheetFormatPr defaultRowHeight="12.5"/>
  <cols>
    <col min="1" max="1" width="10.08984375" customWidth="1"/>
    <col min="2" max="2" width="12.54296875" customWidth="1"/>
    <col min="3" max="3" width="11.54296875" customWidth="1"/>
    <col min="4" max="4" width="17.453125" customWidth="1"/>
    <col min="5" max="5" width="22.08984375" customWidth="1"/>
    <col min="6" max="6" width="16.90625" customWidth="1"/>
    <col min="8" max="8" width="13.90625" customWidth="1"/>
  </cols>
  <sheetData>
    <row r="1" spans="1:8">
      <c r="A1" t="s">
        <v>308</v>
      </c>
      <c r="B1" t="s">
        <v>334</v>
      </c>
      <c r="C1" t="s">
        <v>335</v>
      </c>
      <c r="D1" t="s">
        <v>336</v>
      </c>
      <c r="E1" t="s">
        <v>337</v>
      </c>
      <c r="F1" t="s">
        <v>304</v>
      </c>
      <c r="G1" t="s">
        <v>0</v>
      </c>
      <c r="H1" t="s">
        <v>338</v>
      </c>
    </row>
    <row r="2" spans="1:8">
      <c r="A2" t="s">
        <v>301</v>
      </c>
      <c r="B2" t="s">
        <v>339</v>
      </c>
      <c r="C2">
        <v>2</v>
      </c>
      <c r="D2">
        <v>1</v>
      </c>
      <c r="E2">
        <v>3</v>
      </c>
      <c r="F2">
        <v>0</v>
      </c>
      <c r="G2">
        <v>154995</v>
      </c>
      <c r="H2" t="s">
        <v>340</v>
      </c>
    </row>
    <row r="3" spans="1:8">
      <c r="A3" t="s">
        <v>301</v>
      </c>
      <c r="B3" t="s">
        <v>341</v>
      </c>
      <c r="C3">
        <v>3</v>
      </c>
      <c r="D3">
        <v>3</v>
      </c>
      <c r="E3">
        <v>6</v>
      </c>
      <c r="F3">
        <v>0</v>
      </c>
      <c r="G3">
        <v>175000</v>
      </c>
      <c r="H3" t="s">
        <v>340</v>
      </c>
    </row>
    <row r="4" spans="1:8">
      <c r="A4" t="s">
        <v>301</v>
      </c>
      <c r="B4" t="s">
        <v>341</v>
      </c>
      <c r="C4">
        <v>4</v>
      </c>
      <c r="D4">
        <v>2</v>
      </c>
      <c r="E4">
        <v>6</v>
      </c>
      <c r="F4">
        <v>0</v>
      </c>
      <c r="G4">
        <v>288000</v>
      </c>
      <c r="H4" t="s">
        <v>342</v>
      </c>
    </row>
    <row r="5" spans="1:8">
      <c r="A5" t="s">
        <v>301</v>
      </c>
      <c r="B5" t="s">
        <v>343</v>
      </c>
      <c r="C5">
        <v>4</v>
      </c>
      <c r="D5">
        <v>4</v>
      </c>
      <c r="E5">
        <v>8</v>
      </c>
      <c r="F5">
        <v>0</v>
      </c>
      <c r="G5">
        <v>235000</v>
      </c>
      <c r="H5" t="s">
        <v>342</v>
      </c>
    </row>
    <row r="6" spans="1:8">
      <c r="A6" t="s">
        <v>301</v>
      </c>
      <c r="B6" t="s">
        <v>343</v>
      </c>
      <c r="C6">
        <v>5</v>
      </c>
      <c r="D6">
        <v>4</v>
      </c>
      <c r="E6">
        <v>9</v>
      </c>
      <c r="F6">
        <v>0</v>
      </c>
      <c r="G6">
        <v>425000</v>
      </c>
      <c r="H6" t="s">
        <v>342</v>
      </c>
    </row>
    <row r="7" spans="1:8">
      <c r="A7" t="s">
        <v>301</v>
      </c>
      <c r="B7" t="s">
        <v>343</v>
      </c>
      <c r="C7">
        <v>2</v>
      </c>
      <c r="D7">
        <v>2</v>
      </c>
      <c r="E7">
        <v>4</v>
      </c>
      <c r="F7">
        <v>0</v>
      </c>
      <c r="G7">
        <v>185000</v>
      </c>
      <c r="H7" t="s">
        <v>340</v>
      </c>
    </row>
    <row r="8" spans="1:8">
      <c r="A8" t="s">
        <v>301</v>
      </c>
      <c r="B8" t="s">
        <v>341</v>
      </c>
      <c r="C8">
        <v>4</v>
      </c>
      <c r="D8">
        <v>3</v>
      </c>
      <c r="E8">
        <v>7</v>
      </c>
      <c r="F8">
        <v>0</v>
      </c>
      <c r="G8">
        <v>269950</v>
      </c>
      <c r="H8" t="s">
        <v>342</v>
      </c>
    </row>
    <row r="9" spans="1:8">
      <c r="A9" t="s">
        <v>301</v>
      </c>
      <c r="B9" t="s">
        <v>343</v>
      </c>
      <c r="C9">
        <v>3</v>
      </c>
      <c r="D9">
        <v>1</v>
      </c>
      <c r="E9">
        <v>4</v>
      </c>
      <c r="F9">
        <v>0</v>
      </c>
      <c r="G9">
        <v>179950</v>
      </c>
      <c r="H9" t="s">
        <v>340</v>
      </c>
    </row>
    <row r="10" spans="1:8">
      <c r="A10" t="s">
        <v>301</v>
      </c>
      <c r="B10" t="s">
        <v>343</v>
      </c>
      <c r="C10">
        <v>2</v>
      </c>
      <c r="D10">
        <v>1</v>
      </c>
      <c r="E10">
        <v>3</v>
      </c>
      <c r="F10">
        <v>0</v>
      </c>
      <c r="G10">
        <v>135000</v>
      </c>
      <c r="H10" t="s">
        <v>340</v>
      </c>
    </row>
    <row r="11" spans="1:8">
      <c r="A11" t="s">
        <v>301</v>
      </c>
      <c r="B11" t="s">
        <v>343</v>
      </c>
      <c r="C11">
        <v>4</v>
      </c>
      <c r="D11">
        <v>2</v>
      </c>
      <c r="E11">
        <v>6</v>
      </c>
      <c r="F11">
        <v>0</v>
      </c>
      <c r="G11">
        <v>475000</v>
      </c>
      <c r="H11" t="s">
        <v>342</v>
      </c>
    </row>
    <row r="12" spans="1:8">
      <c r="A12" t="s">
        <v>302</v>
      </c>
      <c r="B12" t="s">
        <v>343</v>
      </c>
      <c r="C12">
        <v>3</v>
      </c>
      <c r="D12">
        <v>1</v>
      </c>
      <c r="E12">
        <v>4</v>
      </c>
      <c r="F12">
        <v>0</v>
      </c>
      <c r="G12">
        <v>178000</v>
      </c>
      <c r="H12" t="s">
        <v>340</v>
      </c>
    </row>
    <row r="13" spans="1:8">
      <c r="A13" t="s">
        <v>302</v>
      </c>
      <c r="B13" t="s">
        <v>339</v>
      </c>
      <c r="C13">
        <v>2</v>
      </c>
      <c r="D13">
        <v>1</v>
      </c>
      <c r="E13">
        <v>3</v>
      </c>
      <c r="F13">
        <v>0</v>
      </c>
      <c r="G13">
        <v>174995</v>
      </c>
      <c r="H13" t="s">
        <v>340</v>
      </c>
    </row>
    <row r="14" spans="1:8">
      <c r="A14" t="s">
        <v>302</v>
      </c>
      <c r="B14" t="s">
        <v>341</v>
      </c>
      <c r="C14">
        <v>4</v>
      </c>
      <c r="D14">
        <v>2</v>
      </c>
      <c r="E14">
        <v>6</v>
      </c>
      <c r="F14">
        <v>0</v>
      </c>
      <c r="G14">
        <v>369995</v>
      </c>
      <c r="H14" t="s">
        <v>342</v>
      </c>
    </row>
    <row r="15" spans="1:8">
      <c r="A15" t="s">
        <v>302</v>
      </c>
      <c r="B15" t="s">
        <v>341</v>
      </c>
      <c r="C15">
        <v>3</v>
      </c>
      <c r="D15">
        <v>2</v>
      </c>
      <c r="E15">
        <v>5</v>
      </c>
      <c r="F15">
        <v>0</v>
      </c>
      <c r="G15">
        <v>220000</v>
      </c>
      <c r="H15" t="s">
        <v>342</v>
      </c>
    </row>
    <row r="16" spans="1:8">
      <c r="A16" t="s">
        <v>302</v>
      </c>
      <c r="B16" t="s">
        <v>341</v>
      </c>
      <c r="C16">
        <v>3</v>
      </c>
      <c r="D16">
        <v>3</v>
      </c>
      <c r="E16">
        <v>6</v>
      </c>
      <c r="F16">
        <v>0</v>
      </c>
      <c r="G16">
        <v>375000</v>
      </c>
      <c r="H16" t="s">
        <v>342</v>
      </c>
    </row>
    <row r="17" spans="1:8">
      <c r="A17" t="s">
        <v>302</v>
      </c>
      <c r="B17" t="s">
        <v>341</v>
      </c>
      <c r="C17">
        <v>2</v>
      </c>
      <c r="D17">
        <v>2</v>
      </c>
      <c r="E17">
        <v>4</v>
      </c>
      <c r="F17">
        <v>0</v>
      </c>
      <c r="G17">
        <v>295000</v>
      </c>
      <c r="H17" t="s">
        <v>342</v>
      </c>
    </row>
    <row r="18" spans="1:8">
      <c r="A18" t="s">
        <v>302</v>
      </c>
      <c r="B18" t="s">
        <v>343</v>
      </c>
      <c r="C18">
        <v>4</v>
      </c>
      <c r="D18">
        <v>4</v>
      </c>
      <c r="E18">
        <v>8</v>
      </c>
      <c r="F18">
        <v>0</v>
      </c>
      <c r="G18">
        <v>450000</v>
      </c>
      <c r="H18" t="s">
        <v>342</v>
      </c>
    </row>
    <row r="19" spans="1:8">
      <c r="A19" t="s">
        <v>302</v>
      </c>
      <c r="B19" t="s">
        <v>341</v>
      </c>
      <c r="C19">
        <v>4</v>
      </c>
      <c r="D19">
        <v>4</v>
      </c>
      <c r="E19">
        <v>8</v>
      </c>
      <c r="F19">
        <v>0</v>
      </c>
      <c r="G19">
        <v>375000</v>
      </c>
      <c r="H19" t="s">
        <v>342</v>
      </c>
    </row>
    <row r="20" spans="1:8">
      <c r="A20" t="s">
        <v>302</v>
      </c>
      <c r="B20" t="s">
        <v>343</v>
      </c>
      <c r="C20">
        <v>2</v>
      </c>
      <c r="D20">
        <v>2</v>
      </c>
      <c r="E20">
        <v>4</v>
      </c>
      <c r="F20">
        <v>0</v>
      </c>
      <c r="G20">
        <v>250000</v>
      </c>
      <c r="H20" t="s">
        <v>342</v>
      </c>
    </row>
    <row r="21" spans="1:8">
      <c r="A21" t="s">
        <v>301</v>
      </c>
      <c r="B21" t="s">
        <v>341</v>
      </c>
      <c r="C21">
        <v>4</v>
      </c>
      <c r="D21">
        <v>2</v>
      </c>
      <c r="E21">
        <v>6</v>
      </c>
      <c r="F21">
        <v>1</v>
      </c>
      <c r="G21">
        <v>234995</v>
      </c>
      <c r="H21" t="s">
        <v>342</v>
      </c>
    </row>
    <row r="22" spans="1:8">
      <c r="A22" t="s">
        <v>301</v>
      </c>
      <c r="B22" t="s">
        <v>341</v>
      </c>
      <c r="C22">
        <v>4</v>
      </c>
      <c r="D22">
        <v>2</v>
      </c>
      <c r="E22">
        <v>6</v>
      </c>
      <c r="F22">
        <v>1</v>
      </c>
      <c r="G22">
        <v>319000</v>
      </c>
      <c r="H22" t="s">
        <v>342</v>
      </c>
    </row>
    <row r="23" spans="1:8">
      <c r="A23" t="s">
        <v>301</v>
      </c>
      <c r="B23" t="s">
        <v>341</v>
      </c>
      <c r="C23">
        <v>3</v>
      </c>
      <c r="D23">
        <v>2</v>
      </c>
      <c r="E23">
        <v>5</v>
      </c>
      <c r="F23">
        <v>1</v>
      </c>
      <c r="G23">
        <v>244995</v>
      </c>
      <c r="H23" t="s">
        <v>342</v>
      </c>
    </row>
    <row r="24" spans="1:8">
      <c r="A24" t="s">
        <v>301</v>
      </c>
      <c r="B24" t="s">
        <v>341</v>
      </c>
      <c r="C24">
        <v>4</v>
      </c>
      <c r="D24">
        <v>2</v>
      </c>
      <c r="E24">
        <v>6</v>
      </c>
      <c r="F24">
        <v>1</v>
      </c>
      <c r="G24">
        <v>269950</v>
      </c>
      <c r="H24" t="s">
        <v>342</v>
      </c>
    </row>
    <row r="25" spans="1:8">
      <c r="A25" t="s">
        <v>301</v>
      </c>
      <c r="B25" t="s">
        <v>341</v>
      </c>
      <c r="C25">
        <v>4</v>
      </c>
      <c r="D25">
        <v>2</v>
      </c>
      <c r="E25">
        <v>6</v>
      </c>
      <c r="F25">
        <v>1</v>
      </c>
      <c r="G25">
        <v>285000</v>
      </c>
      <c r="H25" t="s">
        <v>342</v>
      </c>
    </row>
    <row r="26" spans="1:8">
      <c r="A26" t="s">
        <v>301</v>
      </c>
      <c r="B26" t="s">
        <v>341</v>
      </c>
      <c r="C26">
        <v>4</v>
      </c>
      <c r="D26">
        <v>4</v>
      </c>
      <c r="E26">
        <v>8</v>
      </c>
      <c r="F26">
        <v>1</v>
      </c>
      <c r="G26">
        <v>299995</v>
      </c>
      <c r="H26" t="s">
        <v>342</v>
      </c>
    </row>
    <row r="27" spans="1:8">
      <c r="A27" t="s">
        <v>301</v>
      </c>
      <c r="B27" t="s">
        <v>341</v>
      </c>
      <c r="C27">
        <v>3</v>
      </c>
      <c r="D27">
        <v>2</v>
      </c>
      <c r="E27">
        <v>5</v>
      </c>
      <c r="F27">
        <v>1</v>
      </c>
      <c r="G27">
        <v>219995</v>
      </c>
      <c r="H27" t="s">
        <v>342</v>
      </c>
    </row>
    <row r="28" spans="1:8">
      <c r="A28" t="s">
        <v>301</v>
      </c>
      <c r="B28" t="s">
        <v>341</v>
      </c>
      <c r="C28">
        <v>4</v>
      </c>
      <c r="D28">
        <v>3</v>
      </c>
      <c r="E28">
        <v>7</v>
      </c>
      <c r="F28">
        <v>1</v>
      </c>
      <c r="G28">
        <v>275000</v>
      </c>
      <c r="H28" t="s">
        <v>342</v>
      </c>
    </row>
    <row r="29" spans="1:8">
      <c r="A29" t="s">
        <v>301</v>
      </c>
      <c r="B29" t="s">
        <v>341</v>
      </c>
      <c r="C29">
        <v>3</v>
      </c>
      <c r="D29">
        <v>3</v>
      </c>
      <c r="E29">
        <v>6</v>
      </c>
      <c r="F29">
        <v>1</v>
      </c>
      <c r="G29">
        <v>199950</v>
      </c>
      <c r="H29" t="s">
        <v>340</v>
      </c>
    </row>
    <row r="30" spans="1:8">
      <c r="A30" t="s">
        <v>301</v>
      </c>
      <c r="B30" t="s">
        <v>341</v>
      </c>
      <c r="C30">
        <v>4</v>
      </c>
      <c r="D30">
        <v>2</v>
      </c>
      <c r="E30">
        <v>6</v>
      </c>
      <c r="F30">
        <v>1</v>
      </c>
      <c r="G30">
        <v>232000</v>
      </c>
      <c r="H30" t="s">
        <v>342</v>
      </c>
    </row>
    <row r="31" spans="1:8">
      <c r="A31" t="s">
        <v>301</v>
      </c>
      <c r="B31" t="s">
        <v>343</v>
      </c>
      <c r="C31">
        <v>3</v>
      </c>
      <c r="D31">
        <v>1</v>
      </c>
      <c r="E31">
        <v>4</v>
      </c>
      <c r="F31">
        <v>1</v>
      </c>
      <c r="G31">
        <v>229950</v>
      </c>
      <c r="H31" t="s">
        <v>342</v>
      </c>
    </row>
    <row r="32" spans="1:8">
      <c r="A32" t="s">
        <v>301</v>
      </c>
      <c r="B32" t="s">
        <v>339</v>
      </c>
      <c r="C32">
        <v>4</v>
      </c>
      <c r="D32">
        <v>2</v>
      </c>
      <c r="E32">
        <v>6</v>
      </c>
      <c r="F32">
        <v>1</v>
      </c>
      <c r="G32">
        <v>205000</v>
      </c>
      <c r="H32" t="s">
        <v>340</v>
      </c>
    </row>
    <row r="33" spans="1:8">
      <c r="A33" t="s">
        <v>301</v>
      </c>
      <c r="B33" t="s">
        <v>341</v>
      </c>
      <c r="C33">
        <v>4</v>
      </c>
      <c r="D33">
        <v>3</v>
      </c>
      <c r="E33">
        <v>7</v>
      </c>
      <c r="F33">
        <v>1</v>
      </c>
      <c r="G33">
        <v>329995</v>
      </c>
      <c r="H33" t="s">
        <v>342</v>
      </c>
    </row>
    <row r="34" spans="1:8">
      <c r="A34" t="s">
        <v>301</v>
      </c>
      <c r="B34" t="s">
        <v>339</v>
      </c>
      <c r="C34">
        <v>3</v>
      </c>
      <c r="D34">
        <v>2</v>
      </c>
      <c r="E34">
        <v>5</v>
      </c>
      <c r="F34">
        <v>1</v>
      </c>
      <c r="G34">
        <v>225000</v>
      </c>
      <c r="H34" t="s">
        <v>342</v>
      </c>
    </row>
    <row r="35" spans="1:8">
      <c r="A35" t="s">
        <v>301</v>
      </c>
      <c r="B35" t="s">
        <v>341</v>
      </c>
      <c r="C35">
        <v>6</v>
      </c>
      <c r="D35">
        <v>4</v>
      </c>
      <c r="E35">
        <v>10</v>
      </c>
      <c r="F35">
        <v>1</v>
      </c>
      <c r="G35">
        <v>850000</v>
      </c>
      <c r="H35" t="s">
        <v>342</v>
      </c>
    </row>
    <row r="36" spans="1:8">
      <c r="A36" t="s">
        <v>302</v>
      </c>
      <c r="B36" t="s">
        <v>341</v>
      </c>
      <c r="C36">
        <v>4</v>
      </c>
      <c r="D36">
        <v>4</v>
      </c>
      <c r="E36">
        <v>8</v>
      </c>
      <c r="F36">
        <v>1</v>
      </c>
      <c r="G36">
        <v>580000</v>
      </c>
      <c r="H36" t="s">
        <v>342</v>
      </c>
    </row>
    <row r="37" spans="1:8">
      <c r="A37" t="s">
        <v>302</v>
      </c>
      <c r="B37" t="s">
        <v>341</v>
      </c>
      <c r="C37">
        <v>4</v>
      </c>
      <c r="D37">
        <v>2</v>
      </c>
      <c r="E37">
        <v>6</v>
      </c>
      <c r="F37">
        <v>1</v>
      </c>
      <c r="G37">
        <v>545000</v>
      </c>
      <c r="H37" t="s">
        <v>342</v>
      </c>
    </row>
    <row r="38" spans="1:8">
      <c r="A38" t="s">
        <v>302</v>
      </c>
      <c r="B38" t="s">
        <v>341</v>
      </c>
      <c r="C38">
        <v>4</v>
      </c>
      <c r="D38">
        <v>3</v>
      </c>
      <c r="E38">
        <v>7</v>
      </c>
      <c r="F38">
        <v>1</v>
      </c>
      <c r="G38">
        <v>495000</v>
      </c>
      <c r="H38" t="s">
        <v>342</v>
      </c>
    </row>
    <row r="39" spans="1:8">
      <c r="A39" t="s">
        <v>302</v>
      </c>
      <c r="B39" t="s">
        <v>341</v>
      </c>
      <c r="C39">
        <v>4</v>
      </c>
      <c r="D39">
        <v>4</v>
      </c>
      <c r="E39">
        <v>8</v>
      </c>
      <c r="F39">
        <v>1</v>
      </c>
      <c r="G39">
        <v>375000</v>
      </c>
      <c r="H39" t="s">
        <v>342</v>
      </c>
    </row>
    <row r="40" spans="1:8">
      <c r="A40" t="s">
        <v>302</v>
      </c>
      <c r="B40" t="s">
        <v>341</v>
      </c>
      <c r="C40">
        <v>5</v>
      </c>
      <c r="D40">
        <v>3</v>
      </c>
      <c r="E40">
        <v>8</v>
      </c>
      <c r="F40">
        <v>1</v>
      </c>
      <c r="G40">
        <v>449500</v>
      </c>
      <c r="H40" t="s">
        <v>342</v>
      </c>
    </row>
    <row r="41" spans="1:8">
      <c r="A41" t="s">
        <v>302</v>
      </c>
      <c r="B41" t="s">
        <v>341</v>
      </c>
      <c r="C41">
        <v>4</v>
      </c>
      <c r="D41">
        <v>4</v>
      </c>
      <c r="E41">
        <v>8</v>
      </c>
      <c r="F41">
        <v>1</v>
      </c>
      <c r="G41">
        <v>465000</v>
      </c>
      <c r="H41" t="s">
        <v>342</v>
      </c>
    </row>
    <row r="42" spans="1:8">
      <c r="A42" t="s">
        <v>301</v>
      </c>
      <c r="B42" t="s">
        <v>341</v>
      </c>
      <c r="C42">
        <v>6</v>
      </c>
      <c r="D42">
        <v>3</v>
      </c>
      <c r="E42">
        <v>9</v>
      </c>
      <c r="F42">
        <v>2</v>
      </c>
      <c r="G42">
        <v>750000</v>
      </c>
      <c r="H42" t="s">
        <v>342</v>
      </c>
    </row>
    <row r="43" spans="1:8">
      <c r="A43" t="s">
        <v>301</v>
      </c>
      <c r="B43" t="s">
        <v>341</v>
      </c>
      <c r="C43">
        <v>5</v>
      </c>
      <c r="D43">
        <v>2</v>
      </c>
      <c r="E43">
        <v>7</v>
      </c>
      <c r="F43">
        <v>2</v>
      </c>
      <c r="G43">
        <v>400000</v>
      </c>
      <c r="H43" t="s">
        <v>342</v>
      </c>
    </row>
    <row r="44" spans="1:8">
      <c r="A44" t="s">
        <v>302</v>
      </c>
      <c r="B44" t="s">
        <v>341</v>
      </c>
      <c r="C44">
        <v>4</v>
      </c>
      <c r="D44">
        <v>2</v>
      </c>
      <c r="E44">
        <v>6</v>
      </c>
      <c r="F44">
        <v>2</v>
      </c>
      <c r="G44">
        <v>349950</v>
      </c>
      <c r="H44" t="s">
        <v>342</v>
      </c>
    </row>
    <row r="45" spans="1:8">
      <c r="A45" t="s">
        <v>302</v>
      </c>
      <c r="B45" t="s">
        <v>341</v>
      </c>
      <c r="C45">
        <v>4</v>
      </c>
      <c r="D45">
        <v>3</v>
      </c>
      <c r="E45">
        <v>7</v>
      </c>
      <c r="F45">
        <v>2</v>
      </c>
      <c r="G45">
        <v>524950</v>
      </c>
      <c r="H45" t="s">
        <v>342</v>
      </c>
    </row>
    <row r="46" spans="1:8">
      <c r="A46" t="s">
        <v>302</v>
      </c>
      <c r="B46" t="s">
        <v>341</v>
      </c>
      <c r="C46">
        <v>4</v>
      </c>
      <c r="D46">
        <v>4</v>
      </c>
      <c r="E46">
        <v>8</v>
      </c>
      <c r="F46">
        <v>2</v>
      </c>
      <c r="G46">
        <v>625000</v>
      </c>
      <c r="H46" t="s">
        <v>342</v>
      </c>
    </row>
    <row r="47" spans="1:8">
      <c r="A47" t="s">
        <v>302</v>
      </c>
      <c r="B47" t="s">
        <v>341</v>
      </c>
      <c r="C47">
        <v>5</v>
      </c>
      <c r="D47">
        <v>2</v>
      </c>
      <c r="E47">
        <v>7</v>
      </c>
      <c r="F47">
        <v>2</v>
      </c>
      <c r="G47">
        <v>449950</v>
      </c>
      <c r="H47" t="s">
        <v>342</v>
      </c>
    </row>
    <row r="48" spans="1:8">
      <c r="A48" t="s">
        <v>302</v>
      </c>
      <c r="B48" t="s">
        <v>341</v>
      </c>
      <c r="C48">
        <v>4</v>
      </c>
      <c r="D48">
        <v>3</v>
      </c>
      <c r="E48">
        <v>7</v>
      </c>
      <c r="F48">
        <v>2</v>
      </c>
      <c r="G48">
        <v>349950</v>
      </c>
      <c r="H48" t="s">
        <v>342</v>
      </c>
    </row>
    <row r="49" spans="1:8">
      <c r="A49" t="s">
        <v>302</v>
      </c>
      <c r="B49" t="s">
        <v>341</v>
      </c>
      <c r="C49">
        <v>4</v>
      </c>
      <c r="D49">
        <v>2</v>
      </c>
      <c r="E49">
        <v>6</v>
      </c>
      <c r="F49">
        <v>2</v>
      </c>
      <c r="G49">
        <v>392000</v>
      </c>
      <c r="H49" t="s">
        <v>342</v>
      </c>
    </row>
    <row r="50" spans="1:8">
      <c r="A50" t="s">
        <v>302</v>
      </c>
      <c r="B50" t="s">
        <v>341</v>
      </c>
      <c r="C50">
        <v>5</v>
      </c>
      <c r="D50">
        <v>3</v>
      </c>
      <c r="E50">
        <v>8</v>
      </c>
      <c r="F50">
        <v>2</v>
      </c>
      <c r="G50">
        <v>450000</v>
      </c>
      <c r="H50" t="s">
        <v>342</v>
      </c>
    </row>
    <row r="51" spans="1:8">
      <c r="A51" t="s">
        <v>302</v>
      </c>
      <c r="B51" t="s">
        <v>341</v>
      </c>
      <c r="C51">
        <v>3</v>
      </c>
      <c r="D51">
        <v>2</v>
      </c>
      <c r="E51">
        <v>5</v>
      </c>
      <c r="F51">
        <v>2</v>
      </c>
      <c r="G51">
        <v>325000</v>
      </c>
      <c r="H51" t="s">
        <v>342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01BA2-6F12-4313-BB5F-EFA3A97ACCB4}">
  <sheetPr>
    <tabColor rgb="FF7030A0"/>
  </sheetPr>
  <dimension ref="A1:M40"/>
  <sheetViews>
    <sheetView workbookViewId="0"/>
  </sheetViews>
  <sheetFormatPr defaultRowHeight="12.5"/>
  <cols>
    <col min="3" max="3" width="29.90625" customWidth="1"/>
    <col min="4" max="4" width="19" bestFit="1" customWidth="1"/>
    <col min="5" max="5" width="8.453125" bestFit="1" customWidth="1"/>
    <col min="6" max="6" width="13" bestFit="1" customWidth="1"/>
    <col min="8" max="8" width="14.90625" customWidth="1"/>
    <col min="9" max="9" width="14.08984375" bestFit="1" customWidth="1"/>
    <col min="10" max="10" width="16.453125" bestFit="1" customWidth="1"/>
    <col min="13" max="13" width="10.453125" bestFit="1" customWidth="1"/>
  </cols>
  <sheetData>
    <row r="1" spans="1:11">
      <c r="D1" s="22" t="s">
        <v>288</v>
      </c>
      <c r="E1" s="22" t="s">
        <v>289</v>
      </c>
    </row>
    <row r="2" spans="1:11" ht="13">
      <c r="C2" s="144" t="s">
        <v>290</v>
      </c>
      <c r="D2" s="22" t="s">
        <v>291</v>
      </c>
      <c r="E2" s="22" t="s">
        <v>292</v>
      </c>
      <c r="H2" s="22" t="s">
        <v>344</v>
      </c>
    </row>
    <row r="3" spans="1:11" ht="13">
      <c r="C3" s="318" t="s">
        <v>293</v>
      </c>
      <c r="D3" s="318"/>
      <c r="E3" s="318"/>
      <c r="F3" s="318"/>
      <c r="H3" s="22" t="s">
        <v>345</v>
      </c>
      <c r="I3" s="22" t="s">
        <v>298</v>
      </c>
      <c r="J3" s="22" t="s">
        <v>346</v>
      </c>
      <c r="K3" s="22" t="s">
        <v>347</v>
      </c>
    </row>
    <row r="4" spans="1:11">
      <c r="C4" s="4" t="s">
        <v>295</v>
      </c>
      <c r="D4" s="4" t="s">
        <v>296</v>
      </c>
      <c r="H4" s="22" t="s">
        <v>253</v>
      </c>
      <c r="I4" t="s">
        <v>304</v>
      </c>
      <c r="J4" s="22" t="s">
        <v>348</v>
      </c>
      <c r="K4" s="22" t="s">
        <v>349</v>
      </c>
    </row>
    <row r="5" spans="1:11" ht="13">
      <c r="C5" s="4" t="s">
        <v>300</v>
      </c>
      <c r="D5" t="s">
        <v>301</v>
      </c>
      <c r="E5" t="s">
        <v>302</v>
      </c>
      <c r="F5" t="s">
        <v>303</v>
      </c>
      <c r="H5" s="22" t="s">
        <v>255</v>
      </c>
      <c r="I5" s="22" t="s">
        <v>308</v>
      </c>
      <c r="J5" s="22" t="s">
        <v>350</v>
      </c>
      <c r="K5" s="115" t="s">
        <v>351</v>
      </c>
    </row>
    <row r="6" spans="1:11" ht="13">
      <c r="A6" s="22" t="s">
        <v>306</v>
      </c>
      <c r="B6" s="22" t="s">
        <v>307</v>
      </c>
      <c r="C6" s="5">
        <v>0</v>
      </c>
      <c r="D6" s="6">
        <v>10</v>
      </c>
      <c r="E6" s="123">
        <v>9</v>
      </c>
      <c r="F6" s="6">
        <v>19</v>
      </c>
    </row>
    <row r="7" spans="1:11" ht="17.5">
      <c r="A7" s="22" t="s">
        <v>310</v>
      </c>
      <c r="B7" s="22" t="s">
        <v>311</v>
      </c>
      <c r="C7" s="5">
        <v>1</v>
      </c>
      <c r="D7" s="121">
        <v>15</v>
      </c>
      <c r="E7" s="6">
        <v>6</v>
      </c>
      <c r="F7" s="124">
        <v>21</v>
      </c>
      <c r="H7" s="136" t="s">
        <v>352</v>
      </c>
      <c r="I7" s="138">
        <v>15</v>
      </c>
      <c r="J7" s="141" t="s">
        <v>353</v>
      </c>
    </row>
    <row r="8" spans="1:11" ht="17.5">
      <c r="A8" s="22" t="s">
        <v>312</v>
      </c>
      <c r="B8" s="22" t="s">
        <v>313</v>
      </c>
      <c r="C8" s="5">
        <v>2</v>
      </c>
      <c r="D8" s="151">
        <v>2</v>
      </c>
      <c r="E8" s="122">
        <v>8</v>
      </c>
      <c r="F8" s="6">
        <v>10</v>
      </c>
      <c r="H8" s="120" t="s">
        <v>354</v>
      </c>
      <c r="I8" s="20">
        <v>21</v>
      </c>
      <c r="J8" s="19" t="s">
        <v>310</v>
      </c>
    </row>
    <row r="9" spans="1:11" ht="17.5">
      <c r="C9" s="5" t="s">
        <v>303</v>
      </c>
      <c r="D9" s="6">
        <v>27</v>
      </c>
      <c r="E9" s="6">
        <v>23</v>
      </c>
      <c r="F9" s="144">
        <v>50</v>
      </c>
      <c r="H9" s="120" t="s">
        <v>355</v>
      </c>
      <c r="I9" s="20">
        <v>27</v>
      </c>
      <c r="J9" s="19" t="s">
        <v>288</v>
      </c>
    </row>
    <row r="11" spans="1:11">
      <c r="D11" s="22" t="s">
        <v>288</v>
      </c>
      <c r="E11" s="22" t="s">
        <v>289</v>
      </c>
    </row>
    <row r="12" spans="1:11">
      <c r="D12" s="22" t="s">
        <v>291</v>
      </c>
      <c r="E12" s="22" t="s">
        <v>292</v>
      </c>
    </row>
    <row r="13" spans="1:11" ht="13">
      <c r="C13" s="145" t="s">
        <v>356</v>
      </c>
      <c r="D13" s="22" t="s">
        <v>357</v>
      </c>
    </row>
    <row r="14" spans="1:11" ht="13">
      <c r="C14" s="319" t="s">
        <v>358</v>
      </c>
      <c r="D14" s="319"/>
      <c r="E14" s="319"/>
      <c r="F14" s="319"/>
    </row>
    <row r="15" spans="1:11">
      <c r="C15" s="4" t="s">
        <v>295</v>
      </c>
      <c r="D15" s="4" t="s">
        <v>296</v>
      </c>
    </row>
    <row r="16" spans="1:11">
      <c r="C16" s="4" t="s">
        <v>300</v>
      </c>
      <c r="D16" t="s">
        <v>301</v>
      </c>
      <c r="E16" t="s">
        <v>302</v>
      </c>
      <c r="F16" t="s">
        <v>303</v>
      </c>
      <c r="G16" s="4"/>
    </row>
    <row r="17" spans="1:13">
      <c r="A17" s="22" t="s">
        <v>306</v>
      </c>
      <c r="B17" s="22" t="s">
        <v>307</v>
      </c>
      <c r="C17" s="5">
        <v>0</v>
      </c>
      <c r="D17" s="21">
        <v>0.2</v>
      </c>
      <c r="E17" s="21">
        <v>0.18</v>
      </c>
      <c r="F17" s="21">
        <v>0.38</v>
      </c>
      <c r="I17" s="20">
        <f>GETPIVOTDATA("Garage capacity",$C$4,"Location","Town","Garage capacity",1)/GETPIVOTDATA("Garage capacity",$C$4)</f>
        <v>0.3</v>
      </c>
    </row>
    <row r="18" spans="1:13" ht="23.5">
      <c r="A18" s="22" t="s">
        <v>310</v>
      </c>
      <c r="B18" s="22" t="s">
        <v>311</v>
      </c>
      <c r="C18" s="5">
        <v>1</v>
      </c>
      <c r="D18" s="117">
        <v>0.3</v>
      </c>
      <c r="E18" s="21">
        <v>0.12</v>
      </c>
      <c r="F18" s="21">
        <v>0.42</v>
      </c>
      <c r="H18" s="136" t="s">
        <v>359</v>
      </c>
      <c r="I18" s="138">
        <f>GETPIVOTDATA("Garage capacity",$C$4,"Location","Town","Garage capacity",1)/GETPIVOTDATA("Garage capacity",$C$4)</f>
        <v>0.3</v>
      </c>
      <c r="J18" s="142">
        <f>GETPIVOTDATA("Garage capacity",$C$4,"Location","Town","Garage capacity",1)/GETPIVOTDATA("Garage capacity",$C$4)</f>
        <v>0.3</v>
      </c>
      <c r="K18" s="137" t="s">
        <v>360</v>
      </c>
      <c r="M18" s="44" t="s">
        <v>361</v>
      </c>
    </row>
    <row r="19" spans="1:13" ht="17.5">
      <c r="A19" s="22" t="s">
        <v>312</v>
      </c>
      <c r="B19" s="22" t="s">
        <v>313</v>
      </c>
      <c r="C19" s="5">
        <v>2</v>
      </c>
      <c r="D19" s="21">
        <v>0.04</v>
      </c>
      <c r="E19" s="21">
        <v>0.16</v>
      </c>
      <c r="F19" s="21">
        <v>0.2</v>
      </c>
      <c r="H19" s="120" t="s">
        <v>362</v>
      </c>
      <c r="I19" s="139">
        <f>GETPIVOTDATA("Garage capacity",$C$4,"Garage capacity",1)/GETPIVOTDATA("Garage capacity",$C$4)</f>
        <v>0.42</v>
      </c>
      <c r="J19" s="143">
        <f>GETPIVOTDATA("Garage capacity",$C$4,"Garage capacity",1)/GETPIVOTDATA("Garage capacity",$C$4)</f>
        <v>0.42</v>
      </c>
      <c r="K19" s="125" t="s">
        <v>363</v>
      </c>
      <c r="M19" s="22" t="s">
        <v>316</v>
      </c>
    </row>
    <row r="20" spans="1:13" ht="17.5">
      <c r="C20" s="5" t="s">
        <v>303</v>
      </c>
      <c r="D20" s="21">
        <v>0.54</v>
      </c>
      <c r="E20" s="21">
        <v>0.46</v>
      </c>
      <c r="F20" s="147">
        <v>1</v>
      </c>
      <c r="H20" s="120" t="s">
        <v>364</v>
      </c>
      <c r="I20" s="20">
        <f>GETPIVOTDATA("Garage capacity",$C$4,"Location","Town")/GETPIVOTDATA("Garage capacity",$C$4)</f>
        <v>0.54</v>
      </c>
      <c r="J20" s="143">
        <f>GETPIVOTDATA("Garage capacity",$C$4,"Location","Town")/GETPIVOTDATA("Garage capacity",$C$4)</f>
        <v>0.54</v>
      </c>
      <c r="K20" s="125" t="s">
        <v>365</v>
      </c>
      <c r="M20" s="22" t="s">
        <v>317</v>
      </c>
    </row>
    <row r="21" spans="1:13">
      <c r="D21" s="22" t="s">
        <v>288</v>
      </c>
      <c r="E21" s="22" t="s">
        <v>289</v>
      </c>
      <c r="H21" s="22"/>
      <c r="I21" s="116"/>
    </row>
    <row r="22" spans="1:13">
      <c r="D22" s="22" t="s">
        <v>291</v>
      </c>
      <c r="E22" s="22" t="s">
        <v>292</v>
      </c>
    </row>
    <row r="23" spans="1:13" ht="13">
      <c r="C23" s="145" t="s">
        <v>366</v>
      </c>
      <c r="D23" s="22" t="s">
        <v>367</v>
      </c>
    </row>
    <row r="24" spans="1:13" ht="13">
      <c r="C24" s="148" t="s">
        <v>368</v>
      </c>
      <c r="D24" s="148"/>
      <c r="E24" s="148"/>
      <c r="F24" s="148"/>
    </row>
    <row r="25" spans="1:13">
      <c r="C25" s="4" t="s">
        <v>295</v>
      </c>
      <c r="D25" s="4" t="s">
        <v>296</v>
      </c>
    </row>
    <row r="26" spans="1:13">
      <c r="C26" s="4" t="s">
        <v>300</v>
      </c>
      <c r="D26" t="s">
        <v>301</v>
      </c>
      <c r="E26" t="s">
        <v>302</v>
      </c>
      <c r="F26" t="s">
        <v>303</v>
      </c>
    </row>
    <row r="27" spans="1:13" ht="13">
      <c r="A27" s="22" t="s">
        <v>306</v>
      </c>
      <c r="B27" s="22" t="s">
        <v>307</v>
      </c>
      <c r="C27" s="5">
        <v>0</v>
      </c>
      <c r="D27" s="21">
        <v>0.37037037037037035</v>
      </c>
      <c r="E27" s="156">
        <v>0.39130434782608697</v>
      </c>
      <c r="F27" s="21">
        <v>0.38</v>
      </c>
    </row>
    <row r="28" spans="1:13" ht="13">
      <c r="A28" s="22" t="s">
        <v>310</v>
      </c>
      <c r="B28" s="22" t="s">
        <v>311</v>
      </c>
      <c r="C28" s="5">
        <v>1</v>
      </c>
      <c r="D28" s="135">
        <v>0.55555555555555558</v>
      </c>
      <c r="E28" s="21">
        <v>0.2608695652173913</v>
      </c>
      <c r="F28" s="21">
        <v>0.42</v>
      </c>
      <c r="H28" s="44" t="s">
        <v>369</v>
      </c>
      <c r="I28" s="140">
        <v>0.55555555555555547</v>
      </c>
      <c r="J28" s="44" t="s">
        <v>370</v>
      </c>
      <c r="K28" s="125" t="s">
        <v>371</v>
      </c>
    </row>
    <row r="29" spans="1:13">
      <c r="A29" s="22" t="s">
        <v>312</v>
      </c>
      <c r="B29" s="22" t="s">
        <v>313</v>
      </c>
      <c r="C29" s="5">
        <v>2</v>
      </c>
      <c r="D29" s="21">
        <v>7.407407407407407E-2</v>
      </c>
      <c r="E29" s="21">
        <v>0.34782608695652173</v>
      </c>
      <c r="F29" s="21">
        <v>0.2</v>
      </c>
      <c r="I29" s="32">
        <f>(15/50)/(27/50)</f>
        <v>0.55555555555555547</v>
      </c>
    </row>
    <row r="30" spans="1:13" ht="13.4" customHeight="1">
      <c r="C30" s="5" t="s">
        <v>303</v>
      </c>
      <c r="D30" s="146">
        <v>1</v>
      </c>
      <c r="E30" s="146">
        <v>1</v>
      </c>
      <c r="F30" s="147">
        <v>1</v>
      </c>
      <c r="H30" s="320" t="s">
        <v>372</v>
      </c>
      <c r="I30" s="320"/>
      <c r="J30" s="320"/>
    </row>
    <row r="31" spans="1:13">
      <c r="D31" s="22" t="s">
        <v>288</v>
      </c>
      <c r="E31" s="22" t="s">
        <v>289</v>
      </c>
      <c r="H31" s="320"/>
      <c r="I31" s="320"/>
      <c r="J31" s="320"/>
    </row>
    <row r="32" spans="1:13">
      <c r="D32" s="22" t="s">
        <v>291</v>
      </c>
      <c r="E32" s="22" t="s">
        <v>292</v>
      </c>
      <c r="H32" s="320"/>
      <c r="I32" s="320"/>
      <c r="J32" s="320"/>
    </row>
    <row r="33" spans="1:10" ht="13">
      <c r="C33" s="145" t="s">
        <v>373</v>
      </c>
      <c r="D33" s="22" t="s">
        <v>374</v>
      </c>
      <c r="H33" s="320"/>
      <c r="I33" s="320"/>
      <c r="J33" s="320"/>
    </row>
    <row r="34" spans="1:10" ht="13">
      <c r="C34" s="149" t="s">
        <v>375</v>
      </c>
      <c r="D34" s="149"/>
      <c r="E34" s="149"/>
      <c r="F34" s="149"/>
      <c r="H34" s="320"/>
      <c r="I34" s="320"/>
      <c r="J34" s="320"/>
    </row>
    <row r="35" spans="1:10">
      <c r="C35" s="4" t="s">
        <v>295</v>
      </c>
      <c r="D35" s="4" t="s">
        <v>296</v>
      </c>
      <c r="H35" s="320"/>
      <c r="I35" s="320"/>
      <c r="J35" s="320"/>
    </row>
    <row r="36" spans="1:10">
      <c r="C36" s="4" t="s">
        <v>300</v>
      </c>
      <c r="D36" t="s">
        <v>301</v>
      </c>
      <c r="E36" t="s">
        <v>302</v>
      </c>
      <c r="F36" t="s">
        <v>303</v>
      </c>
      <c r="H36" s="320"/>
      <c r="I36" s="320"/>
      <c r="J36" s="320"/>
    </row>
    <row r="37" spans="1:10" ht="13">
      <c r="A37" s="22" t="s">
        <v>306</v>
      </c>
      <c r="B37" s="22" t="s">
        <v>307</v>
      </c>
      <c r="C37" s="5">
        <v>0</v>
      </c>
      <c r="D37" s="153">
        <v>0.52631578947368418</v>
      </c>
      <c r="E37" s="21">
        <v>0.47368421052631576</v>
      </c>
      <c r="F37" s="147">
        <v>1</v>
      </c>
      <c r="H37" s="320"/>
      <c r="I37" s="320"/>
      <c r="J37" s="320"/>
    </row>
    <row r="38" spans="1:10" ht="13">
      <c r="A38" s="22" t="s">
        <v>310</v>
      </c>
      <c r="B38" s="22" t="s">
        <v>311</v>
      </c>
      <c r="C38" s="5">
        <v>1</v>
      </c>
      <c r="D38" s="117">
        <v>0.7142857142857143</v>
      </c>
      <c r="E38" s="21">
        <v>0.2857142857142857</v>
      </c>
      <c r="F38" s="147">
        <v>1</v>
      </c>
      <c r="H38" s="44" t="s">
        <v>376</v>
      </c>
      <c r="I38" s="140">
        <v>0.71430000000000005</v>
      </c>
    </row>
    <row r="39" spans="1:10" ht="13">
      <c r="A39" s="22" t="s">
        <v>312</v>
      </c>
      <c r="B39" s="22" t="s">
        <v>313</v>
      </c>
      <c r="C39" s="5">
        <v>2</v>
      </c>
      <c r="D39" s="21">
        <v>0.2</v>
      </c>
      <c r="E39" s="155">
        <v>0.8</v>
      </c>
      <c r="F39" s="147">
        <v>1</v>
      </c>
      <c r="I39" s="152">
        <v>0.71430000000000005</v>
      </c>
      <c r="J39">
        <f>(15/50)/(21/50)</f>
        <v>0.7142857142857143</v>
      </c>
    </row>
    <row r="40" spans="1:10" ht="13">
      <c r="C40" s="5" t="s">
        <v>303</v>
      </c>
      <c r="D40" s="154">
        <v>0.54</v>
      </c>
      <c r="E40" s="21">
        <v>0.46</v>
      </c>
      <c r="F40" s="147">
        <v>1</v>
      </c>
      <c r="J40" s="125" t="s">
        <v>377</v>
      </c>
    </row>
  </sheetData>
  <mergeCells count="3">
    <mergeCell ref="C3:F3"/>
    <mergeCell ref="C14:F14"/>
    <mergeCell ref="H30:J3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EB493-C9CA-4548-BA8D-501E9A624C95}">
  <sheetPr>
    <tabColor rgb="FF0070C0"/>
  </sheetPr>
  <dimension ref="A1:L25"/>
  <sheetViews>
    <sheetView workbookViewId="0"/>
  </sheetViews>
  <sheetFormatPr defaultColWidth="8.90625" defaultRowHeight="12.5"/>
  <cols>
    <col min="1" max="1" width="20.54296875" style="40" customWidth="1"/>
    <col min="2" max="2" width="4.90625" style="40" customWidth="1"/>
    <col min="3" max="3" width="7.08984375" style="40" customWidth="1"/>
    <col min="4" max="5" width="8.90625" style="40"/>
    <col min="6" max="6" width="11.08984375" style="40" bestFit="1" customWidth="1"/>
    <col min="7" max="7" width="12.453125" style="97" customWidth="1"/>
    <col min="8" max="8" width="11.54296875" style="40" customWidth="1"/>
    <col min="9" max="10" width="8.90625" style="40"/>
    <col min="11" max="11" width="11.90625" style="40" bestFit="1" customWidth="1"/>
    <col min="12" max="16384" width="8.90625" style="40"/>
  </cols>
  <sheetData>
    <row r="1" spans="1:12" ht="13.5" thickBot="1">
      <c r="F1" s="321" t="s">
        <v>378</v>
      </c>
      <c r="G1" s="322"/>
      <c r="H1" s="323"/>
    </row>
    <row r="2" spans="1:12" ht="27.65" customHeight="1" thickBot="1">
      <c r="A2" s="58" t="s">
        <v>379</v>
      </c>
      <c r="B2" s="59"/>
      <c r="C2" s="59"/>
      <c r="D2" s="59"/>
      <c r="E2" s="60"/>
      <c r="F2" s="61"/>
      <c r="G2" s="62" t="s">
        <v>380</v>
      </c>
      <c r="H2" s="63" t="s">
        <v>381</v>
      </c>
      <c r="I2" s="63" t="s">
        <v>381</v>
      </c>
    </row>
    <row r="3" spans="1:12" s="70" customFormat="1" ht="13">
      <c r="A3" s="64" t="s">
        <v>382</v>
      </c>
      <c r="B3" s="65" t="s">
        <v>48</v>
      </c>
      <c r="C3" s="66" t="s">
        <v>49</v>
      </c>
      <c r="D3" s="67" t="s">
        <v>383</v>
      </c>
      <c r="E3" s="66" t="s">
        <v>384</v>
      </c>
      <c r="F3" s="68" t="s">
        <v>385</v>
      </c>
      <c r="G3" s="69" t="s">
        <v>386</v>
      </c>
      <c r="H3" s="64" t="s">
        <v>387</v>
      </c>
      <c r="I3" s="40" t="s">
        <v>388</v>
      </c>
    </row>
    <row r="4" spans="1:12" ht="13">
      <c r="A4" s="71">
        <v>2</v>
      </c>
      <c r="B4" s="72">
        <v>6</v>
      </c>
      <c r="C4" s="73">
        <f>B4/$B$9</f>
        <v>0.12</v>
      </c>
      <c r="D4" s="40">
        <f>B4</f>
        <v>6</v>
      </c>
      <c r="E4" s="73">
        <f>C4</f>
        <v>0.12</v>
      </c>
      <c r="F4" s="74">
        <f>B4*A4</f>
        <v>12</v>
      </c>
      <c r="G4" s="75">
        <f>(A4-$F$10)^2*B4</f>
        <v>17.750400000000003</v>
      </c>
      <c r="H4" s="76">
        <f>A4^2*B4</f>
        <v>24</v>
      </c>
      <c r="I4" s="40">
        <f>POWER(A4,2)*B4</f>
        <v>24</v>
      </c>
      <c r="K4" s="43" t="s">
        <v>389</v>
      </c>
      <c r="L4" s="118">
        <f>SUMPRODUCT(A4:A8,B4:B8)</f>
        <v>186</v>
      </c>
    </row>
    <row r="5" spans="1:12" ht="13">
      <c r="A5" s="71">
        <v>3</v>
      </c>
      <c r="B5" s="72">
        <v>11</v>
      </c>
      <c r="C5" s="73">
        <f>B5/$B$9</f>
        <v>0.22</v>
      </c>
      <c r="D5" s="40">
        <f>D4+B5</f>
        <v>17</v>
      </c>
      <c r="E5" s="73">
        <f>E4+C5</f>
        <v>0.33999999999999997</v>
      </c>
      <c r="F5" s="74">
        <f t="shared" ref="F5:F8" si="0">B5*A5</f>
        <v>33</v>
      </c>
      <c r="G5" s="75">
        <f t="shared" ref="G5:G8" si="1">(A5-$F$10)^2*B5</f>
        <v>5.7024000000000035</v>
      </c>
      <c r="H5" s="76">
        <f t="shared" ref="H5:H8" si="2">A5^2*B5</f>
        <v>99</v>
      </c>
      <c r="I5" s="40">
        <f t="shared" ref="I5:I8" si="3">POWER(A5,2)*B5</f>
        <v>99</v>
      </c>
      <c r="K5" s="43" t="s">
        <v>388</v>
      </c>
      <c r="L5" s="40">
        <f>POWER(A4,2)</f>
        <v>4</v>
      </c>
    </row>
    <row r="6" spans="1:12" ht="13">
      <c r="A6" s="77">
        <v>4</v>
      </c>
      <c r="B6" s="78">
        <v>26</v>
      </c>
      <c r="C6" s="79">
        <f>B6/$B$9</f>
        <v>0.52</v>
      </c>
      <c r="D6" s="40">
        <f>D5+B6</f>
        <v>43</v>
      </c>
      <c r="E6" s="73">
        <f t="shared" ref="D6:E8" si="4">E5+C6</f>
        <v>0.86</v>
      </c>
      <c r="F6" s="74">
        <f t="shared" si="0"/>
        <v>104</v>
      </c>
      <c r="G6" s="75">
        <f t="shared" si="1"/>
        <v>2.0383999999999971</v>
      </c>
      <c r="H6" s="76">
        <f t="shared" si="2"/>
        <v>416</v>
      </c>
      <c r="I6" s="40">
        <f t="shared" si="3"/>
        <v>416</v>
      </c>
      <c r="K6" s="43" t="s">
        <v>390</v>
      </c>
    </row>
    <row r="7" spans="1:12">
      <c r="A7" s="71">
        <v>5</v>
      </c>
      <c r="B7" s="72">
        <v>5</v>
      </c>
      <c r="C7" s="73">
        <f>B7/$B$9</f>
        <v>0.1</v>
      </c>
      <c r="D7" s="40">
        <f t="shared" si="4"/>
        <v>48</v>
      </c>
      <c r="E7" s="73">
        <f t="shared" si="4"/>
        <v>0.96</v>
      </c>
      <c r="F7" s="74">
        <f t="shared" si="0"/>
        <v>25</v>
      </c>
      <c r="G7" s="75">
        <f t="shared" si="1"/>
        <v>8.1919999999999966</v>
      </c>
      <c r="H7" s="76">
        <f t="shared" si="2"/>
        <v>125</v>
      </c>
      <c r="I7" s="40">
        <f t="shared" si="3"/>
        <v>125</v>
      </c>
    </row>
    <row r="8" spans="1:12" ht="13">
      <c r="A8" s="71">
        <v>6</v>
      </c>
      <c r="B8" s="72">
        <v>2</v>
      </c>
      <c r="C8" s="73">
        <f>B8/$B$9</f>
        <v>0.04</v>
      </c>
      <c r="D8" s="43">
        <f t="shared" si="4"/>
        <v>50</v>
      </c>
      <c r="E8" s="73">
        <f t="shared" si="4"/>
        <v>1</v>
      </c>
      <c r="F8" s="74">
        <f t="shared" si="0"/>
        <v>12</v>
      </c>
      <c r="G8" s="75">
        <f t="shared" si="1"/>
        <v>10.396799999999999</v>
      </c>
      <c r="H8" s="76">
        <f t="shared" si="2"/>
        <v>72</v>
      </c>
      <c r="I8" s="40">
        <f t="shared" si="3"/>
        <v>72</v>
      </c>
    </row>
    <row r="9" spans="1:12" s="87" customFormat="1" ht="13.5" thickBot="1">
      <c r="A9" s="80" t="s">
        <v>46</v>
      </c>
      <c r="B9" s="81">
        <f>SUM(B4:B8)</f>
        <v>50</v>
      </c>
      <c r="C9" s="82">
        <f>SUM(C4:C8)</f>
        <v>1</v>
      </c>
      <c r="D9" s="83" t="s">
        <v>215</v>
      </c>
      <c r="E9" s="84" t="s">
        <v>215</v>
      </c>
      <c r="F9" s="119">
        <f>SUM(F4:F8)</f>
        <v>186</v>
      </c>
      <c r="G9" s="86">
        <f>SUM(G4:G8)</f>
        <v>44.08</v>
      </c>
      <c r="H9" s="86">
        <f>SUM(H4:H8)</f>
        <v>736</v>
      </c>
      <c r="I9" s="87">
        <f>SUM(I4:I8)</f>
        <v>736</v>
      </c>
    </row>
    <row r="10" spans="1:12" s="43" customFormat="1" ht="13">
      <c r="A10" s="88" t="s">
        <v>391</v>
      </c>
      <c r="F10" s="88">
        <f>F9/B9</f>
        <v>3.72</v>
      </c>
      <c r="G10" s="89"/>
      <c r="H10" s="88">
        <f>H9/B9</f>
        <v>14.72</v>
      </c>
    </row>
    <row r="11" spans="1:12" s="43" customFormat="1" ht="13">
      <c r="A11" s="90" t="s">
        <v>392</v>
      </c>
      <c r="G11" s="91">
        <f>G9/B9</f>
        <v>0.88159999999999994</v>
      </c>
      <c r="H11" s="91">
        <f>H10-(F10^2)</f>
        <v>0.88159999999999883</v>
      </c>
    </row>
    <row r="12" spans="1:12" s="43" customFormat="1" ht="13">
      <c r="A12" s="90" t="s">
        <v>393</v>
      </c>
      <c r="G12" s="91">
        <f>G9/(B9-1)</f>
        <v>0.89959183673469389</v>
      </c>
      <c r="H12" s="91">
        <f>H11*B9/(B9-1)</f>
        <v>0.89959183673469267</v>
      </c>
    </row>
    <row r="13" spans="1:12" s="43" customFormat="1" ht="13">
      <c r="A13" s="92" t="s">
        <v>394</v>
      </c>
      <c r="G13" s="93">
        <f>SQRT(G11)</f>
        <v>0.93893556754444019</v>
      </c>
      <c r="H13" s="93">
        <f>SQRT(H11)</f>
        <v>0.93893556754443952</v>
      </c>
    </row>
    <row r="14" spans="1:12" s="43" customFormat="1" ht="13">
      <c r="A14" s="92" t="s">
        <v>395</v>
      </c>
      <c r="G14" s="93">
        <f>SQRT(G12)</f>
        <v>0.94846815272559037</v>
      </c>
      <c r="H14" s="93">
        <f>SQRT(H12)</f>
        <v>0.94846815272558982</v>
      </c>
    </row>
    <row r="15" spans="1:12" s="43" customFormat="1" ht="13">
      <c r="G15" s="89"/>
      <c r="H15" s="89"/>
    </row>
    <row r="16" spans="1:12" s="43" customFormat="1" ht="13">
      <c r="A16" s="94" t="s">
        <v>396</v>
      </c>
      <c r="G16" s="89"/>
      <c r="H16" s="89"/>
    </row>
    <row r="17" spans="1:8" s="43" customFormat="1" ht="13">
      <c r="A17" s="95" t="s">
        <v>397</v>
      </c>
      <c r="B17" s="95" t="s">
        <v>398</v>
      </c>
      <c r="C17" s="95"/>
      <c r="E17" s="43" t="s">
        <v>399</v>
      </c>
      <c r="G17" s="89"/>
      <c r="H17" s="89"/>
    </row>
    <row r="18" spans="1:8" s="43" customFormat="1" ht="13">
      <c r="E18" s="43" t="s">
        <v>400</v>
      </c>
      <c r="G18" s="89"/>
      <c r="H18" s="89"/>
    </row>
    <row r="19" spans="1:8" s="43" customFormat="1" ht="13">
      <c r="G19" s="89"/>
      <c r="H19" s="89"/>
    </row>
    <row r="20" spans="1:8" ht="13">
      <c r="A20" s="95" t="s">
        <v>401</v>
      </c>
      <c r="B20" s="150">
        <f>A6</f>
        <v>4</v>
      </c>
      <c r="D20" s="40" t="s">
        <v>402</v>
      </c>
    </row>
    <row r="21" spans="1:8" ht="13">
      <c r="A21" s="95" t="s">
        <v>403</v>
      </c>
      <c r="B21" s="150">
        <f>A6</f>
        <v>4</v>
      </c>
      <c r="D21" s="40" t="s">
        <v>404</v>
      </c>
    </row>
    <row r="22" spans="1:8" ht="13">
      <c r="A22" s="95" t="s">
        <v>405</v>
      </c>
      <c r="B22" s="150">
        <f>A5</f>
        <v>3</v>
      </c>
      <c r="D22" s="40" t="s">
        <v>406</v>
      </c>
    </row>
    <row r="23" spans="1:8" ht="13">
      <c r="A23" s="95" t="s">
        <v>407</v>
      </c>
      <c r="B23" s="150">
        <f>A6</f>
        <v>4</v>
      </c>
      <c r="D23" s="40" t="s">
        <v>408</v>
      </c>
    </row>
    <row r="24" spans="1:8" ht="13">
      <c r="A24" s="95" t="s">
        <v>409</v>
      </c>
      <c r="B24" s="150">
        <f>A4</f>
        <v>2</v>
      </c>
      <c r="D24" s="40" t="s">
        <v>410</v>
      </c>
    </row>
    <row r="25" spans="1:8" ht="13">
      <c r="A25" s="95" t="s">
        <v>411</v>
      </c>
      <c r="B25" s="150">
        <f>A7</f>
        <v>5</v>
      </c>
      <c r="D25" s="40" t="s">
        <v>412</v>
      </c>
    </row>
  </sheetData>
  <mergeCells count="1">
    <mergeCell ref="F1:H1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7166-4CB2-4A06-86E4-D11F903DB7D2}">
  <sheetPr>
    <tabColor rgb="FF0070C0"/>
  </sheetPr>
  <dimension ref="A1:G13"/>
  <sheetViews>
    <sheetView workbookViewId="0"/>
  </sheetViews>
  <sheetFormatPr defaultRowHeight="12.5"/>
  <cols>
    <col min="1" max="1" width="19.08984375" bestFit="1" customWidth="1"/>
    <col min="2" max="2" width="26.453125" bestFit="1" customWidth="1"/>
    <col min="3" max="3" width="22.453125" customWidth="1"/>
    <col min="4" max="4" width="1.90625" customWidth="1"/>
    <col min="5" max="5" width="19.08984375" bestFit="1" customWidth="1"/>
    <col min="6" max="6" width="24.453125" bestFit="1" customWidth="1"/>
    <col min="7" max="7" width="22.90625" customWidth="1"/>
  </cols>
  <sheetData>
    <row r="1" spans="1:7" ht="26">
      <c r="B1" s="130" t="s">
        <v>413</v>
      </c>
      <c r="C1" s="131" t="s">
        <v>414</v>
      </c>
      <c r="F1" s="133" t="s">
        <v>415</v>
      </c>
      <c r="G1" s="134" t="s">
        <v>416</v>
      </c>
    </row>
    <row r="2" spans="1:7" ht="13">
      <c r="B2" s="128" t="s">
        <v>48</v>
      </c>
      <c r="C2" s="129" t="s">
        <v>417</v>
      </c>
      <c r="F2" s="259" t="s">
        <v>49</v>
      </c>
      <c r="G2" s="132" t="s">
        <v>384</v>
      </c>
    </row>
    <row r="3" spans="1:7">
      <c r="A3" s="4" t="s">
        <v>300</v>
      </c>
      <c r="B3" t="s">
        <v>295</v>
      </c>
      <c r="E3" s="4" t="s">
        <v>300</v>
      </c>
      <c r="F3" t="s">
        <v>295</v>
      </c>
    </row>
    <row r="4" spans="1:7">
      <c r="A4" s="5">
        <v>0</v>
      </c>
      <c r="B4" s="6">
        <v>19</v>
      </c>
      <c r="C4" s="20">
        <f>GETPIVOTDATA("Garage capacity",$A$3,"Garage capacity",0)</f>
        <v>19</v>
      </c>
      <c r="E4" s="5">
        <v>0</v>
      </c>
      <c r="F4" s="21">
        <v>0.38</v>
      </c>
      <c r="G4" s="126">
        <f>GETPIVOTDATA("Garage capacity",$E$3,"Garage capacity",0)</f>
        <v>0.38</v>
      </c>
    </row>
    <row r="5" spans="1:7">
      <c r="A5" s="5">
        <v>1</v>
      </c>
      <c r="B5" s="6">
        <v>21</v>
      </c>
      <c r="C5" s="20">
        <f>C4+GETPIVOTDATA("Garage capacity",$A$3,"Garage capacity",1)</f>
        <v>40</v>
      </c>
      <c r="E5" s="5">
        <v>1</v>
      </c>
      <c r="F5" s="21">
        <v>0.42</v>
      </c>
      <c r="G5" s="127">
        <f>G4+GETPIVOTDATA("Garage capacity",$E$3,"Garage capacity",1)</f>
        <v>0.8</v>
      </c>
    </row>
    <row r="6" spans="1:7">
      <c r="A6" s="5">
        <v>2</v>
      </c>
      <c r="B6" s="6">
        <v>10</v>
      </c>
      <c r="C6" s="20">
        <f>C5+GETPIVOTDATA("Garage capacity",$A$3,"Garage capacity",2)</f>
        <v>50</v>
      </c>
      <c r="E6" s="5">
        <v>2</v>
      </c>
      <c r="F6" s="21">
        <v>0.2</v>
      </c>
      <c r="G6" s="127">
        <f>G5+GETPIVOTDATA("Garage capacity",$E$3,"Garage capacity",2)</f>
        <v>1</v>
      </c>
    </row>
    <row r="7" spans="1:7">
      <c r="A7" s="5" t="s">
        <v>303</v>
      </c>
      <c r="B7" s="6">
        <v>50</v>
      </c>
      <c r="C7" s="20" t="s">
        <v>215</v>
      </c>
      <c r="E7" s="5" t="s">
        <v>303</v>
      </c>
      <c r="F7" s="21">
        <v>1</v>
      </c>
      <c r="G7" s="20" t="s">
        <v>215</v>
      </c>
    </row>
    <row r="10" spans="1:7">
      <c r="A10" s="4" t="s">
        <v>300</v>
      </c>
      <c r="B10" t="s">
        <v>418</v>
      </c>
      <c r="C10" s="4"/>
      <c r="D10" s="4"/>
      <c r="E10" s="4" t="s">
        <v>300</v>
      </c>
      <c r="F10" t="s">
        <v>418</v>
      </c>
      <c r="G10" s="4"/>
    </row>
    <row r="11" spans="1:7">
      <c r="A11" s="5" t="s">
        <v>301</v>
      </c>
      <c r="B11" s="6">
        <v>27</v>
      </c>
      <c r="E11" s="5" t="s">
        <v>301</v>
      </c>
      <c r="F11" s="21">
        <v>0.54</v>
      </c>
    </row>
    <row r="12" spans="1:7">
      <c r="A12" s="5" t="s">
        <v>302</v>
      </c>
      <c r="B12" s="6">
        <v>23</v>
      </c>
      <c r="E12" s="5" t="s">
        <v>302</v>
      </c>
      <c r="F12" s="21">
        <v>0.46</v>
      </c>
    </row>
    <row r="13" spans="1:7">
      <c r="A13" s="5" t="s">
        <v>303</v>
      </c>
      <c r="B13" s="6">
        <v>50</v>
      </c>
      <c r="E13" s="5" t="s">
        <v>303</v>
      </c>
      <c r="F13" s="21">
        <v>1</v>
      </c>
    </row>
  </sheetData>
  <pageMargins left="0.7" right="0.7" top="0.75" bottom="0.75" header="0.3" footer="0.3"/>
  <pageSetup paperSize="9" orientation="portrait" r:id="rId5"/>
  <legacyDrawing r:id="rId6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B1DE0-252A-4960-8AF3-5EF49C762086}">
  <sheetPr>
    <tabColor rgb="FFC00000"/>
  </sheetPr>
  <dimension ref="A1:M125"/>
  <sheetViews>
    <sheetView zoomScale="85" zoomScaleNormal="85" workbookViewId="0">
      <selection activeCell="K13" sqref="K13"/>
    </sheetView>
  </sheetViews>
  <sheetFormatPr defaultRowHeight="12.5"/>
  <cols>
    <col min="1" max="1" width="25.54296875" customWidth="1"/>
    <col min="2" max="3" width="16.54296875" bestFit="1" customWidth="1"/>
    <col min="4" max="4" width="13.08984375" bestFit="1" customWidth="1"/>
    <col min="5" max="5" width="18.54296875" customWidth="1"/>
    <col min="6" max="6" width="24" customWidth="1"/>
    <col min="7" max="7" width="17.54296875" customWidth="1"/>
    <col min="8" max="8" width="15.54296875" bestFit="1" customWidth="1"/>
    <col min="9" max="11" width="15.54296875" customWidth="1"/>
    <col min="12" max="12" width="2.54296875" customWidth="1"/>
    <col min="13" max="13" width="17.54296875" customWidth="1"/>
    <col min="14" max="15" width="2.54296875" customWidth="1"/>
    <col min="16" max="16" width="19.54296875" bestFit="1" customWidth="1"/>
    <col min="17" max="17" width="12.54296875" bestFit="1" customWidth="1"/>
  </cols>
  <sheetData>
    <row r="1" spans="2:13" ht="36" customHeight="1">
      <c r="B1" t="s">
        <v>308</v>
      </c>
      <c r="C1" t="s">
        <v>334</v>
      </c>
      <c r="D1" t="s">
        <v>335</v>
      </c>
      <c r="E1" t="s">
        <v>336</v>
      </c>
      <c r="F1" t="s">
        <v>337</v>
      </c>
      <c r="G1" t="s">
        <v>304</v>
      </c>
      <c r="H1" s="2" t="s">
        <v>0</v>
      </c>
      <c r="I1" s="34" t="s">
        <v>1</v>
      </c>
      <c r="J1" s="34" t="s">
        <v>419</v>
      </c>
      <c r="K1" s="34" t="s">
        <v>338</v>
      </c>
      <c r="L1" s="2"/>
      <c r="M1" s="13" t="s">
        <v>420</v>
      </c>
    </row>
    <row r="2" spans="2:13" ht="14">
      <c r="B2" s="1" t="s">
        <v>301</v>
      </c>
      <c r="C2" s="1" t="s">
        <v>341</v>
      </c>
      <c r="D2" s="1">
        <v>4</v>
      </c>
      <c r="E2" s="1">
        <v>2</v>
      </c>
      <c r="F2" s="1">
        <f t="shared" ref="F2:F33" si="0">D2+E2</f>
        <v>6</v>
      </c>
      <c r="G2" s="1">
        <v>1</v>
      </c>
      <c r="H2" s="3">
        <v>234995</v>
      </c>
      <c r="I2" s="3">
        <f>tab_data_funkcie[[#This Row],[Price]]/1000</f>
        <v>234.995</v>
      </c>
      <c r="J2" s="3">
        <v>234.995</v>
      </c>
      <c r="K2" s="35" t="str">
        <f>IF(tab_data_funkcie[[#This Row],[Price]]&lt;=210000,"OK","NG")</f>
        <v>NG</v>
      </c>
      <c r="L2" s="3"/>
      <c r="M2" s="3">
        <v>250000</v>
      </c>
    </row>
    <row r="3" spans="2:13" ht="14">
      <c r="B3" s="1" t="s">
        <v>301</v>
      </c>
      <c r="C3" s="1" t="s">
        <v>341</v>
      </c>
      <c r="D3" s="1">
        <v>4</v>
      </c>
      <c r="E3" s="1">
        <v>2</v>
      </c>
      <c r="F3" s="1">
        <f t="shared" si="0"/>
        <v>6</v>
      </c>
      <c r="G3" s="1">
        <v>1</v>
      </c>
      <c r="H3" s="3">
        <v>319000</v>
      </c>
      <c r="I3" s="3">
        <f>tab_data_funkcie[[#This Row],[Price]]/1000</f>
        <v>319</v>
      </c>
      <c r="J3" s="3">
        <v>319</v>
      </c>
      <c r="K3" s="35" t="str">
        <f>IF(tab_data_funkcie[[#This Row],[Price]]&lt;=210000,"OK","NG")</f>
        <v>NG</v>
      </c>
      <c r="L3" s="3"/>
      <c r="M3" s="3">
        <v>450000</v>
      </c>
    </row>
    <row r="4" spans="2:13" ht="14">
      <c r="B4" s="1" t="s">
        <v>301</v>
      </c>
      <c r="C4" s="1" t="s">
        <v>339</v>
      </c>
      <c r="D4" s="1">
        <v>2</v>
      </c>
      <c r="E4" s="1">
        <v>1</v>
      </c>
      <c r="F4" s="1">
        <f t="shared" si="0"/>
        <v>3</v>
      </c>
      <c r="G4" s="1">
        <v>0</v>
      </c>
      <c r="H4" s="3">
        <v>154995</v>
      </c>
      <c r="I4" s="3">
        <f>tab_data_funkcie[[#This Row],[Price]]/1000</f>
        <v>154.995</v>
      </c>
      <c r="J4" s="3">
        <v>154.995</v>
      </c>
      <c r="K4" s="35" t="str">
        <f>IF(tab_data_funkcie[[#This Row],[Price]]&lt;=210000,"OK","NG")</f>
        <v>OK</v>
      </c>
      <c r="L4" s="3"/>
      <c r="M4" s="3">
        <v>600000</v>
      </c>
    </row>
    <row r="5" spans="2:13" ht="14">
      <c r="B5" s="1" t="s">
        <v>302</v>
      </c>
      <c r="C5" s="1" t="s">
        <v>341</v>
      </c>
      <c r="D5" s="1">
        <v>4</v>
      </c>
      <c r="E5" s="1">
        <v>2</v>
      </c>
      <c r="F5" s="1">
        <f t="shared" si="0"/>
        <v>6</v>
      </c>
      <c r="G5" s="1">
        <v>2</v>
      </c>
      <c r="H5" s="3">
        <v>349950</v>
      </c>
      <c r="I5" s="3">
        <f>tab_data_funkcie[[#This Row],[Price]]/1000</f>
        <v>349.95</v>
      </c>
      <c r="J5" s="3">
        <v>349.95</v>
      </c>
      <c r="K5" s="35" t="str">
        <f>IF(tab_data_funkcie[[#This Row],[Price]]&lt;=210000,"OK","NG")</f>
        <v>NG</v>
      </c>
      <c r="L5" s="3"/>
      <c r="M5" s="3"/>
    </row>
    <row r="6" spans="2:13" ht="14">
      <c r="B6" s="1" t="s">
        <v>301</v>
      </c>
      <c r="C6" s="1" t="s">
        <v>341</v>
      </c>
      <c r="D6" s="1">
        <v>3</v>
      </c>
      <c r="E6" s="1">
        <v>2</v>
      </c>
      <c r="F6" s="1">
        <f t="shared" si="0"/>
        <v>5</v>
      </c>
      <c r="G6" s="1">
        <v>1</v>
      </c>
      <c r="H6" s="3">
        <v>244995</v>
      </c>
      <c r="I6" s="3">
        <f>tab_data_funkcie[[#This Row],[Price]]/1000</f>
        <v>244.995</v>
      </c>
      <c r="J6" s="3">
        <v>244.995</v>
      </c>
      <c r="K6" s="35" t="str">
        <f>IF(tab_data_funkcie[[#This Row],[Price]]&lt;=210000,"OK","NG")</f>
        <v>NG</v>
      </c>
      <c r="L6" s="3"/>
      <c r="M6" s="3"/>
    </row>
    <row r="7" spans="2:13" ht="14">
      <c r="B7" s="1" t="s">
        <v>302</v>
      </c>
      <c r="C7" s="1" t="s">
        <v>343</v>
      </c>
      <c r="D7" s="1">
        <v>3</v>
      </c>
      <c r="E7" s="1">
        <v>1</v>
      </c>
      <c r="F7" s="1">
        <f t="shared" si="0"/>
        <v>4</v>
      </c>
      <c r="G7" s="1">
        <v>0</v>
      </c>
      <c r="H7" s="3">
        <v>178000</v>
      </c>
      <c r="I7" s="3">
        <f>tab_data_funkcie[[#This Row],[Price]]/1000</f>
        <v>178</v>
      </c>
      <c r="J7" s="3">
        <v>178</v>
      </c>
      <c r="K7" s="35" t="str">
        <f>IF(tab_data_funkcie[[#This Row],[Price]]&lt;=210000,"OK","NG")</f>
        <v>OK</v>
      </c>
      <c r="L7" s="3"/>
      <c r="M7" s="3"/>
    </row>
    <row r="8" spans="2:13" ht="14">
      <c r="B8" s="1" t="s">
        <v>301</v>
      </c>
      <c r="C8" s="1" t="s">
        <v>341</v>
      </c>
      <c r="D8" s="1">
        <v>3</v>
      </c>
      <c r="E8" s="1">
        <v>3</v>
      </c>
      <c r="F8" s="1">
        <f t="shared" si="0"/>
        <v>6</v>
      </c>
      <c r="G8" s="1">
        <v>0</v>
      </c>
      <c r="H8" s="3">
        <v>175000</v>
      </c>
      <c r="I8" s="3">
        <f>tab_data_funkcie[[#This Row],[Price]]/1000</f>
        <v>175</v>
      </c>
      <c r="J8" s="3">
        <v>175</v>
      </c>
      <c r="K8" s="35" t="str">
        <f>IF(tab_data_funkcie[[#This Row],[Price]]&lt;=210000,"OK","NG")</f>
        <v>OK</v>
      </c>
      <c r="L8" s="3"/>
      <c r="M8" s="3"/>
    </row>
    <row r="9" spans="2:13" ht="14">
      <c r="B9" s="1" t="s">
        <v>302</v>
      </c>
      <c r="C9" s="1" t="s">
        <v>341</v>
      </c>
      <c r="D9" s="1">
        <v>4</v>
      </c>
      <c r="E9" s="1">
        <v>4</v>
      </c>
      <c r="F9" s="1">
        <f t="shared" si="0"/>
        <v>8</v>
      </c>
      <c r="G9" s="1">
        <v>1</v>
      </c>
      <c r="H9" s="3">
        <v>580000</v>
      </c>
      <c r="I9" s="3">
        <f>tab_data_funkcie[[#This Row],[Price]]/1000</f>
        <v>580</v>
      </c>
      <c r="J9" s="3">
        <v>580</v>
      </c>
      <c r="K9" s="35" t="str">
        <f>IF(tab_data_funkcie[[#This Row],[Price]]&lt;=210000,"OK","NG")</f>
        <v>NG</v>
      </c>
      <c r="L9" s="3"/>
      <c r="M9" s="3"/>
    </row>
    <row r="10" spans="2:13" ht="14">
      <c r="B10" s="1" t="s">
        <v>301</v>
      </c>
      <c r="C10" s="1" t="s">
        <v>341</v>
      </c>
      <c r="D10" s="1">
        <v>4</v>
      </c>
      <c r="E10" s="1">
        <v>2</v>
      </c>
      <c r="F10" s="1">
        <f t="shared" si="0"/>
        <v>6</v>
      </c>
      <c r="G10" s="1">
        <v>0</v>
      </c>
      <c r="H10" s="3">
        <v>288000</v>
      </c>
      <c r="I10" s="3">
        <f>tab_data_funkcie[[#This Row],[Price]]/1000</f>
        <v>288</v>
      </c>
      <c r="J10" s="3">
        <v>288</v>
      </c>
      <c r="K10" s="35" t="str">
        <f>IF(tab_data_funkcie[[#This Row],[Price]]&lt;=210000,"OK","NG")</f>
        <v>NG</v>
      </c>
      <c r="L10" s="3"/>
      <c r="M10" s="3"/>
    </row>
    <row r="11" spans="2:13" ht="14">
      <c r="B11" s="1" t="s">
        <v>302</v>
      </c>
      <c r="C11" s="1" t="s">
        <v>341</v>
      </c>
      <c r="D11" s="1">
        <v>4</v>
      </c>
      <c r="E11" s="1">
        <v>3</v>
      </c>
      <c r="F11" s="1">
        <f t="shared" si="0"/>
        <v>7</v>
      </c>
      <c r="G11" s="1">
        <v>2</v>
      </c>
      <c r="H11" s="3">
        <v>524950</v>
      </c>
      <c r="I11" s="3">
        <f>tab_data_funkcie[[#This Row],[Price]]/1000</f>
        <v>524.95000000000005</v>
      </c>
      <c r="J11" s="3">
        <v>524.95000000000005</v>
      </c>
      <c r="K11" s="35" t="str">
        <f>IF(tab_data_funkcie[[#This Row],[Price]]&lt;=210000,"OK","NG")</f>
        <v>NG</v>
      </c>
      <c r="L11" s="3"/>
      <c r="M11" s="3"/>
    </row>
    <row r="12" spans="2:13" ht="14">
      <c r="B12" s="1" t="s">
        <v>302</v>
      </c>
      <c r="C12" s="1" t="s">
        <v>341</v>
      </c>
      <c r="D12" s="1">
        <v>4</v>
      </c>
      <c r="E12" s="1">
        <v>4</v>
      </c>
      <c r="F12" s="1">
        <f t="shared" si="0"/>
        <v>8</v>
      </c>
      <c r="G12" s="1">
        <v>2</v>
      </c>
      <c r="H12" s="3">
        <v>625000</v>
      </c>
      <c r="I12" s="3">
        <f>tab_data_funkcie[[#This Row],[Price]]/1000</f>
        <v>625</v>
      </c>
      <c r="J12" s="3">
        <v>625</v>
      </c>
      <c r="K12" s="35" t="str">
        <f>IF(tab_data_funkcie[[#This Row],[Price]]&lt;=210000,"OK","NG")</f>
        <v>NG</v>
      </c>
      <c r="L12" s="3"/>
      <c r="M12" s="3">
        <v>1000</v>
      </c>
    </row>
    <row r="13" spans="2:13" ht="14">
      <c r="B13" s="1" t="s">
        <v>302</v>
      </c>
      <c r="C13" s="1" t="s">
        <v>341</v>
      </c>
      <c r="D13" s="1">
        <v>5</v>
      </c>
      <c r="E13" s="1">
        <v>2</v>
      </c>
      <c r="F13" s="1">
        <f t="shared" si="0"/>
        <v>7</v>
      </c>
      <c r="G13" s="1">
        <v>2</v>
      </c>
      <c r="H13" s="3">
        <v>449950</v>
      </c>
      <c r="I13" s="3">
        <f>tab_data_funkcie[[#This Row],[Price]]/1000</f>
        <v>449.95</v>
      </c>
      <c r="J13" s="3">
        <v>449.95</v>
      </c>
      <c r="K13" s="35" t="str">
        <f>IF(tab_data_funkcie[[#This Row],[Price]]&lt;=210000,"OK","NG")</f>
        <v>NG</v>
      </c>
      <c r="L13" s="3"/>
      <c r="M13" s="3"/>
    </row>
    <row r="14" spans="2:13" ht="14">
      <c r="B14" s="1" t="s">
        <v>301</v>
      </c>
      <c r="C14" s="1" t="s">
        <v>341</v>
      </c>
      <c r="D14" s="1">
        <v>4</v>
      </c>
      <c r="E14" s="1">
        <v>2</v>
      </c>
      <c r="F14" s="1">
        <f t="shared" si="0"/>
        <v>6</v>
      </c>
      <c r="G14" s="1">
        <v>1</v>
      </c>
      <c r="H14" s="3">
        <v>269950</v>
      </c>
      <c r="I14" s="3">
        <f>tab_data_funkcie[[#This Row],[Price]]/1000</f>
        <v>269.95</v>
      </c>
      <c r="J14" s="3">
        <v>269.95</v>
      </c>
      <c r="K14" s="35" t="str">
        <f>IF(tab_data_funkcie[[#This Row],[Price]]&lt;=210000,"OK","NG")</f>
        <v>NG</v>
      </c>
      <c r="L14" s="3"/>
      <c r="M14" s="3"/>
    </row>
    <row r="15" spans="2:13" ht="14">
      <c r="B15" s="1" t="s">
        <v>301</v>
      </c>
      <c r="C15" s="1" t="s">
        <v>341</v>
      </c>
      <c r="D15" s="1">
        <v>4</v>
      </c>
      <c r="E15" s="1">
        <v>2</v>
      </c>
      <c r="F15" s="1">
        <f t="shared" si="0"/>
        <v>6</v>
      </c>
      <c r="G15" s="1">
        <v>1</v>
      </c>
      <c r="H15" s="3">
        <v>285000</v>
      </c>
      <c r="I15" s="3">
        <f>tab_data_funkcie[[#This Row],[Price]]/1000</f>
        <v>285</v>
      </c>
      <c r="J15" s="3">
        <v>285</v>
      </c>
      <c r="K15" s="35" t="str">
        <f>IF(tab_data_funkcie[[#This Row],[Price]]&lt;=210000,"OK","NG")</f>
        <v>NG</v>
      </c>
      <c r="L15" s="3"/>
      <c r="M15" s="3"/>
    </row>
    <row r="16" spans="2:13" ht="14">
      <c r="B16" s="1" t="s">
        <v>302</v>
      </c>
      <c r="C16" s="1" t="s">
        <v>341</v>
      </c>
      <c r="D16" s="1">
        <v>4</v>
      </c>
      <c r="E16" s="1">
        <v>3</v>
      </c>
      <c r="F16" s="1">
        <f t="shared" si="0"/>
        <v>7</v>
      </c>
      <c r="G16" s="1">
        <v>2</v>
      </c>
      <c r="H16" s="3">
        <v>349950</v>
      </c>
      <c r="I16" s="3">
        <f>tab_data_funkcie[[#This Row],[Price]]/1000</f>
        <v>349.95</v>
      </c>
      <c r="J16" s="3">
        <v>349.95</v>
      </c>
      <c r="K16" s="35" t="str">
        <f>IF(tab_data_funkcie[[#This Row],[Price]]&lt;=210000,"OK","NG")</f>
        <v>NG</v>
      </c>
      <c r="L16" s="3"/>
      <c r="M16" s="3"/>
    </row>
    <row r="17" spans="2:13" ht="14">
      <c r="B17" s="1" t="s">
        <v>301</v>
      </c>
      <c r="C17" s="1" t="s">
        <v>343</v>
      </c>
      <c r="D17" s="1">
        <v>4</v>
      </c>
      <c r="E17" s="1">
        <v>4</v>
      </c>
      <c r="F17" s="1">
        <f t="shared" si="0"/>
        <v>8</v>
      </c>
      <c r="G17" s="1">
        <v>0</v>
      </c>
      <c r="H17" s="3">
        <v>235000</v>
      </c>
      <c r="I17" s="3">
        <f>tab_data_funkcie[[#This Row],[Price]]/1000</f>
        <v>235</v>
      </c>
      <c r="J17" s="3">
        <v>235</v>
      </c>
      <c r="K17" s="35" t="str">
        <f>IF(tab_data_funkcie[[#This Row],[Price]]&lt;=210000,"OK","NG")</f>
        <v>NG</v>
      </c>
      <c r="L17" s="3"/>
      <c r="M17" s="3"/>
    </row>
    <row r="18" spans="2:13" ht="14">
      <c r="B18" s="1" t="s">
        <v>301</v>
      </c>
      <c r="C18" s="1" t="s">
        <v>341</v>
      </c>
      <c r="D18" s="1">
        <v>4</v>
      </c>
      <c r="E18" s="1">
        <v>4</v>
      </c>
      <c r="F18" s="1">
        <f t="shared" si="0"/>
        <v>8</v>
      </c>
      <c r="G18" s="1">
        <v>1</v>
      </c>
      <c r="H18" s="3">
        <v>299995</v>
      </c>
      <c r="I18" s="3">
        <f>tab_data_funkcie[[#This Row],[Price]]/1000</f>
        <v>299.995</v>
      </c>
      <c r="J18" s="3">
        <v>299.995</v>
      </c>
      <c r="K18" s="35" t="str">
        <f>IF(tab_data_funkcie[[#This Row],[Price]]&lt;=210000,"OK","NG")</f>
        <v>NG</v>
      </c>
      <c r="L18" s="3"/>
      <c r="M18" s="3"/>
    </row>
    <row r="19" spans="2:13" ht="14">
      <c r="B19" s="1" t="s">
        <v>302</v>
      </c>
      <c r="C19" s="1" t="s">
        <v>339</v>
      </c>
      <c r="D19" s="1">
        <v>2</v>
      </c>
      <c r="E19" s="1">
        <v>1</v>
      </c>
      <c r="F19" s="1">
        <f t="shared" si="0"/>
        <v>3</v>
      </c>
      <c r="G19" s="1">
        <v>0</v>
      </c>
      <c r="H19" s="3">
        <v>174995</v>
      </c>
      <c r="I19" s="3">
        <f>tab_data_funkcie[[#This Row],[Price]]/1000</f>
        <v>174.995</v>
      </c>
      <c r="J19" s="3">
        <v>174.995</v>
      </c>
      <c r="K19" s="35" t="str">
        <f>IF(tab_data_funkcie[[#This Row],[Price]]&lt;=210000,"OK","NG")</f>
        <v>OK</v>
      </c>
      <c r="L19" s="3"/>
      <c r="M19" s="3"/>
    </row>
    <row r="20" spans="2:13" ht="14">
      <c r="B20" s="1" t="s">
        <v>301</v>
      </c>
      <c r="C20" s="1" t="s">
        <v>341</v>
      </c>
      <c r="D20" s="1">
        <v>3</v>
      </c>
      <c r="E20" s="1">
        <v>2</v>
      </c>
      <c r="F20" s="1">
        <f t="shared" si="0"/>
        <v>5</v>
      </c>
      <c r="G20" s="1">
        <v>1</v>
      </c>
      <c r="H20" s="3">
        <v>219995</v>
      </c>
      <c r="I20" s="3">
        <f>tab_data_funkcie[[#This Row],[Price]]/1000</f>
        <v>219.995</v>
      </c>
      <c r="J20" s="3">
        <v>219.995</v>
      </c>
      <c r="K20" s="35" t="str">
        <f>IF(tab_data_funkcie[[#This Row],[Price]]&lt;=210000,"OK","NG")</f>
        <v>NG</v>
      </c>
      <c r="L20" s="3"/>
      <c r="M20" s="3"/>
    </row>
    <row r="21" spans="2:13" ht="14">
      <c r="B21" s="1" t="s">
        <v>301</v>
      </c>
      <c r="C21" s="1" t="s">
        <v>341</v>
      </c>
      <c r="D21" s="1">
        <v>4</v>
      </c>
      <c r="E21" s="1">
        <v>3</v>
      </c>
      <c r="F21" s="1">
        <f t="shared" si="0"/>
        <v>7</v>
      </c>
      <c r="G21" s="1">
        <v>1</v>
      </c>
      <c r="H21" s="3">
        <v>275000</v>
      </c>
      <c r="I21" s="3">
        <f>tab_data_funkcie[[#This Row],[Price]]/1000</f>
        <v>275</v>
      </c>
      <c r="J21" s="3">
        <v>275</v>
      </c>
      <c r="K21" s="35" t="str">
        <f>IF(tab_data_funkcie[[#This Row],[Price]]&lt;=210000,"OK","NG")</f>
        <v>NG</v>
      </c>
      <c r="L21" s="3"/>
      <c r="M21" s="3"/>
    </row>
    <row r="22" spans="2:13" ht="14">
      <c r="B22" s="1" t="s">
        <v>301</v>
      </c>
      <c r="C22" s="1" t="s">
        <v>341</v>
      </c>
      <c r="D22" s="1">
        <v>3</v>
      </c>
      <c r="E22" s="1">
        <v>3</v>
      </c>
      <c r="F22" s="1">
        <f t="shared" si="0"/>
        <v>6</v>
      </c>
      <c r="G22" s="1">
        <v>1</v>
      </c>
      <c r="H22" s="3">
        <v>199950</v>
      </c>
      <c r="I22" s="3">
        <f>tab_data_funkcie[[#This Row],[Price]]/1000</f>
        <v>199.95</v>
      </c>
      <c r="J22" s="3">
        <v>199.95</v>
      </c>
      <c r="K22" s="35" t="str">
        <f>IF(tab_data_funkcie[[#This Row],[Price]]&lt;=210000,"OK","NG")</f>
        <v>OK</v>
      </c>
      <c r="L22" s="3"/>
      <c r="M22" s="3"/>
    </row>
    <row r="23" spans="2:13" ht="14">
      <c r="B23" s="1" t="s">
        <v>301</v>
      </c>
      <c r="C23" s="1" t="s">
        <v>341</v>
      </c>
      <c r="D23" s="1">
        <v>4</v>
      </c>
      <c r="E23" s="1">
        <v>2</v>
      </c>
      <c r="F23" s="1">
        <f t="shared" si="0"/>
        <v>6</v>
      </c>
      <c r="G23" s="1">
        <v>1</v>
      </c>
      <c r="H23" s="3">
        <v>232000</v>
      </c>
      <c r="I23" s="3">
        <f>tab_data_funkcie[[#This Row],[Price]]/1000</f>
        <v>232</v>
      </c>
      <c r="J23" s="3">
        <v>232</v>
      </c>
      <c r="K23" s="35" t="str">
        <f>IF(tab_data_funkcie[[#This Row],[Price]]&lt;=210000,"OK","NG")</f>
        <v>NG</v>
      </c>
      <c r="L23" s="3"/>
      <c r="M23" s="3"/>
    </row>
    <row r="24" spans="2:13" ht="14">
      <c r="B24" s="1" t="s">
        <v>302</v>
      </c>
      <c r="C24" s="1" t="s">
        <v>341</v>
      </c>
      <c r="D24" s="1">
        <v>4</v>
      </c>
      <c r="E24" s="1">
        <v>2</v>
      </c>
      <c r="F24" s="1">
        <f t="shared" si="0"/>
        <v>6</v>
      </c>
      <c r="G24" s="1">
        <v>0</v>
      </c>
      <c r="H24" s="3">
        <v>369995</v>
      </c>
      <c r="I24" s="3">
        <f>tab_data_funkcie[[#This Row],[Price]]/1000</f>
        <v>369.995</v>
      </c>
      <c r="J24" s="3">
        <v>369.995</v>
      </c>
      <c r="K24" s="35" t="str">
        <f>IF(tab_data_funkcie[[#This Row],[Price]]&lt;=210000,"OK","NG")</f>
        <v>NG</v>
      </c>
      <c r="L24" s="3"/>
      <c r="M24" s="3"/>
    </row>
    <row r="25" spans="2:13" ht="14">
      <c r="B25" s="1" t="s">
        <v>301</v>
      </c>
      <c r="C25" s="1" t="s">
        <v>343</v>
      </c>
      <c r="D25" s="1">
        <v>5</v>
      </c>
      <c r="E25" s="1">
        <v>4</v>
      </c>
      <c r="F25" s="1">
        <f t="shared" si="0"/>
        <v>9</v>
      </c>
      <c r="G25" s="1">
        <v>0</v>
      </c>
      <c r="H25" s="3">
        <v>425000</v>
      </c>
      <c r="I25" s="3">
        <f>tab_data_funkcie[[#This Row],[Price]]/1000</f>
        <v>425</v>
      </c>
      <c r="J25" s="3">
        <v>425</v>
      </c>
      <c r="K25" s="35" t="str">
        <f>IF(tab_data_funkcie[[#This Row],[Price]]&lt;=210000,"OK","NG")</f>
        <v>NG</v>
      </c>
      <c r="L25" s="3"/>
      <c r="M25" s="3"/>
    </row>
    <row r="26" spans="2:13" ht="14">
      <c r="B26" s="1" t="s">
        <v>301</v>
      </c>
      <c r="C26" s="1" t="s">
        <v>343</v>
      </c>
      <c r="D26" s="1">
        <v>2</v>
      </c>
      <c r="E26" s="1">
        <v>2</v>
      </c>
      <c r="F26" s="1">
        <f t="shared" si="0"/>
        <v>4</v>
      </c>
      <c r="G26" s="1">
        <v>0</v>
      </c>
      <c r="H26" s="3">
        <v>185000</v>
      </c>
      <c r="I26" s="3">
        <f>tab_data_funkcie[[#This Row],[Price]]/1000</f>
        <v>185</v>
      </c>
      <c r="J26" s="3">
        <v>185</v>
      </c>
      <c r="K26" s="35" t="str">
        <f>IF(tab_data_funkcie[[#This Row],[Price]]&lt;=210000,"OK","NG")</f>
        <v>OK</v>
      </c>
      <c r="L26" s="3"/>
      <c r="M26" s="3"/>
    </row>
    <row r="27" spans="2:13" ht="14">
      <c r="B27" s="1" t="s">
        <v>302</v>
      </c>
      <c r="C27" s="1" t="s">
        <v>341</v>
      </c>
      <c r="D27" s="1">
        <v>3</v>
      </c>
      <c r="E27" s="1">
        <v>2</v>
      </c>
      <c r="F27" s="1">
        <f t="shared" si="0"/>
        <v>5</v>
      </c>
      <c r="G27" s="1">
        <v>0</v>
      </c>
      <c r="H27" s="3">
        <v>220000</v>
      </c>
      <c r="I27" s="3">
        <f>tab_data_funkcie[[#This Row],[Price]]/1000</f>
        <v>220</v>
      </c>
      <c r="J27" s="3">
        <v>220</v>
      </c>
      <c r="K27" s="35" t="str">
        <f>IF(tab_data_funkcie[[#This Row],[Price]]&lt;=210000,"OK","NG")</f>
        <v>NG</v>
      </c>
      <c r="L27" s="3"/>
      <c r="M27" s="3"/>
    </row>
    <row r="28" spans="2:13" ht="14">
      <c r="B28" s="1" t="s">
        <v>301</v>
      </c>
      <c r="C28" s="1" t="s">
        <v>343</v>
      </c>
      <c r="D28" s="1">
        <v>3</v>
      </c>
      <c r="E28" s="1">
        <v>1</v>
      </c>
      <c r="F28" s="1">
        <f t="shared" si="0"/>
        <v>4</v>
      </c>
      <c r="G28" s="1">
        <v>1</v>
      </c>
      <c r="H28" s="3">
        <v>229950</v>
      </c>
      <c r="I28" s="3">
        <f>tab_data_funkcie[[#This Row],[Price]]/1000</f>
        <v>229.95</v>
      </c>
      <c r="J28" s="3">
        <v>229.95</v>
      </c>
      <c r="K28" s="35" t="str">
        <f>IF(tab_data_funkcie[[#This Row],[Price]]&lt;=210000,"OK","NG")</f>
        <v>NG</v>
      </c>
      <c r="L28" s="3"/>
      <c r="M28" s="3"/>
    </row>
    <row r="29" spans="2:13" ht="14">
      <c r="B29" s="1" t="s">
        <v>301</v>
      </c>
      <c r="C29" s="1" t="s">
        <v>341</v>
      </c>
      <c r="D29" s="1">
        <v>4</v>
      </c>
      <c r="E29" s="1">
        <v>3</v>
      </c>
      <c r="F29" s="1">
        <f t="shared" si="0"/>
        <v>7</v>
      </c>
      <c r="G29" s="1">
        <v>0</v>
      </c>
      <c r="H29" s="3">
        <v>269950</v>
      </c>
      <c r="I29" s="3">
        <f>tab_data_funkcie[[#This Row],[Price]]/1000</f>
        <v>269.95</v>
      </c>
      <c r="J29" s="3">
        <v>269.95</v>
      </c>
      <c r="K29" s="35" t="str">
        <f>IF(tab_data_funkcie[[#This Row],[Price]]&lt;=210000,"OK","NG")</f>
        <v>NG</v>
      </c>
      <c r="L29" s="3"/>
      <c r="M29" s="3"/>
    </row>
    <row r="30" spans="2:13" ht="14">
      <c r="B30" s="1" t="s">
        <v>301</v>
      </c>
      <c r="C30" s="1" t="s">
        <v>339</v>
      </c>
      <c r="D30" s="1">
        <v>4</v>
      </c>
      <c r="E30" s="1">
        <v>2</v>
      </c>
      <c r="F30" s="1">
        <f t="shared" si="0"/>
        <v>6</v>
      </c>
      <c r="G30" s="1">
        <v>1</v>
      </c>
      <c r="H30" s="3">
        <v>205000</v>
      </c>
      <c r="I30" s="3">
        <f>tab_data_funkcie[[#This Row],[Price]]/1000</f>
        <v>205</v>
      </c>
      <c r="J30" s="3">
        <v>205</v>
      </c>
      <c r="K30" s="35" t="str">
        <f>IF(tab_data_funkcie[[#This Row],[Price]]&lt;=210000,"OK","NG")</f>
        <v>OK</v>
      </c>
      <c r="L30" s="3"/>
      <c r="M30" s="3"/>
    </row>
    <row r="31" spans="2:13" ht="14">
      <c r="B31" s="1" t="s">
        <v>301</v>
      </c>
      <c r="C31" s="1" t="s">
        <v>343</v>
      </c>
      <c r="D31" s="1">
        <v>3</v>
      </c>
      <c r="E31" s="1">
        <v>1</v>
      </c>
      <c r="F31" s="1">
        <f t="shared" si="0"/>
        <v>4</v>
      </c>
      <c r="G31" s="1">
        <v>0</v>
      </c>
      <c r="H31" s="3">
        <v>179950</v>
      </c>
      <c r="I31" s="3">
        <f>tab_data_funkcie[[#This Row],[Price]]/1000</f>
        <v>179.95</v>
      </c>
      <c r="J31" s="3">
        <v>179.95</v>
      </c>
      <c r="K31" s="35" t="str">
        <f>IF(tab_data_funkcie[[#This Row],[Price]]&lt;=210000,"OK","NG")</f>
        <v>OK</v>
      </c>
      <c r="L31" s="3"/>
      <c r="M31" s="3"/>
    </row>
    <row r="32" spans="2:13" ht="14">
      <c r="B32" s="1" t="s">
        <v>301</v>
      </c>
      <c r="C32" s="1" t="s">
        <v>341</v>
      </c>
      <c r="D32" s="1">
        <v>4</v>
      </c>
      <c r="E32" s="1">
        <v>3</v>
      </c>
      <c r="F32" s="1">
        <f t="shared" si="0"/>
        <v>7</v>
      </c>
      <c r="G32" s="1">
        <v>1</v>
      </c>
      <c r="H32" s="3">
        <v>329995</v>
      </c>
      <c r="I32" s="3">
        <f>tab_data_funkcie[[#This Row],[Price]]/1000</f>
        <v>329.995</v>
      </c>
      <c r="J32" s="3">
        <v>329.995</v>
      </c>
      <c r="K32" s="35" t="str">
        <f>IF(tab_data_funkcie[[#This Row],[Price]]&lt;=210000,"OK","NG")</f>
        <v>NG</v>
      </c>
      <c r="L32" s="3"/>
      <c r="M32" s="3"/>
    </row>
    <row r="33" spans="2:13" ht="14">
      <c r="B33" s="1" t="s">
        <v>301</v>
      </c>
      <c r="C33" s="1" t="s">
        <v>339</v>
      </c>
      <c r="D33" s="1">
        <v>3</v>
      </c>
      <c r="E33" s="1">
        <v>2</v>
      </c>
      <c r="F33" s="1">
        <f t="shared" si="0"/>
        <v>5</v>
      </c>
      <c r="G33" s="1">
        <v>1</v>
      </c>
      <c r="H33" s="3">
        <v>225000</v>
      </c>
      <c r="I33" s="3">
        <f>tab_data_funkcie[[#This Row],[Price]]/1000</f>
        <v>225</v>
      </c>
      <c r="J33" s="3">
        <v>225</v>
      </c>
      <c r="K33" s="35" t="str">
        <f>IF(tab_data_funkcie[[#This Row],[Price]]&lt;=210000,"OK","NG")</f>
        <v>NG</v>
      </c>
      <c r="L33" s="3"/>
      <c r="M33" s="3"/>
    </row>
    <row r="34" spans="2:13" ht="14">
      <c r="B34" s="1" t="s">
        <v>302</v>
      </c>
      <c r="C34" s="1" t="s">
        <v>341</v>
      </c>
      <c r="D34" s="1">
        <v>3</v>
      </c>
      <c r="E34" s="1">
        <v>3</v>
      </c>
      <c r="F34" s="1">
        <f t="shared" ref="F34:F51" si="1">D34+E34</f>
        <v>6</v>
      </c>
      <c r="G34" s="1">
        <v>0</v>
      </c>
      <c r="H34" s="3">
        <v>375000</v>
      </c>
      <c r="I34" s="3">
        <f>tab_data_funkcie[[#This Row],[Price]]/1000</f>
        <v>375</v>
      </c>
      <c r="J34" s="3">
        <v>375</v>
      </c>
      <c r="K34" s="35" t="str">
        <f>IF(tab_data_funkcie[[#This Row],[Price]]&lt;=210000,"OK","NG")</f>
        <v>NG</v>
      </c>
      <c r="L34" s="3"/>
      <c r="M34" s="3"/>
    </row>
    <row r="35" spans="2:13" ht="14">
      <c r="B35" s="1" t="s">
        <v>301</v>
      </c>
      <c r="C35" s="1" t="s">
        <v>343</v>
      </c>
      <c r="D35" s="1">
        <v>2</v>
      </c>
      <c r="E35" s="1">
        <v>1</v>
      </c>
      <c r="F35" s="1">
        <f t="shared" si="1"/>
        <v>3</v>
      </c>
      <c r="G35" s="1">
        <v>0</v>
      </c>
      <c r="H35" s="3">
        <v>135000</v>
      </c>
      <c r="I35" s="3">
        <f>tab_data_funkcie[[#This Row],[Price]]/1000</f>
        <v>135</v>
      </c>
      <c r="J35" s="3">
        <v>135</v>
      </c>
      <c r="K35" s="35" t="str">
        <f>IF(tab_data_funkcie[[#This Row],[Price]]&lt;=210000,"OK","NG")</f>
        <v>OK</v>
      </c>
      <c r="L35" s="3"/>
      <c r="M35" s="3"/>
    </row>
    <row r="36" spans="2:13" ht="14">
      <c r="B36" s="1" t="s">
        <v>301</v>
      </c>
      <c r="C36" s="1" t="s">
        <v>341</v>
      </c>
      <c r="D36" s="1">
        <v>6</v>
      </c>
      <c r="E36" s="1">
        <v>4</v>
      </c>
      <c r="F36" s="1">
        <f t="shared" si="1"/>
        <v>10</v>
      </c>
      <c r="G36" s="1">
        <v>1</v>
      </c>
      <c r="H36" s="3">
        <v>850000</v>
      </c>
      <c r="I36" s="3">
        <f>tab_data_funkcie[[#This Row],[Price]]/1000</f>
        <v>850</v>
      </c>
      <c r="J36" s="3">
        <v>850</v>
      </c>
      <c r="K36" s="35" t="str">
        <f>IF(tab_data_funkcie[[#This Row],[Price]]&lt;=210000,"OK","NG")</f>
        <v>NG</v>
      </c>
      <c r="L36" s="3"/>
      <c r="M36" s="3"/>
    </row>
    <row r="37" spans="2:13" ht="14">
      <c r="B37" s="1" t="s">
        <v>301</v>
      </c>
      <c r="C37" s="1" t="s">
        <v>341</v>
      </c>
      <c r="D37" s="1">
        <v>6</v>
      </c>
      <c r="E37" s="1">
        <v>3</v>
      </c>
      <c r="F37" s="1">
        <f t="shared" si="1"/>
        <v>9</v>
      </c>
      <c r="G37" s="1">
        <v>2</v>
      </c>
      <c r="H37" s="3">
        <v>750000</v>
      </c>
      <c r="I37" s="3">
        <f>tab_data_funkcie[[#This Row],[Price]]/1000</f>
        <v>750</v>
      </c>
      <c r="J37" s="3">
        <v>750</v>
      </c>
      <c r="K37" s="35" t="str">
        <f>IF(tab_data_funkcie[[#This Row],[Price]]&lt;=210000,"OK","NG")</f>
        <v>NG</v>
      </c>
      <c r="L37" s="3"/>
      <c r="M37" s="3"/>
    </row>
    <row r="38" spans="2:13" ht="14">
      <c r="B38" s="1" t="s">
        <v>302</v>
      </c>
      <c r="C38" s="1" t="s">
        <v>341</v>
      </c>
      <c r="D38" s="1">
        <v>4</v>
      </c>
      <c r="E38" s="1">
        <v>2</v>
      </c>
      <c r="F38" s="1">
        <f t="shared" si="1"/>
        <v>6</v>
      </c>
      <c r="G38" s="1">
        <v>1</v>
      </c>
      <c r="H38" s="3">
        <v>545000</v>
      </c>
      <c r="I38" s="3">
        <f>tab_data_funkcie[[#This Row],[Price]]/1000</f>
        <v>545</v>
      </c>
      <c r="J38" s="3">
        <v>545</v>
      </c>
      <c r="K38" s="35" t="str">
        <f>IF(tab_data_funkcie[[#This Row],[Price]]&lt;=210000,"OK","NG")</f>
        <v>NG</v>
      </c>
      <c r="L38" s="3"/>
      <c r="M38" s="3"/>
    </row>
    <row r="39" spans="2:13" ht="14">
      <c r="B39" s="1" t="s">
        <v>302</v>
      </c>
      <c r="C39" s="1" t="s">
        <v>341</v>
      </c>
      <c r="D39" s="1">
        <v>4</v>
      </c>
      <c r="E39" s="1">
        <v>3</v>
      </c>
      <c r="F39" s="1">
        <f t="shared" si="1"/>
        <v>7</v>
      </c>
      <c r="G39" s="1">
        <v>1</v>
      </c>
      <c r="H39" s="3">
        <v>495000</v>
      </c>
      <c r="I39" s="3">
        <f>tab_data_funkcie[[#This Row],[Price]]/1000</f>
        <v>495</v>
      </c>
      <c r="J39" s="3">
        <v>495</v>
      </c>
      <c r="K39" s="35" t="str">
        <f>IF(tab_data_funkcie[[#This Row],[Price]]&lt;=210000,"OK","NG")</f>
        <v>NG</v>
      </c>
      <c r="L39" s="3"/>
      <c r="M39" s="3"/>
    </row>
    <row r="40" spans="2:13" ht="14">
      <c r="B40" s="1" t="s">
        <v>302</v>
      </c>
      <c r="C40" s="1" t="s">
        <v>341</v>
      </c>
      <c r="D40" s="1">
        <v>4</v>
      </c>
      <c r="E40" s="1">
        <v>4</v>
      </c>
      <c r="F40" s="1">
        <f t="shared" si="1"/>
        <v>8</v>
      </c>
      <c r="G40" s="1">
        <v>1</v>
      </c>
      <c r="H40" s="3">
        <v>375000</v>
      </c>
      <c r="I40" s="3">
        <f>tab_data_funkcie[[#This Row],[Price]]/1000</f>
        <v>375</v>
      </c>
      <c r="J40" s="3">
        <v>375</v>
      </c>
      <c r="K40" s="35" t="str">
        <f>IF(tab_data_funkcie[[#This Row],[Price]]&lt;=210000,"OK","NG")</f>
        <v>NG</v>
      </c>
      <c r="L40" s="3"/>
      <c r="M40" s="3"/>
    </row>
    <row r="41" spans="2:13" ht="14">
      <c r="B41" s="1" t="s">
        <v>302</v>
      </c>
      <c r="C41" s="1" t="s">
        <v>341</v>
      </c>
      <c r="D41" s="1">
        <v>2</v>
      </c>
      <c r="E41" s="1">
        <v>2</v>
      </c>
      <c r="F41" s="1">
        <f t="shared" si="1"/>
        <v>4</v>
      </c>
      <c r="G41" s="1">
        <v>0</v>
      </c>
      <c r="H41" s="3">
        <v>295000</v>
      </c>
      <c r="I41" s="3">
        <f>tab_data_funkcie[[#This Row],[Price]]/1000</f>
        <v>295</v>
      </c>
      <c r="J41" s="3">
        <v>295</v>
      </c>
      <c r="K41" s="35" t="str">
        <f>IF(tab_data_funkcie[[#This Row],[Price]]&lt;=210000,"OK","NG")</f>
        <v>NG</v>
      </c>
      <c r="L41" s="3"/>
      <c r="M41" s="3"/>
    </row>
    <row r="42" spans="2:13" ht="14">
      <c r="B42" s="1" t="s">
        <v>302</v>
      </c>
      <c r="C42" s="1" t="s">
        <v>343</v>
      </c>
      <c r="D42" s="1">
        <v>4</v>
      </c>
      <c r="E42" s="1">
        <v>4</v>
      </c>
      <c r="F42" s="1">
        <f t="shared" si="1"/>
        <v>8</v>
      </c>
      <c r="G42" s="1">
        <v>0</v>
      </c>
      <c r="H42" s="3">
        <v>450000</v>
      </c>
      <c r="I42" s="3">
        <f>tab_data_funkcie[[#This Row],[Price]]/1000</f>
        <v>450</v>
      </c>
      <c r="J42" s="3">
        <v>450</v>
      </c>
      <c r="K42" s="35" t="str">
        <f>IF(tab_data_funkcie[[#This Row],[Price]]&lt;=210000,"OK","NG")</f>
        <v>NG</v>
      </c>
      <c r="L42" s="3"/>
      <c r="M42" s="3"/>
    </row>
    <row r="43" spans="2:13" ht="14">
      <c r="B43" s="1" t="s">
        <v>302</v>
      </c>
      <c r="C43" s="1" t="s">
        <v>341</v>
      </c>
      <c r="D43" s="1">
        <v>5</v>
      </c>
      <c r="E43" s="1">
        <v>3</v>
      </c>
      <c r="F43" s="1">
        <f t="shared" si="1"/>
        <v>8</v>
      </c>
      <c r="G43" s="1">
        <v>1</v>
      </c>
      <c r="H43" s="3">
        <v>449500</v>
      </c>
      <c r="I43" s="3">
        <f>tab_data_funkcie[[#This Row],[Price]]/1000</f>
        <v>449.5</v>
      </c>
      <c r="J43" s="3">
        <v>449.5</v>
      </c>
      <c r="K43" s="35" t="str">
        <f>IF(tab_data_funkcie[[#This Row],[Price]]&lt;=210000,"OK","NG")</f>
        <v>NG</v>
      </c>
      <c r="L43" s="3"/>
      <c r="M43" s="3"/>
    </row>
    <row r="44" spans="2:13" ht="14">
      <c r="B44" s="1" t="s">
        <v>302</v>
      </c>
      <c r="C44" s="1" t="s">
        <v>341</v>
      </c>
      <c r="D44" s="1">
        <v>4</v>
      </c>
      <c r="E44" s="1">
        <v>4</v>
      </c>
      <c r="F44" s="1">
        <f t="shared" si="1"/>
        <v>8</v>
      </c>
      <c r="G44" s="1">
        <v>0</v>
      </c>
      <c r="H44" s="3">
        <v>375000</v>
      </c>
      <c r="I44" s="3">
        <f>tab_data_funkcie[[#This Row],[Price]]/1000</f>
        <v>375</v>
      </c>
      <c r="J44" s="3">
        <v>375</v>
      </c>
      <c r="K44" s="35" t="str">
        <f>IF(tab_data_funkcie[[#This Row],[Price]]&lt;=210000,"OK","NG")</f>
        <v>NG</v>
      </c>
      <c r="L44" s="3"/>
      <c r="M44" s="3"/>
    </row>
    <row r="45" spans="2:13" ht="14">
      <c r="B45" s="1" t="s">
        <v>302</v>
      </c>
      <c r="C45" s="1" t="s">
        <v>341</v>
      </c>
      <c r="D45" s="1">
        <v>4</v>
      </c>
      <c r="E45" s="1">
        <v>2</v>
      </c>
      <c r="F45" s="1">
        <f t="shared" si="1"/>
        <v>6</v>
      </c>
      <c r="G45" s="1">
        <v>2</v>
      </c>
      <c r="H45" s="3">
        <v>392000</v>
      </c>
      <c r="I45" s="3">
        <f>tab_data_funkcie[[#This Row],[Price]]/1000</f>
        <v>392</v>
      </c>
      <c r="J45" s="3">
        <v>392</v>
      </c>
      <c r="K45" s="35" t="str">
        <f>IF(tab_data_funkcie[[#This Row],[Price]]&lt;=210000,"OK","NG")</f>
        <v>NG</v>
      </c>
      <c r="L45" s="3"/>
      <c r="M45" s="3"/>
    </row>
    <row r="46" spans="2:13" ht="14">
      <c r="B46" s="1" t="s">
        <v>302</v>
      </c>
      <c r="C46" s="1" t="s">
        <v>341</v>
      </c>
      <c r="D46" s="1">
        <v>4</v>
      </c>
      <c r="E46" s="1">
        <v>4</v>
      </c>
      <c r="F46" s="1">
        <f t="shared" si="1"/>
        <v>8</v>
      </c>
      <c r="G46" s="1">
        <v>1</v>
      </c>
      <c r="H46" s="3">
        <v>465000</v>
      </c>
      <c r="I46" s="3">
        <f>tab_data_funkcie[[#This Row],[Price]]/1000</f>
        <v>465</v>
      </c>
      <c r="J46" s="3">
        <v>465</v>
      </c>
      <c r="K46" s="35" t="str">
        <f>IF(tab_data_funkcie[[#This Row],[Price]]&lt;=210000,"OK","NG")</f>
        <v>NG</v>
      </c>
      <c r="L46" s="3"/>
      <c r="M46" s="3"/>
    </row>
    <row r="47" spans="2:13" ht="14">
      <c r="B47" s="1" t="s">
        <v>302</v>
      </c>
      <c r="C47" s="1" t="s">
        <v>341</v>
      </c>
      <c r="D47" s="1">
        <v>5</v>
      </c>
      <c r="E47" s="1">
        <v>3</v>
      </c>
      <c r="F47" s="1">
        <f t="shared" si="1"/>
        <v>8</v>
      </c>
      <c r="G47" s="1">
        <v>2</v>
      </c>
      <c r="H47" s="3">
        <v>450000</v>
      </c>
      <c r="I47" s="3">
        <f>tab_data_funkcie[[#This Row],[Price]]/1000</f>
        <v>450</v>
      </c>
      <c r="J47" s="3">
        <v>450</v>
      </c>
      <c r="K47" s="35" t="str">
        <f>IF(tab_data_funkcie[[#This Row],[Price]]&lt;=210000,"OK","NG")</f>
        <v>NG</v>
      </c>
      <c r="L47" s="3"/>
      <c r="M47" s="3"/>
    </row>
    <row r="48" spans="2:13" ht="14">
      <c r="B48" s="1" t="s">
        <v>302</v>
      </c>
      <c r="C48" s="1" t="s">
        <v>341</v>
      </c>
      <c r="D48" s="1">
        <v>3</v>
      </c>
      <c r="E48" s="1">
        <v>2</v>
      </c>
      <c r="F48" s="1">
        <f t="shared" si="1"/>
        <v>5</v>
      </c>
      <c r="G48" s="1">
        <v>2</v>
      </c>
      <c r="H48" s="3">
        <v>325000</v>
      </c>
      <c r="I48" s="3">
        <f>tab_data_funkcie[[#This Row],[Price]]/1000</f>
        <v>325</v>
      </c>
      <c r="J48" s="3">
        <v>325</v>
      </c>
      <c r="K48" s="35" t="str">
        <f>IF(tab_data_funkcie[[#This Row],[Price]]&lt;=210000,"OK","NG")</f>
        <v>NG</v>
      </c>
      <c r="L48" s="3"/>
      <c r="M48" s="3"/>
    </row>
    <row r="49" spans="1:13" ht="14">
      <c r="B49" s="1" t="s">
        <v>302</v>
      </c>
      <c r="C49" s="1" t="s">
        <v>343</v>
      </c>
      <c r="D49" s="1">
        <v>2</v>
      </c>
      <c r="E49" s="1">
        <v>2</v>
      </c>
      <c r="F49" s="1">
        <f t="shared" si="1"/>
        <v>4</v>
      </c>
      <c r="G49" s="1">
        <v>0</v>
      </c>
      <c r="H49" s="3">
        <v>250000</v>
      </c>
      <c r="I49" s="3">
        <f>tab_data_funkcie[[#This Row],[Price]]/1000</f>
        <v>250</v>
      </c>
      <c r="J49" s="3">
        <v>250</v>
      </c>
      <c r="K49" s="35" t="str">
        <f>IF(tab_data_funkcie[[#This Row],[Price]]&lt;=210000,"OK","NG")</f>
        <v>NG</v>
      </c>
      <c r="L49" s="3"/>
      <c r="M49" s="3"/>
    </row>
    <row r="50" spans="1:13" ht="14">
      <c r="B50" s="1" t="s">
        <v>301</v>
      </c>
      <c r="C50" s="1" t="s">
        <v>343</v>
      </c>
      <c r="D50" s="1">
        <v>4</v>
      </c>
      <c r="E50" s="1">
        <v>2</v>
      </c>
      <c r="F50" s="1">
        <f t="shared" si="1"/>
        <v>6</v>
      </c>
      <c r="G50" s="1">
        <v>0</v>
      </c>
      <c r="H50" s="3">
        <v>475000</v>
      </c>
      <c r="I50" s="3">
        <f>tab_data_funkcie[[#This Row],[Price]]/1000</f>
        <v>475</v>
      </c>
      <c r="J50" s="3">
        <v>475</v>
      </c>
      <c r="K50" s="35" t="str">
        <f>IF(tab_data_funkcie[[#This Row],[Price]]&lt;=210000,"OK","NG")</f>
        <v>NG</v>
      </c>
      <c r="L50" s="3"/>
      <c r="M50" s="3"/>
    </row>
    <row r="51" spans="1:13" ht="14">
      <c r="B51" s="1" t="s">
        <v>301</v>
      </c>
      <c r="C51" s="1" t="s">
        <v>341</v>
      </c>
      <c r="D51" s="1">
        <v>5</v>
      </c>
      <c r="E51" s="1">
        <v>2</v>
      </c>
      <c r="F51" s="1">
        <f t="shared" si="1"/>
        <v>7</v>
      </c>
      <c r="G51" s="1">
        <v>2</v>
      </c>
      <c r="H51" s="3">
        <v>400000</v>
      </c>
      <c r="I51" s="3">
        <f>tab_data_funkcie[[#This Row],[Price]]/1000</f>
        <v>400</v>
      </c>
      <c r="J51" s="3">
        <v>400</v>
      </c>
      <c r="K51" s="35" t="str">
        <f>IF(tab_data_funkcie[[#This Row],[Price]]&lt;=210000,"OK","NG")</f>
        <v>NG</v>
      </c>
      <c r="L51" s="3"/>
      <c r="M51" s="3"/>
    </row>
    <row r="52" spans="1:13" ht="14">
      <c r="L52" s="3"/>
      <c r="M52" s="3"/>
    </row>
    <row r="53" spans="1:13" ht="14">
      <c r="L53" s="3"/>
      <c r="M53" s="3"/>
    </row>
    <row r="54" spans="1:13">
      <c r="A54" s="22" t="s">
        <v>421</v>
      </c>
      <c r="B54">
        <f>SUM(tab_data_funkcie[Location])</f>
        <v>0</v>
      </c>
      <c r="C54">
        <f>SUM(tab_data_funkcie[House type])</f>
        <v>0</v>
      </c>
      <c r="D54">
        <f>SUM(tab_data_funkcie[Bedrooms])</f>
        <v>186</v>
      </c>
      <c r="E54">
        <f>SUM(tab_data_funkcie[Reception rooms])</f>
        <v>126</v>
      </c>
      <c r="F54">
        <f>SUM(tab_data_funkcie[Bedrooms_Receptions])</f>
        <v>312</v>
      </c>
      <c r="G54">
        <f>SUM(tab_data_funkcie[Garage capacity])</f>
        <v>41</v>
      </c>
      <c r="H54">
        <f>SUM(tab_data_funkcie[Price])</f>
        <v>17158010</v>
      </c>
    </row>
    <row r="55" spans="1:13">
      <c r="A55" s="22" t="s">
        <v>422</v>
      </c>
      <c r="B55">
        <f>MIN(tab_data_funkcie[Location])</f>
        <v>0</v>
      </c>
      <c r="C55">
        <f>MIN(tab_data_funkcie[House type])</f>
        <v>0</v>
      </c>
      <c r="D55" s="31">
        <f>MIN(tab_data_funkcie[Bedrooms])</f>
        <v>2</v>
      </c>
      <c r="E55" s="31">
        <f>MIN(tab_data_funkcie[Reception rooms])</f>
        <v>1</v>
      </c>
      <c r="F55" s="31">
        <f>MIN(tab_data_funkcie[Bedrooms_Receptions])</f>
        <v>3</v>
      </c>
      <c r="G55" s="31">
        <f>MIN(tab_data_funkcie[Garage capacity])</f>
        <v>0</v>
      </c>
      <c r="H55" s="31">
        <f>MIN(tab_data_funkcie[Price])</f>
        <v>135000</v>
      </c>
      <c r="I55" s="31"/>
      <c r="J55" s="31"/>
      <c r="K55" s="31"/>
    </row>
    <row r="56" spans="1:13">
      <c r="A56" s="22" t="s">
        <v>423</v>
      </c>
      <c r="B56">
        <f>MAX(tab_data_funkcie[Location])</f>
        <v>0</v>
      </c>
      <c r="C56">
        <f>MAX(tab_data_funkcie[House type])</f>
        <v>0</v>
      </c>
      <c r="D56" s="30">
        <f>MAX(tab_data_funkcie[Bedrooms])</f>
        <v>6</v>
      </c>
      <c r="E56" s="30">
        <f>MAX(tab_data_funkcie[Reception rooms])</f>
        <v>4</v>
      </c>
      <c r="F56" s="30">
        <f>MAX(tab_data_funkcie[Bedrooms_Receptions])</f>
        <v>10</v>
      </c>
      <c r="G56" s="30">
        <f>MAX(tab_data_funkcie[Garage capacity])</f>
        <v>2</v>
      </c>
      <c r="H56" s="30">
        <f>MAX(tab_data_funkcie[Price])</f>
        <v>850000</v>
      </c>
      <c r="I56" s="30"/>
      <c r="J56" s="30"/>
      <c r="K56" s="30"/>
    </row>
    <row r="57" spans="1:13">
      <c r="A57" s="22" t="s">
        <v>424</v>
      </c>
      <c r="B57" t="e">
        <f>_xlfn.MODE.SNGL(tab_data_funkcie[Location])</f>
        <v>#N/A</v>
      </c>
      <c r="C57" t="e">
        <f>_xlfn.MODE.SNGL(tab_data_funkcie[House type])</f>
        <v>#N/A</v>
      </c>
      <c r="D57">
        <f>_xlfn.MODE.SNGL(tab_data_funkcie[Bedrooms])</f>
        <v>4</v>
      </c>
      <c r="E57">
        <f>_xlfn.MODE.SNGL(tab_data_funkcie[Reception rooms])</f>
        <v>2</v>
      </c>
      <c r="F57">
        <f>_xlfn.MODE.SNGL(tab_data_funkcie[Bedrooms_Receptions])</f>
        <v>6</v>
      </c>
      <c r="G57">
        <f>_xlfn.MODE.SNGL(tab_data_funkcie[Garage capacity])</f>
        <v>1</v>
      </c>
      <c r="H57">
        <f>_xlfn.MODE.SNGL(tab_data_funkcie[Price])</f>
        <v>375000</v>
      </c>
    </row>
    <row r="58" spans="1:13">
      <c r="A58" s="22" t="s">
        <v>425</v>
      </c>
      <c r="B58" t="e">
        <f>MODE(tab_data_funkcie[Location])</f>
        <v>#N/A</v>
      </c>
      <c r="C58" t="e">
        <f>MODE(tab_data_funkcie[House type])</f>
        <v>#N/A</v>
      </c>
      <c r="D58">
        <f>MODE(tab_data_funkcie[Bedrooms])</f>
        <v>4</v>
      </c>
      <c r="E58">
        <f>MODE(tab_data_funkcie[Reception rooms])</f>
        <v>2</v>
      </c>
      <c r="F58">
        <f>MODE(tab_data_funkcie[Bedrooms_Receptions])</f>
        <v>6</v>
      </c>
      <c r="G58">
        <f>MODE(tab_data_funkcie[Garage capacity])</f>
        <v>1</v>
      </c>
      <c r="H58">
        <f>MODE(tab_data_funkcie[Price])</f>
        <v>375000</v>
      </c>
    </row>
    <row r="59" spans="1:13">
      <c r="A59" s="22" t="s">
        <v>426</v>
      </c>
      <c r="B59" t="e">
        <f>MEDIAN(tab_data_funkcie[Location])</f>
        <v>#NUM!</v>
      </c>
      <c r="C59" t="e">
        <f>MEDIAN(tab_data_funkcie[House type])</f>
        <v>#NUM!</v>
      </c>
      <c r="D59">
        <f>MEDIAN(tab_data_funkcie[Bedrooms])</f>
        <v>4</v>
      </c>
      <c r="E59">
        <f>MEDIAN(tab_data_funkcie[Reception rooms])</f>
        <v>2</v>
      </c>
      <c r="F59">
        <f>MEDIAN(tab_data_funkcie[Bedrooms_Receptions])</f>
        <v>6</v>
      </c>
      <c r="G59">
        <f>MEDIAN(tab_data_funkcie[Garage capacity])</f>
        <v>1</v>
      </c>
      <c r="H59">
        <f>MEDIAN(tab_data_funkcie[Price])</f>
        <v>309497.5</v>
      </c>
    </row>
    <row r="60" spans="1:13">
      <c r="A60" s="22" t="s">
        <v>427</v>
      </c>
      <c r="B60" t="e">
        <f>AVERAGE(tab_data_funkcie[Location])</f>
        <v>#DIV/0!</v>
      </c>
      <c r="C60" t="e">
        <f>AVERAGE(tab_data_funkcie[House type])</f>
        <v>#DIV/0!</v>
      </c>
      <c r="D60">
        <f>AVERAGE(tab_data_funkcie[Bedrooms])</f>
        <v>3.72</v>
      </c>
      <c r="E60">
        <f>AVERAGE(tab_data_funkcie[Reception rooms])</f>
        <v>2.52</v>
      </c>
      <c r="F60">
        <f>AVERAGE(tab_data_funkcie[Bedrooms_Receptions])</f>
        <v>6.24</v>
      </c>
      <c r="G60">
        <f>AVERAGE(tab_data_funkcie[Garage capacity])</f>
        <v>0.82</v>
      </c>
      <c r="H60">
        <f>AVERAGE(tab_data_funkcie[Price])</f>
        <v>343160.2</v>
      </c>
    </row>
    <row r="61" spans="1:13">
      <c r="A61" s="22" t="s">
        <v>428</v>
      </c>
      <c r="B61" t="e">
        <f>_xlfn.VAR.P(tab_data_funkcie[Location])</f>
        <v>#DIV/0!</v>
      </c>
      <c r="C61" t="e">
        <f>_xlfn.VAR.P(tab_data_funkcie[House type])</f>
        <v>#DIV/0!</v>
      </c>
      <c r="D61">
        <f>_xlfn.VAR.P(tab_data_funkcie[Bedrooms])</f>
        <v>0.88160000000000005</v>
      </c>
      <c r="E61">
        <f>_xlfn.VAR.P(tab_data_funkcie[Reception rooms])</f>
        <v>0.88959999999999995</v>
      </c>
      <c r="F61">
        <f>_xlfn.VAR.P(tab_data_funkcie[Bedrooms_Receptions])</f>
        <v>2.7023999999999999</v>
      </c>
      <c r="G61">
        <f>_xlfn.VAR.P(tab_data_funkcie[Garage capacity])</f>
        <v>0.54759999999999998</v>
      </c>
      <c r="H61">
        <f>_xlfn.VAR.P(tab_data_funkcie[Price])</f>
        <v>22815566589.959999</v>
      </c>
    </row>
    <row r="62" spans="1:13">
      <c r="A62" s="22" t="s">
        <v>429</v>
      </c>
      <c r="B62" t="e">
        <f>_xlfn.VAR.S(tab_data_funkcie[Location])</f>
        <v>#DIV/0!</v>
      </c>
      <c r="C62" t="e">
        <f>_xlfn.VAR.S(tab_data_funkcie[House type])</f>
        <v>#DIV/0!</v>
      </c>
      <c r="D62">
        <f>_xlfn.VAR.S(tab_data_funkcie[Bedrooms])</f>
        <v>0.89959183673469467</v>
      </c>
      <c r="E62">
        <f>_xlfn.VAR.S(tab_data_funkcie[Reception rooms])</f>
        <v>0.90775510204081666</v>
      </c>
      <c r="F62">
        <f>_xlfn.VAR.S(tab_data_funkcie[Bedrooms_Receptions])</f>
        <v>2.7575510204081612</v>
      </c>
      <c r="G62">
        <f>_xlfn.VAR.S(tab_data_funkcie[Garage capacity])</f>
        <v>0.55877551020408167</v>
      </c>
      <c r="H62">
        <f>_xlfn.VAR.S(tab_data_funkcie[Price])</f>
        <v>23281190397.918365</v>
      </c>
    </row>
    <row r="63" spans="1:13">
      <c r="A63" s="22" t="s">
        <v>430</v>
      </c>
      <c r="B63" t="e">
        <f>VAR(tab_data_funkcie[Location])</f>
        <v>#DIV/0!</v>
      </c>
      <c r="C63" t="e">
        <f>VAR(tab_data_funkcie[House type])</f>
        <v>#DIV/0!</v>
      </c>
      <c r="D63">
        <f>VAR(tab_data_funkcie[Bedrooms])</f>
        <v>0.89959183673469467</v>
      </c>
      <c r="E63">
        <f>VAR(tab_data_funkcie[Reception rooms])</f>
        <v>0.90775510204081666</v>
      </c>
      <c r="F63">
        <f>VAR(tab_data_funkcie[Bedrooms_Receptions])</f>
        <v>2.7575510204081612</v>
      </c>
      <c r="G63">
        <f>VAR(tab_data_funkcie[Garage capacity])</f>
        <v>0.55877551020408167</v>
      </c>
      <c r="H63">
        <f>VAR(tab_data_funkcie[Price])</f>
        <v>23281190397.918365</v>
      </c>
    </row>
    <row r="64" spans="1:13">
      <c r="A64" s="22" t="s">
        <v>428</v>
      </c>
      <c r="B64" t="e">
        <f>VARP(tab_data_funkcie[Location])</f>
        <v>#DIV/0!</v>
      </c>
      <c r="C64" t="e">
        <f>VARP(tab_data_funkcie[House type])</f>
        <v>#DIV/0!</v>
      </c>
      <c r="D64">
        <f>VARP(tab_data_funkcie[Bedrooms])</f>
        <v>0.88160000000000005</v>
      </c>
      <c r="E64">
        <f>VARP(tab_data_funkcie[Reception rooms])</f>
        <v>0.88959999999999995</v>
      </c>
      <c r="F64">
        <f>VARP(tab_data_funkcie[Bedrooms_Receptions])</f>
        <v>2.7023999999999999</v>
      </c>
      <c r="G64">
        <f>VARP(tab_data_funkcie[Garage capacity])</f>
        <v>0.54759999999999998</v>
      </c>
      <c r="H64">
        <f>VARP(tab_data_funkcie[Price])</f>
        <v>22815566589.959999</v>
      </c>
    </row>
    <row r="65" spans="1:11">
      <c r="A65" s="22" t="s">
        <v>431</v>
      </c>
      <c r="B65" t="e">
        <f>_xlfn.STDEV.P(tab_data_funkcie[Location])</f>
        <v>#DIV/0!</v>
      </c>
      <c r="C65" t="e">
        <f>_xlfn.STDEV.P(tab_data_funkcie[House type])</f>
        <v>#DIV/0!</v>
      </c>
      <c r="D65">
        <f>_xlfn.STDEV.P(tab_data_funkcie[Bedrooms])</f>
        <v>0.93893556754444019</v>
      </c>
      <c r="E65">
        <f>_xlfn.STDEV.P(tab_data_funkcie[Reception rooms])</f>
        <v>0.94318608980412766</v>
      </c>
      <c r="F65">
        <f>_xlfn.STDEV.P(tab_data_funkcie[Bedrooms_Receptions])</f>
        <v>1.6438978070427614</v>
      </c>
      <c r="G65">
        <f>_xlfn.STDEV.P(tab_data_funkcie[Garage capacity])</f>
        <v>0.74</v>
      </c>
      <c r="H65">
        <f>_xlfn.STDEV.P(tab_data_funkcie[Price])</f>
        <v>151048.22604042722</v>
      </c>
    </row>
    <row r="66" spans="1:11">
      <c r="A66" s="22" t="s">
        <v>432</v>
      </c>
      <c r="B66" t="e">
        <f>_xlfn.STDEV.S(tab_data_funkcie[Location])</f>
        <v>#DIV/0!</v>
      </c>
      <c r="C66" t="e">
        <f>_xlfn.STDEV.S(tab_data_funkcie[House type])</f>
        <v>#DIV/0!</v>
      </c>
      <c r="D66">
        <f>_xlfn.STDEV.S(tab_data_funkcie[Bedrooms])</f>
        <v>0.94846815272559082</v>
      </c>
      <c r="E66">
        <f>_xlfn.STDEV.S(tab_data_funkcie[Reception rooms])</f>
        <v>0.95276182860188974</v>
      </c>
      <c r="F66">
        <f>_xlfn.STDEV.S(tab_data_funkcie[Bedrooms_Receptions])</f>
        <v>1.660587552768044</v>
      </c>
      <c r="G66">
        <f>_xlfn.STDEV.S(tab_data_funkcie[Garage capacity])</f>
        <v>0.74751288296863594</v>
      </c>
      <c r="H66">
        <f>_xlfn.STDEV.S(tab_data_funkcie[Price])</f>
        <v>152581.74988483507</v>
      </c>
    </row>
    <row r="67" spans="1:11">
      <c r="A67" s="22"/>
    </row>
    <row r="68" spans="1:11">
      <c r="A68" s="22"/>
    </row>
    <row r="69" spans="1:11">
      <c r="A69" s="22" t="s">
        <v>433</v>
      </c>
      <c r="B69" t="e">
        <f>SKEW(tab_data_funkcie[Location])</f>
        <v>#DIV/0!</v>
      </c>
      <c r="C69" t="e">
        <f>SKEW(tab_data_funkcie[House type])</f>
        <v>#DIV/0!</v>
      </c>
      <c r="D69">
        <f>SKEW(tab_data_funkcie[Bedrooms])</f>
        <v>3.1094173216145633E-3</v>
      </c>
      <c r="E69">
        <f>SKEW(tab_data_funkcie[Reception rooms])</f>
        <v>0.23549484966916651</v>
      </c>
      <c r="F69">
        <f>SKEW(tab_data_funkcie[Bedrooms_Receptions])</f>
        <v>-0.12059974164344255</v>
      </c>
      <c r="G69">
        <f>SKEW(tab_data_funkcie[Garage capacity])</f>
        <v>0.30927982029076218</v>
      </c>
      <c r="H69">
        <f>SKEW(tab_data_funkcie[Price])</f>
        <v>1.2155383284748322</v>
      </c>
    </row>
    <row r="70" spans="1:11">
      <c r="A70" s="22" t="s">
        <v>434</v>
      </c>
      <c r="B70" t="e">
        <f>_xlfn.SKEW.P(tab_data_funkcie[Location])</f>
        <v>#DIV/0!</v>
      </c>
      <c r="C70" t="e">
        <f>_xlfn.SKEW.P(tab_data_funkcie[House type])</f>
        <v>#DIV/0!</v>
      </c>
      <c r="D70">
        <f>_xlfn.SKEW.P(tab_data_funkcie[Bedrooms])</f>
        <v>3.0153463867236495E-3</v>
      </c>
      <c r="E70">
        <f>_xlfn.SKEW.P(tab_data_funkcie[Reception rooms])</f>
        <v>0.22837029275735893</v>
      </c>
      <c r="F70">
        <f>_xlfn.SKEW.P(tab_data_funkcie[Bedrooms_Receptions])</f>
        <v>-0.1169511704577241</v>
      </c>
      <c r="G70">
        <f>_xlfn.SKEW.P(tab_data_funkcie[Garage capacity])</f>
        <v>0.29992300554754903</v>
      </c>
      <c r="H70">
        <f>_xlfn.SKEW.P(tab_data_funkcie[Price])</f>
        <v>1.1787639700892085</v>
      </c>
    </row>
    <row r="71" spans="1:11">
      <c r="A71" s="22" t="s">
        <v>435</v>
      </c>
      <c r="B71" t="e">
        <f>KURT(tab_data_funkcie[Location])</f>
        <v>#DIV/0!</v>
      </c>
      <c r="C71" t="e">
        <f>KURT(tab_data_funkcie[House type])</f>
        <v>#DIV/0!</v>
      </c>
      <c r="D71">
        <f>KURT(tab_data_funkcie[Bedrooms])</f>
        <v>0.31601001790773875</v>
      </c>
      <c r="E71">
        <f>KURT(tab_data_funkcie[Reception rooms])</f>
        <v>-0.89024888309159822</v>
      </c>
      <c r="F71">
        <f>KURT(tab_data_funkcie[Bedrooms_Receptions])</f>
        <v>-0.43808510347422125</v>
      </c>
      <c r="G71">
        <f>KURT(tab_data_funkcie[Garage capacity])</f>
        <v>-1.1241529500513963</v>
      </c>
      <c r="H71">
        <f>KURT(tab_data_funkcie[Price])</f>
        <v>1.7589661813043422</v>
      </c>
    </row>
    <row r="72" spans="1:11">
      <c r="A72" s="22" t="s">
        <v>436</v>
      </c>
      <c r="B72" t="e">
        <f>LARGE(tab_data_funkcie[Location],5)</f>
        <v>#NUM!</v>
      </c>
      <c r="C72" t="e">
        <f>LARGE(tab_data_funkcie[House type],5)</f>
        <v>#NUM!</v>
      </c>
      <c r="D72">
        <f>LARGE(tab_data_funkcie[Bedrooms],5)</f>
        <v>5</v>
      </c>
      <c r="E72">
        <f>LARGE(tab_data_funkcie[Reception rooms],5)</f>
        <v>4</v>
      </c>
      <c r="F72">
        <f>LARGE(tab_data_funkcie[Bedrooms_Receptions],5)</f>
        <v>8</v>
      </c>
      <c r="G72">
        <f>LARGE(tab_data_funkcie[Garage capacity],5)</f>
        <v>2</v>
      </c>
      <c r="H72">
        <f>LARGE(tab_data_funkcie[Price],5)</f>
        <v>545000</v>
      </c>
    </row>
    <row r="73" spans="1:11">
      <c r="A73" s="22" t="s">
        <v>437</v>
      </c>
      <c r="B73" t="e">
        <f>LARGE(tab_data_funkcie[Location],4)</f>
        <v>#NUM!</v>
      </c>
      <c r="C73" t="e">
        <f>LARGE(tab_data_funkcie[House type],4)</f>
        <v>#NUM!</v>
      </c>
      <c r="D73">
        <f>LARGE(tab_data_funkcie[Bedrooms],4)</f>
        <v>5</v>
      </c>
      <c r="E73">
        <f>LARGE(tab_data_funkcie[Reception rooms],4)</f>
        <v>4</v>
      </c>
      <c r="F73">
        <f>LARGE(tab_data_funkcie[Bedrooms_Receptions],4)</f>
        <v>8</v>
      </c>
      <c r="G73">
        <f>LARGE(tab_data_funkcie[Garage capacity],4)</f>
        <v>2</v>
      </c>
      <c r="H73">
        <f>LARGE(tab_data_funkcie[Price],4)</f>
        <v>580000</v>
      </c>
    </row>
    <row r="74" spans="1:11">
      <c r="A74" s="22" t="s">
        <v>438</v>
      </c>
      <c r="B74" t="e">
        <f>LARGE(tab_data_funkcie[Location],1)</f>
        <v>#NUM!</v>
      </c>
      <c r="C74" t="e">
        <f>LARGE(tab_data_funkcie[House type],1)</f>
        <v>#NUM!</v>
      </c>
      <c r="D74" s="30">
        <f>LARGE(tab_data_funkcie[Bedrooms],1)</f>
        <v>6</v>
      </c>
      <c r="E74" s="30">
        <f>LARGE(tab_data_funkcie[Reception rooms],1)</f>
        <v>4</v>
      </c>
      <c r="F74" s="30">
        <f>LARGE(tab_data_funkcie[Bedrooms_Receptions],1)</f>
        <v>10</v>
      </c>
      <c r="G74" s="30">
        <f>LARGE(tab_data_funkcie[Garage capacity],1)</f>
        <v>2</v>
      </c>
      <c r="H74" s="30">
        <f>LARGE(tab_data_funkcie[Price],1)</f>
        <v>850000</v>
      </c>
      <c r="I74" s="30"/>
      <c r="J74" s="30"/>
      <c r="K74" s="30"/>
    </row>
    <row r="75" spans="1:11">
      <c r="A75" s="22" t="s">
        <v>439</v>
      </c>
      <c r="B75" t="e">
        <f>SMALL(tab_data_funkcie[Location],5)</f>
        <v>#NUM!</v>
      </c>
      <c r="C75" t="e">
        <f>SMALL(tab_data_funkcie[House type],5)</f>
        <v>#NUM!</v>
      </c>
      <c r="D75">
        <f>SMALL(tab_data_funkcie[Bedrooms],5)</f>
        <v>2</v>
      </c>
      <c r="E75">
        <f>SMALL(tab_data_funkcie[Reception rooms],5)</f>
        <v>1</v>
      </c>
      <c r="F75">
        <f>SMALL(tab_data_funkcie[Bedrooms_Receptions],5)</f>
        <v>4</v>
      </c>
      <c r="G75">
        <f>SMALL(tab_data_funkcie[Garage capacity],5)</f>
        <v>0</v>
      </c>
      <c r="H75">
        <f>SMALL(tab_data_funkcie[Price],5)</f>
        <v>178000</v>
      </c>
    </row>
    <row r="76" spans="1:11">
      <c r="A76" s="22" t="s">
        <v>440</v>
      </c>
      <c r="B76" t="e">
        <f>SMALL(tab_data_funkcie[Location],4)</f>
        <v>#NUM!</v>
      </c>
      <c r="C76" t="e">
        <f>SMALL(tab_data_funkcie[House type],4)</f>
        <v>#NUM!</v>
      </c>
      <c r="D76">
        <f>SMALL(tab_data_funkcie[Bedrooms],4)</f>
        <v>2</v>
      </c>
      <c r="E76">
        <f>SMALL(tab_data_funkcie[Reception rooms],4)</f>
        <v>1</v>
      </c>
      <c r="F76">
        <f>SMALL(tab_data_funkcie[Bedrooms_Receptions],4)</f>
        <v>4</v>
      </c>
      <c r="G76">
        <f>SMALL(tab_data_funkcie[Garage capacity],4)</f>
        <v>0</v>
      </c>
      <c r="H76">
        <f>SMALL(tab_data_funkcie[Price],4)</f>
        <v>175000</v>
      </c>
    </row>
    <row r="77" spans="1:11">
      <c r="A77" s="22" t="s">
        <v>441</v>
      </c>
      <c r="B77" t="e">
        <f>SMALL(tab_data_funkcie[Location],1)</f>
        <v>#NUM!</v>
      </c>
      <c r="C77" t="e">
        <f>SMALL(tab_data_funkcie[House type],1)</f>
        <v>#NUM!</v>
      </c>
      <c r="D77" s="31">
        <f>SMALL(tab_data_funkcie[Bedrooms],1)</f>
        <v>2</v>
      </c>
      <c r="E77" s="31">
        <f>SMALL(tab_data_funkcie[Reception rooms],1)</f>
        <v>1</v>
      </c>
      <c r="F77" s="31">
        <f>SMALL(tab_data_funkcie[Bedrooms_Receptions],1)</f>
        <v>3</v>
      </c>
      <c r="G77" s="31">
        <f>SMALL(tab_data_funkcie[Garage capacity],1)</f>
        <v>0</v>
      </c>
      <c r="H77" s="31">
        <f>SMALL(tab_data_funkcie[Price],1)</f>
        <v>135000</v>
      </c>
      <c r="I77" s="31"/>
      <c r="J77" s="31"/>
      <c r="K77" s="31"/>
    </row>
    <row r="78" spans="1:11">
      <c r="A78" s="22" t="s">
        <v>442</v>
      </c>
      <c r="B78">
        <f>B56-B55</f>
        <v>0</v>
      </c>
      <c r="C78">
        <f t="shared" ref="C78:H78" si="2">C56-C55</f>
        <v>0</v>
      </c>
      <c r="D78">
        <f t="shared" si="2"/>
        <v>4</v>
      </c>
      <c r="E78">
        <f t="shared" si="2"/>
        <v>3</v>
      </c>
      <c r="F78">
        <f t="shared" si="2"/>
        <v>7</v>
      </c>
      <c r="G78">
        <f t="shared" si="2"/>
        <v>2</v>
      </c>
      <c r="H78">
        <f t="shared" si="2"/>
        <v>715000</v>
      </c>
    </row>
    <row r="79" spans="1:11">
      <c r="A79" s="22" t="s">
        <v>442</v>
      </c>
      <c r="B79">
        <f>MAX(tab_data_funkcie[Location])-MIN(tab_data_funkcie[Location])</f>
        <v>0</v>
      </c>
      <c r="C79">
        <f>MAX(tab_data_funkcie[House type])-MIN(tab_data_funkcie[House type])</f>
        <v>0</v>
      </c>
      <c r="D79">
        <f>MAX(tab_data_funkcie[Bedrooms])-MIN(tab_data_funkcie[Bedrooms])</f>
        <v>4</v>
      </c>
      <c r="E79">
        <f>MAX(tab_data_funkcie[Reception rooms])-MIN(tab_data_funkcie[Reception rooms])</f>
        <v>3</v>
      </c>
      <c r="F79">
        <f>MAX(tab_data_funkcie[Bedrooms_Receptions])-MIN(tab_data_funkcie[Bedrooms_Receptions])</f>
        <v>7</v>
      </c>
      <c r="G79">
        <f>MAX(tab_data_funkcie[Garage capacity])-MIN(tab_data_funkcie[Garage capacity])</f>
        <v>2</v>
      </c>
      <c r="H79">
        <f>MAX(tab_data_funkcie[Price])-MIN(tab_data_funkcie[Price])</f>
        <v>715000</v>
      </c>
    </row>
    <row r="80" spans="1:11">
      <c r="A80" s="22" t="s">
        <v>443</v>
      </c>
      <c r="B80" s="32" t="e">
        <f>B66/B60</f>
        <v>#DIV/0!</v>
      </c>
      <c r="C80" s="32" t="e">
        <f t="shared" ref="C80:H80" si="3">C66/C60</f>
        <v>#DIV/0!</v>
      </c>
      <c r="D80" s="38">
        <f t="shared" si="3"/>
        <v>0.25496455718429861</v>
      </c>
      <c r="E80" s="32">
        <f t="shared" si="3"/>
        <v>0.37808009071503562</v>
      </c>
      <c r="F80" s="32">
        <f t="shared" si="3"/>
        <v>0.26611980012308395</v>
      </c>
      <c r="G80" s="38">
        <f t="shared" si="3"/>
        <v>0.91160107679101954</v>
      </c>
      <c r="H80" s="32">
        <f t="shared" si="3"/>
        <v>0.44463708170363303</v>
      </c>
      <c r="I80" s="32"/>
      <c r="J80" s="32"/>
      <c r="K80" s="32"/>
    </row>
    <row r="81" spans="1:8">
      <c r="A81" s="22"/>
    </row>
    <row r="82" spans="1:8">
      <c r="A82" s="22" t="s">
        <v>444</v>
      </c>
      <c r="B82">
        <f>COUNT(tab_data_funkcie[Location])</f>
        <v>0</v>
      </c>
      <c r="C82">
        <f>COUNT(tab_data_funkcie[House type])</f>
        <v>0</v>
      </c>
      <c r="D82">
        <f>COUNT(tab_data_funkcie[Bedrooms])</f>
        <v>50</v>
      </c>
      <c r="E82">
        <f>COUNT(tab_data_funkcie[Reception rooms])</f>
        <v>50</v>
      </c>
      <c r="F82">
        <f>COUNT(tab_data_funkcie[Bedrooms_Receptions])</f>
        <v>50</v>
      </c>
      <c r="G82">
        <f>COUNT(tab_data_funkcie[Garage capacity])</f>
        <v>50</v>
      </c>
      <c r="H82">
        <f>COUNT(tab_data_funkcie[Price])</f>
        <v>50</v>
      </c>
    </row>
    <row r="83" spans="1:8">
      <c r="A83" s="22" t="s">
        <v>445</v>
      </c>
      <c r="B83">
        <f>COUNTA(tab_data_funkcie[Location])</f>
        <v>50</v>
      </c>
      <c r="C83">
        <f>COUNTA(tab_data_funkcie[House type])</f>
        <v>50</v>
      </c>
      <c r="D83">
        <f>COUNTA(tab_data_funkcie[Bedrooms])</f>
        <v>50</v>
      </c>
      <c r="E83">
        <f>COUNTA(tab_data_funkcie[Reception rooms])</f>
        <v>50</v>
      </c>
      <c r="F83">
        <f>COUNTA(tab_data_funkcie[Bedrooms_Receptions])</f>
        <v>50</v>
      </c>
      <c r="G83">
        <f>COUNTA(tab_data_funkcie[Garage capacity])</f>
        <v>50</v>
      </c>
      <c r="H83">
        <f>COUNTA(tab_data_funkcie[Price])</f>
        <v>50</v>
      </c>
    </row>
    <row r="84" spans="1:8">
      <c r="A84" s="22" t="s">
        <v>446</v>
      </c>
      <c r="B84" t="e">
        <f>B54/B82</f>
        <v>#DIV/0!</v>
      </c>
      <c r="C84" t="e">
        <f t="shared" ref="C84:H84" si="4">C54/C82</f>
        <v>#DIV/0!</v>
      </c>
      <c r="D84">
        <f t="shared" si="4"/>
        <v>3.72</v>
      </c>
      <c r="E84">
        <f t="shared" si="4"/>
        <v>2.52</v>
      </c>
      <c r="F84">
        <f t="shared" si="4"/>
        <v>6.24</v>
      </c>
      <c r="G84">
        <f t="shared" si="4"/>
        <v>0.82</v>
      </c>
      <c r="H84">
        <f t="shared" si="4"/>
        <v>343160.2</v>
      </c>
    </row>
    <row r="85" spans="1:8">
      <c r="A85" s="22" t="s">
        <v>446</v>
      </c>
      <c r="B85" t="e">
        <f>SUM(tab_data_funkcie[Location])/COUNT(tab_data_funkcie[Location])</f>
        <v>#DIV/0!</v>
      </c>
      <c r="C85" t="e">
        <f>SUM(tab_data_funkcie[House type])/COUNT(tab_data_funkcie[House type])</f>
        <v>#DIV/0!</v>
      </c>
      <c r="D85">
        <f>SUM(tab_data_funkcie[Bedrooms])/COUNT(tab_data_funkcie[Bedrooms])</f>
        <v>3.72</v>
      </c>
      <c r="E85">
        <f>SUM(tab_data_funkcie[Reception rooms])/COUNT(tab_data_funkcie[Reception rooms])</f>
        <v>2.52</v>
      </c>
      <c r="F85">
        <f>SUM(tab_data_funkcie[Bedrooms_Receptions])/COUNT(tab_data_funkcie[Bedrooms_Receptions])</f>
        <v>6.24</v>
      </c>
      <c r="G85">
        <f>SUM(tab_data_funkcie[Garage capacity])/COUNT(tab_data_funkcie[Garage capacity])</f>
        <v>0.82</v>
      </c>
      <c r="H85">
        <f>SUM(tab_data_funkcie[Price])/COUNT(tab_data_funkcie[Price])</f>
        <v>343160.2</v>
      </c>
    </row>
    <row r="87" spans="1:8">
      <c r="A87" s="22" t="s">
        <v>447</v>
      </c>
    </row>
    <row r="88" spans="1:8">
      <c r="A88" s="22"/>
    </row>
    <row r="89" spans="1:8">
      <c r="A89" s="324" t="s">
        <v>448</v>
      </c>
      <c r="B89" s="324"/>
      <c r="C89" s="324"/>
      <c r="D89">
        <f>COUNTIF(tab_data_funkcie[Location],"town")</f>
        <v>27</v>
      </c>
    </row>
    <row r="90" spans="1:8">
      <c r="A90" s="324" t="s">
        <v>449</v>
      </c>
      <c r="B90" s="324"/>
      <c r="C90" s="324"/>
      <c r="D90">
        <f>COUNTIF(tab_data_funkcie[Location],"village")</f>
        <v>23</v>
      </c>
    </row>
    <row r="91" spans="1:8">
      <c r="A91" s="260"/>
      <c r="B91" s="5"/>
      <c r="C91" s="5"/>
    </row>
    <row r="92" spans="1:8">
      <c r="A92" s="324" t="s">
        <v>450</v>
      </c>
      <c r="B92" s="324"/>
      <c r="C92" s="324"/>
      <c r="D92" s="2">
        <f>SUMIF(tab_data_funkcie[Location],"town",tab_data_funkcie[Price])</f>
        <v>8093720</v>
      </c>
    </row>
    <row r="93" spans="1:8">
      <c r="A93" s="324" t="s">
        <v>451</v>
      </c>
      <c r="B93" s="324"/>
      <c r="C93" s="324"/>
      <c r="D93" s="2">
        <f>SUMIF(tab_data_funkcie[Location],"village",tab_data_funkcie[Price])</f>
        <v>9064290</v>
      </c>
    </row>
    <row r="95" spans="1:8">
      <c r="A95" s="324" t="s">
        <v>452</v>
      </c>
      <c r="B95" s="324"/>
      <c r="C95" s="324"/>
      <c r="D95" s="33">
        <f>AVERAGEIF(tab_data_funkcie[Location],"town",tab_data_funkcie[Price])</f>
        <v>299767.40740740742</v>
      </c>
    </row>
    <row r="96" spans="1:8">
      <c r="A96" s="324" t="s">
        <v>453</v>
      </c>
      <c r="B96" s="324"/>
      <c r="C96" s="324"/>
      <c r="D96" s="33">
        <f>AVERAGEIF(tab_data_funkcie[Location],"village",tab_data_funkcie[Price])</f>
        <v>394099.5652173913</v>
      </c>
    </row>
    <row r="97" spans="1:10">
      <c r="A97" s="260"/>
      <c r="B97" s="260"/>
      <c r="C97" s="260"/>
      <c r="D97" s="33"/>
    </row>
    <row r="99" spans="1:10">
      <c r="A99" s="22" t="s">
        <v>454</v>
      </c>
      <c r="B99" t="e">
        <f>QUARTILE(tab_data_funkcie[Location],1)</f>
        <v>#NUM!</v>
      </c>
      <c r="C99" t="e">
        <f>QUARTILE(tab_data_funkcie[House type],1)</f>
        <v>#NUM!</v>
      </c>
      <c r="D99">
        <f>QUARTILE(tab_data_funkcie[Bedrooms],1)</f>
        <v>3</v>
      </c>
      <c r="E99">
        <f>QUARTILE(tab_data_funkcie[Reception rooms],1)</f>
        <v>2</v>
      </c>
      <c r="F99">
        <f>QUARTILE(tab_data_funkcie[Bedrooms_Receptions],1)</f>
        <v>5</v>
      </c>
      <c r="G99">
        <f>QUARTILE(tab_data_funkcie[Garage capacity],1)</f>
        <v>0</v>
      </c>
      <c r="H99" s="2">
        <f>QUARTILE(tab_data_funkcie[Price],1)</f>
        <v>230462.5</v>
      </c>
      <c r="I99" s="2"/>
      <c r="J99" s="2"/>
    </row>
    <row r="100" spans="1:10">
      <c r="A100" s="22" t="s">
        <v>455</v>
      </c>
      <c r="B100" t="e">
        <f>_xlfn.QUARTILE.INC(tab_data_funkcie[Location],1)</f>
        <v>#NUM!</v>
      </c>
      <c r="C100" t="e">
        <f>_xlfn.QUARTILE.INC(tab_data_funkcie[House type],1)</f>
        <v>#NUM!</v>
      </c>
      <c r="D100">
        <f>_xlfn.QUARTILE.INC(tab_data_funkcie[Bedrooms],1)</f>
        <v>3</v>
      </c>
      <c r="E100">
        <f>_xlfn.QUARTILE.INC(tab_data_funkcie[Reception rooms],1)</f>
        <v>2</v>
      </c>
      <c r="F100">
        <f>_xlfn.QUARTILE.INC(tab_data_funkcie[Bedrooms_Receptions],1)</f>
        <v>5</v>
      </c>
      <c r="G100">
        <f>_xlfn.QUARTILE.INC(tab_data_funkcie[Garage capacity],1)</f>
        <v>0</v>
      </c>
      <c r="H100" s="2">
        <f>_xlfn.QUARTILE.INC(tab_data_funkcie[Price],1)</f>
        <v>230462.5</v>
      </c>
      <c r="I100" s="2"/>
      <c r="J100" s="2"/>
    </row>
    <row r="101" spans="1:10" ht="13">
      <c r="A101" s="57" t="s">
        <v>456</v>
      </c>
      <c r="B101" t="e">
        <f>_xlfn.QUARTILE.EXC(tab_data_funkcie[Location],1)</f>
        <v>#NUM!</v>
      </c>
      <c r="C101" t="e">
        <f>_xlfn.QUARTILE.EXC(tab_data_funkcie[House type],1)</f>
        <v>#NUM!</v>
      </c>
      <c r="D101">
        <f>_xlfn.QUARTILE.EXC(tab_data_funkcie[Bedrooms],1)</f>
        <v>3</v>
      </c>
      <c r="E101">
        <f>_xlfn.QUARTILE.EXC(tab_data_funkcie[Reception rooms],1)</f>
        <v>2</v>
      </c>
      <c r="F101">
        <f>_xlfn.QUARTILE.EXC(tab_data_funkcie[Bedrooms_Receptions],1)</f>
        <v>5</v>
      </c>
      <c r="G101">
        <f>_xlfn.QUARTILE.EXC(tab_data_funkcie[Garage capacity],1)</f>
        <v>0</v>
      </c>
      <c r="H101" s="57">
        <f>_xlfn.QUARTILE.EXC(tab_data_funkcie[Price],1)</f>
        <v>228712.5</v>
      </c>
      <c r="I101" s="57"/>
      <c r="J101" s="57"/>
    </row>
    <row r="102" spans="1:10">
      <c r="H102" s="2"/>
      <c r="I102" s="2"/>
      <c r="J102" s="2"/>
    </row>
    <row r="103" spans="1:10" ht="13">
      <c r="A103" s="44" t="s">
        <v>457</v>
      </c>
      <c r="B103" s="30" t="e">
        <f>QUARTILE(tab_data_funkcie[Location],2)</f>
        <v>#NUM!</v>
      </c>
      <c r="C103" s="30" t="e">
        <f>QUARTILE(tab_data_funkcie[House type],2)</f>
        <v>#NUM!</v>
      </c>
      <c r="D103" s="30">
        <f>QUARTILE(tab_data_funkcie[Bedrooms],2)</f>
        <v>4</v>
      </c>
      <c r="E103" s="30">
        <f>QUARTILE(tab_data_funkcie[Reception rooms],2)</f>
        <v>2</v>
      </c>
      <c r="F103" s="30">
        <f>QUARTILE(tab_data_funkcie[Bedrooms_Receptions],2)</f>
        <v>6</v>
      </c>
      <c r="G103" s="30">
        <f>QUARTILE(tab_data_funkcie[Garage capacity],2)</f>
        <v>1</v>
      </c>
      <c r="H103" s="53">
        <f>QUARTILE(tab_data_funkcie[Price],2)</f>
        <v>309497.5</v>
      </c>
      <c r="I103" s="53"/>
      <c r="J103" s="53"/>
    </row>
    <row r="104" spans="1:10" ht="13">
      <c r="A104" s="44" t="s">
        <v>455</v>
      </c>
      <c r="B104" s="30" t="e">
        <f>_xlfn.QUARTILE.INC(tab_data_funkcie[Location],2)</f>
        <v>#NUM!</v>
      </c>
      <c r="C104" s="30" t="e">
        <f>_xlfn.QUARTILE.INC(tab_data_funkcie[House type],2)</f>
        <v>#NUM!</v>
      </c>
      <c r="D104" s="30">
        <f>_xlfn.QUARTILE.INC(tab_data_funkcie[Bedrooms],2)</f>
        <v>4</v>
      </c>
      <c r="E104" s="30">
        <f>_xlfn.QUARTILE.INC(tab_data_funkcie[Reception rooms],2)</f>
        <v>2</v>
      </c>
      <c r="F104" s="30">
        <f>_xlfn.QUARTILE.INC(tab_data_funkcie[Bedrooms_Receptions],2)</f>
        <v>6</v>
      </c>
      <c r="G104" s="30">
        <f>_xlfn.QUARTILE.INC(tab_data_funkcie[Garage capacity],2)</f>
        <v>1</v>
      </c>
      <c r="H104" s="53">
        <f>_xlfn.QUARTILE.INC(tab_data_funkcie[Price],2)</f>
        <v>309497.5</v>
      </c>
      <c r="I104" s="53"/>
      <c r="J104" s="53"/>
    </row>
    <row r="105" spans="1:10" ht="13">
      <c r="A105" s="22" t="s">
        <v>456</v>
      </c>
      <c r="B105" t="e">
        <f>_xlfn.QUARTILE.EXC(tab_data_funkcie[Location],2)</f>
        <v>#NUM!</v>
      </c>
      <c r="C105" t="e">
        <f>_xlfn.QUARTILE.EXC(tab_data_funkcie[House type],2)</f>
        <v>#NUM!</v>
      </c>
      <c r="D105">
        <f>_xlfn.QUARTILE.EXC(tab_data_funkcie[Bedrooms],2)</f>
        <v>4</v>
      </c>
      <c r="E105">
        <f>_xlfn.QUARTILE.EXC(tab_data_funkcie[Reception rooms],2)</f>
        <v>2</v>
      </c>
      <c r="F105">
        <f>_xlfn.QUARTILE.EXC(tab_data_funkcie[Bedrooms_Receptions],2)</f>
        <v>6</v>
      </c>
      <c r="G105">
        <f>_xlfn.QUARTILE.EXC(tab_data_funkcie[Garage capacity],2)</f>
        <v>1</v>
      </c>
      <c r="H105" s="54">
        <f>_xlfn.QUARTILE.EXC(tab_data_funkcie[Price],2)</f>
        <v>309497.5</v>
      </c>
      <c r="I105" s="54"/>
      <c r="J105" s="54"/>
    </row>
    <row r="106" spans="1:10">
      <c r="H106" s="2"/>
      <c r="I106" s="2"/>
      <c r="J106" s="2"/>
    </row>
    <row r="107" spans="1:10" ht="13">
      <c r="A107" s="44" t="s">
        <v>426</v>
      </c>
      <c r="B107" s="30" t="e">
        <f>MEDIAN(tab_data_funkcie[Location])</f>
        <v>#NUM!</v>
      </c>
      <c r="C107" s="30" t="e">
        <f>MEDIAN(tab_data_funkcie[House type])</f>
        <v>#NUM!</v>
      </c>
      <c r="D107" s="30">
        <f>MEDIAN(tab_data_funkcie[Bedrooms])</f>
        <v>4</v>
      </c>
      <c r="E107" s="30">
        <f>MEDIAN(tab_data_funkcie[Reception rooms])</f>
        <v>2</v>
      </c>
      <c r="F107" s="30">
        <f>MEDIAN(tab_data_funkcie[Bedrooms_Receptions])</f>
        <v>6</v>
      </c>
      <c r="G107" s="30">
        <f>MEDIAN(tab_data_funkcie[Garage capacity])</f>
        <v>1</v>
      </c>
      <c r="H107" s="53">
        <f>MEDIAN(tab_data_funkcie[Price])</f>
        <v>309497.5</v>
      </c>
      <c r="I107" s="53"/>
      <c r="J107" s="53"/>
    </row>
    <row r="108" spans="1:10">
      <c r="A108" s="44"/>
      <c r="B108" s="30"/>
      <c r="C108" s="30"/>
      <c r="D108" s="30"/>
      <c r="E108" s="30"/>
      <c r="F108" s="30"/>
      <c r="G108" s="30"/>
      <c r="H108" s="49"/>
      <c r="I108" s="49"/>
      <c r="J108" s="49"/>
    </row>
    <row r="109" spans="1:10">
      <c r="A109" s="45"/>
      <c r="B109" s="45"/>
      <c r="C109" s="45"/>
      <c r="D109" s="45"/>
      <c r="E109" s="45"/>
      <c r="F109" s="45"/>
      <c r="G109" s="45"/>
      <c r="H109" s="50"/>
      <c r="I109" s="50"/>
      <c r="J109" s="50"/>
    </row>
    <row r="110" spans="1:10">
      <c r="A110" s="46" t="s">
        <v>458</v>
      </c>
      <c r="B110" s="45" t="e">
        <f>QUARTILE(tab_data_funkcie[Location],3)</f>
        <v>#NUM!</v>
      </c>
      <c r="C110" s="45" t="e">
        <f>QUARTILE(tab_data_funkcie[House type],3)</f>
        <v>#NUM!</v>
      </c>
      <c r="D110" s="45">
        <f>QUARTILE(tab_data_funkcie[Bedrooms],3)</f>
        <v>4</v>
      </c>
      <c r="E110" s="45">
        <f>QUARTILE(tab_data_funkcie[Reception rooms],3)</f>
        <v>3</v>
      </c>
      <c r="F110" s="45">
        <f>QUARTILE(tab_data_funkcie[Bedrooms_Receptions],3)</f>
        <v>7.75</v>
      </c>
      <c r="G110" s="45">
        <f>QUARTILE(tab_data_funkcie[Garage capacity],3)</f>
        <v>1</v>
      </c>
      <c r="H110" s="50">
        <f>QUARTILE(tab_data_funkcie[Price],3)</f>
        <v>443375</v>
      </c>
      <c r="I110" s="50"/>
      <c r="J110" s="50"/>
    </row>
    <row r="111" spans="1:10">
      <c r="A111" s="46" t="s">
        <v>455</v>
      </c>
      <c r="B111" s="45" t="e">
        <f>_xlfn.QUARTILE.INC(tab_data_funkcie[Location],3)</f>
        <v>#NUM!</v>
      </c>
      <c r="C111" s="45" t="e">
        <f>_xlfn.QUARTILE.INC(tab_data_funkcie[House type],3)</f>
        <v>#NUM!</v>
      </c>
      <c r="D111" s="45">
        <f>_xlfn.QUARTILE.INC(tab_data_funkcie[Bedrooms],3)</f>
        <v>4</v>
      </c>
      <c r="E111" s="45">
        <f>_xlfn.QUARTILE.INC(tab_data_funkcie[Reception rooms],3)</f>
        <v>3</v>
      </c>
      <c r="F111" s="45">
        <f>_xlfn.QUARTILE.INC(tab_data_funkcie[Bedrooms_Receptions],3)</f>
        <v>7.75</v>
      </c>
      <c r="G111" s="45">
        <f>_xlfn.QUARTILE.INC(tab_data_funkcie[Garage capacity],3)</f>
        <v>1</v>
      </c>
      <c r="H111" s="50">
        <f>_xlfn.QUARTILE.INC(tab_data_funkcie[Price],3)</f>
        <v>443375</v>
      </c>
      <c r="I111" s="50"/>
      <c r="J111" s="50"/>
    </row>
    <row r="112" spans="1:10" ht="13">
      <c r="A112" s="56" t="s">
        <v>456</v>
      </c>
      <c r="B112" s="45" t="e">
        <f>_xlfn.QUARTILE.EXC(tab_data_funkcie[Location],3)</f>
        <v>#NUM!</v>
      </c>
      <c r="C112" s="45" t="e">
        <f>_xlfn.QUARTILE.EXC(tab_data_funkcie[House type],3)</f>
        <v>#NUM!</v>
      </c>
      <c r="D112" s="45">
        <f>_xlfn.QUARTILE.EXC(tab_data_funkcie[Bedrooms],3)</f>
        <v>4</v>
      </c>
      <c r="E112" s="45">
        <f>_xlfn.QUARTILE.EXC(tab_data_funkcie[Reception rooms],3)</f>
        <v>3</v>
      </c>
      <c r="F112" s="45">
        <f>_xlfn.QUARTILE.EXC(tab_data_funkcie[Bedrooms_Receptions],3)</f>
        <v>8</v>
      </c>
      <c r="G112" s="45">
        <f>_xlfn.QUARTILE.EXC(tab_data_funkcie[Garage capacity],3)</f>
        <v>1</v>
      </c>
      <c r="H112" s="55">
        <f>_xlfn.QUARTILE.EXC(tab_data_funkcie[Price],3)</f>
        <v>449612.5</v>
      </c>
      <c r="I112" s="55"/>
      <c r="J112" s="55"/>
    </row>
    <row r="113" spans="1:10">
      <c r="A113" s="45"/>
      <c r="B113" s="45"/>
      <c r="C113" s="45"/>
      <c r="D113" s="45"/>
      <c r="E113" s="45"/>
      <c r="F113" s="45"/>
      <c r="G113" s="45"/>
      <c r="H113" s="50"/>
      <c r="I113" s="50"/>
      <c r="J113" s="50"/>
    </row>
    <row r="114" spans="1:10" ht="13">
      <c r="A114" s="51" t="s">
        <v>459</v>
      </c>
      <c r="B114" s="48" t="e">
        <f>QUARTILE(tab_data_funkcie[Location],4)</f>
        <v>#NUM!</v>
      </c>
      <c r="C114" s="48" t="e">
        <f>QUARTILE(tab_data_funkcie[House type],4)</f>
        <v>#NUM!</v>
      </c>
      <c r="D114" s="48">
        <f>QUARTILE(tab_data_funkcie[Bedrooms],4)</f>
        <v>6</v>
      </c>
      <c r="E114" s="48">
        <f>QUARTILE(tab_data_funkcie[Reception rooms],4)</f>
        <v>4</v>
      </c>
      <c r="F114" s="48">
        <f>QUARTILE(tab_data_funkcie[Bedrooms_Receptions],4)</f>
        <v>10</v>
      </c>
      <c r="G114" s="48">
        <f>QUARTILE(tab_data_funkcie[Garage capacity],4)</f>
        <v>2</v>
      </c>
      <c r="H114" s="51">
        <f>QUARTILE(tab_data_funkcie[Price],4)</f>
        <v>850000</v>
      </c>
      <c r="I114" s="51"/>
      <c r="J114" s="51"/>
    </row>
    <row r="115" spans="1:10" ht="13">
      <c r="A115" s="51" t="s">
        <v>455</v>
      </c>
      <c r="B115" s="48" t="e">
        <f>_xlfn.QUARTILE.INC(tab_data_funkcie[Location],4)</f>
        <v>#NUM!</v>
      </c>
      <c r="C115" s="48" t="e">
        <f>_xlfn.QUARTILE.INC(tab_data_funkcie[House type],4)</f>
        <v>#NUM!</v>
      </c>
      <c r="D115" s="48">
        <f>_xlfn.QUARTILE.INC(tab_data_funkcie[Bedrooms],4)</f>
        <v>6</v>
      </c>
      <c r="E115" s="48">
        <f>_xlfn.QUARTILE.INC(tab_data_funkcie[Reception rooms],4)</f>
        <v>4</v>
      </c>
      <c r="F115" s="48">
        <f>_xlfn.QUARTILE.INC(tab_data_funkcie[Bedrooms_Receptions],4)</f>
        <v>10</v>
      </c>
      <c r="G115" s="48">
        <f>_xlfn.QUARTILE.INC(tab_data_funkcie[Garage capacity],4)</f>
        <v>2</v>
      </c>
      <c r="H115" s="51">
        <f>_xlfn.QUARTILE.INC(tab_data_funkcie[Price],4)</f>
        <v>850000</v>
      </c>
      <c r="I115" s="51"/>
      <c r="J115" s="51"/>
    </row>
    <row r="116" spans="1:10">
      <c r="A116" s="46" t="s">
        <v>456</v>
      </c>
      <c r="B116" s="45" t="e">
        <f>_xlfn.QUARTILE.EXC(tab_data_funkcie[Location],4)</f>
        <v>#NUM!</v>
      </c>
      <c r="C116" s="45" t="e">
        <f>_xlfn.QUARTILE.EXC(tab_data_funkcie[House type],4)</f>
        <v>#NUM!</v>
      </c>
      <c r="D116" s="45" t="e">
        <f>_xlfn.QUARTILE.EXC(tab_data_funkcie[Bedrooms],4)</f>
        <v>#NUM!</v>
      </c>
      <c r="E116" s="45" t="e">
        <f>_xlfn.QUARTILE.EXC(tab_data_funkcie[Reception rooms],4)</f>
        <v>#NUM!</v>
      </c>
      <c r="F116" s="45" t="e">
        <f>_xlfn.QUARTILE.EXC(tab_data_funkcie[Bedrooms_Receptions],4)</f>
        <v>#NUM!</v>
      </c>
      <c r="G116" s="45" t="e">
        <f>_xlfn.QUARTILE.EXC(tab_data_funkcie[Garage capacity],4)</f>
        <v>#NUM!</v>
      </c>
      <c r="H116" s="45" t="e">
        <f>_xlfn.QUARTILE.EXC(tab_data_funkcie[Price],4)</f>
        <v>#NUM!</v>
      </c>
      <c r="I116" s="45"/>
      <c r="J116" s="45"/>
    </row>
    <row r="117" spans="1:10">
      <c r="H117" s="2"/>
      <c r="I117" s="2"/>
      <c r="J117" s="2"/>
    </row>
    <row r="118" spans="1:10" ht="13">
      <c r="A118" s="47" t="s">
        <v>423</v>
      </c>
      <c r="B118" s="48">
        <f>MAX(tab_data_funkcie[Location])</f>
        <v>0</v>
      </c>
      <c r="C118" s="48">
        <f>MAX(tab_data_funkcie[House type])</f>
        <v>0</v>
      </c>
      <c r="D118" s="48">
        <f>MAX(tab_data_funkcie[Bedrooms])</f>
        <v>6</v>
      </c>
      <c r="E118" s="48">
        <f>MAX(tab_data_funkcie[Reception rooms])</f>
        <v>4</v>
      </c>
      <c r="F118" s="48">
        <f>MAX(tab_data_funkcie[Bedrooms_Receptions])</f>
        <v>10</v>
      </c>
      <c r="G118" s="48">
        <f>MAX(tab_data_funkcie[Garage capacity])</f>
        <v>2</v>
      </c>
      <c r="H118" s="51">
        <f>MAX(tab_data_funkcie[Price])</f>
        <v>850000</v>
      </c>
      <c r="I118" s="51"/>
      <c r="J118" s="51"/>
    </row>
    <row r="119" spans="1:10">
      <c r="H119" s="2"/>
      <c r="I119" s="2"/>
      <c r="J119" s="2"/>
    </row>
    <row r="120" spans="1:10">
      <c r="H120" s="2"/>
      <c r="I120" s="2"/>
      <c r="J120" s="2"/>
    </row>
    <row r="121" spans="1:10" ht="13">
      <c r="A121" s="52" t="s">
        <v>460</v>
      </c>
      <c r="B121" s="31" t="e">
        <f>QUARTILE(tab_data_funkcie[Location],0)</f>
        <v>#NUM!</v>
      </c>
      <c r="C121" s="31" t="e">
        <f>QUARTILE(tab_data_funkcie[House type],0)</f>
        <v>#NUM!</v>
      </c>
      <c r="D121" s="31">
        <f>QUARTILE(tab_data_funkcie[Bedrooms],0)</f>
        <v>2</v>
      </c>
      <c r="E121" s="31">
        <f>QUARTILE(tab_data_funkcie[Reception rooms],0)</f>
        <v>1</v>
      </c>
      <c r="F121" s="31">
        <f>QUARTILE(tab_data_funkcie[Bedrooms_Receptions],0)</f>
        <v>3</v>
      </c>
      <c r="G121" s="31">
        <f>QUARTILE(tab_data_funkcie[Garage capacity],0)</f>
        <v>0</v>
      </c>
      <c r="H121" s="52">
        <f>QUARTILE(tab_data_funkcie[Price],0)</f>
        <v>135000</v>
      </c>
      <c r="I121" s="52"/>
      <c r="J121" s="52"/>
    </row>
    <row r="122" spans="1:10" ht="13">
      <c r="A122" s="52" t="s">
        <v>455</v>
      </c>
      <c r="B122" s="31" t="e">
        <f>_xlfn.QUARTILE.INC(tab_data_funkcie[Location],0)</f>
        <v>#NUM!</v>
      </c>
      <c r="C122" s="31" t="e">
        <f>_xlfn.QUARTILE.INC(tab_data_funkcie[House type],0)</f>
        <v>#NUM!</v>
      </c>
      <c r="D122" s="31">
        <f>_xlfn.QUARTILE.INC(tab_data_funkcie[Bedrooms],0)</f>
        <v>2</v>
      </c>
      <c r="E122" s="31">
        <f>_xlfn.QUARTILE.INC(tab_data_funkcie[Reception rooms],0)</f>
        <v>1</v>
      </c>
      <c r="F122" s="31">
        <f>_xlfn.QUARTILE.INC(tab_data_funkcie[Bedrooms_Receptions],0)</f>
        <v>3</v>
      </c>
      <c r="G122" s="31">
        <f>_xlfn.QUARTILE.INC(tab_data_funkcie[Garage capacity],0)</f>
        <v>0</v>
      </c>
      <c r="H122" s="52">
        <f>_xlfn.QUARTILE.INC(tab_data_funkcie[Price],0)</f>
        <v>135000</v>
      </c>
      <c r="I122" s="52"/>
      <c r="J122" s="52"/>
    </row>
    <row r="123" spans="1:10">
      <c r="A123" s="46" t="s">
        <v>456</v>
      </c>
      <c r="B123" s="45" t="e">
        <f>_xlfn.QUARTILE.EXC(tab_data_funkcie[Location],0)</f>
        <v>#NUM!</v>
      </c>
      <c r="C123" s="45" t="e">
        <f>_xlfn.QUARTILE.EXC(tab_data_funkcie[House type],0)</f>
        <v>#NUM!</v>
      </c>
      <c r="D123" s="45" t="e">
        <f>_xlfn.QUARTILE.EXC(tab_data_funkcie[Bedrooms],0)</f>
        <v>#NUM!</v>
      </c>
      <c r="E123" s="45" t="e">
        <f>_xlfn.QUARTILE.EXC(tab_data_funkcie[Reception rooms],0)</f>
        <v>#NUM!</v>
      </c>
      <c r="F123" s="45" t="e">
        <f>_xlfn.QUARTILE.EXC(tab_data_funkcie[Bedrooms_Receptions],0)</f>
        <v>#NUM!</v>
      </c>
      <c r="G123" s="45" t="e">
        <f>_xlfn.QUARTILE.EXC(tab_data_funkcie[Garage capacity],0)</f>
        <v>#NUM!</v>
      </c>
      <c r="H123" s="50" t="e">
        <f>_xlfn.QUARTILE.EXC(tab_data_funkcie[Price],0)</f>
        <v>#NUM!</v>
      </c>
      <c r="I123" s="50"/>
      <c r="J123" s="50"/>
    </row>
    <row r="124" spans="1:10">
      <c r="H124" s="2"/>
      <c r="I124" s="2"/>
      <c r="J124" s="2"/>
    </row>
    <row r="125" spans="1:10" ht="13">
      <c r="A125" s="52" t="s">
        <v>422</v>
      </c>
      <c r="B125" s="31">
        <f>MIN(tab_data_funkcie[Location])</f>
        <v>0</v>
      </c>
      <c r="C125" s="31">
        <f>MIN(tab_data_funkcie[House type])</f>
        <v>0</v>
      </c>
      <c r="D125" s="31">
        <f>MIN(tab_data_funkcie[Bedrooms])</f>
        <v>2</v>
      </c>
      <c r="E125" s="31">
        <f>MIN(tab_data_funkcie[Reception rooms])</f>
        <v>1</v>
      </c>
      <c r="F125" s="31">
        <f>MIN(tab_data_funkcie[Bedrooms_Receptions])</f>
        <v>3</v>
      </c>
      <c r="G125" s="31">
        <f>MIN(tab_data_funkcie[Garage capacity])</f>
        <v>0</v>
      </c>
      <c r="H125" s="52">
        <f>MIN(tab_data_funkcie[Price])</f>
        <v>135000</v>
      </c>
      <c r="I125" s="52"/>
      <c r="J125" s="52"/>
    </row>
  </sheetData>
  <mergeCells count="6">
    <mergeCell ref="A95:C95"/>
    <mergeCell ref="A96:C96"/>
    <mergeCell ref="A89:C89"/>
    <mergeCell ref="A90:C90"/>
    <mergeCell ref="A92:C92"/>
    <mergeCell ref="A93:C93"/>
  </mergeCells>
  <phoneticPr fontId="23" type="noConversion"/>
  <conditionalFormatting sqref="K2:K51">
    <cfRule type="cellIs" dxfId="84" priority="1" operator="equal">
      <formula>"NG"</formula>
    </cfRule>
    <cfRule type="cellIs" dxfId="83" priority="2" operator="equal">
      <formula>"OK"</formula>
    </cfRule>
  </conditionalFormatting>
  <pageMargins left="0.75" right="0.75" top="1" bottom="1" header="0.5" footer="0.5"/>
  <pageSetup paperSize="9" orientation="portrait" r:id="rId1"/>
  <headerFooter alignWithMargins="0"/>
  <drawing r:id="rId2"/>
  <legacyDrawing r:id="rId3"/>
  <tableParts count="1"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0654-523D-4D3C-88FB-29C6B15777A2}">
  <sheetPr>
    <tabColor rgb="FF92D050"/>
  </sheetPr>
  <dimension ref="A1:H9"/>
  <sheetViews>
    <sheetView workbookViewId="0"/>
  </sheetViews>
  <sheetFormatPr defaultColWidth="8.90625" defaultRowHeight="12.5"/>
  <cols>
    <col min="1" max="1" width="17.453125" style="40" customWidth="1"/>
    <col min="2" max="2" width="10.54296875" style="40" customWidth="1"/>
    <col min="3" max="3" width="8.90625" style="40"/>
    <col min="4" max="4" width="12.54296875" style="40" bestFit="1" customWidth="1"/>
    <col min="5" max="5" width="8.90625" style="40"/>
    <col min="6" max="6" width="12.54296875" style="40" bestFit="1" customWidth="1"/>
    <col min="7" max="16384" width="8.90625" style="40"/>
  </cols>
  <sheetData>
    <row r="1" spans="1:8" ht="22.5">
      <c r="A1" s="39" t="s">
        <v>461</v>
      </c>
    </row>
    <row r="4" spans="1:8" ht="33.5">
      <c r="A4" s="41" t="s">
        <v>462</v>
      </c>
    </row>
    <row r="6" spans="1:8" ht="33.5">
      <c r="A6" s="40" t="s">
        <v>463</v>
      </c>
      <c r="B6" s="41" t="s">
        <v>464</v>
      </c>
      <c r="C6" s="40" t="s">
        <v>215</v>
      </c>
      <c r="D6" s="42">
        <v>0.5</v>
      </c>
    </row>
    <row r="7" spans="1:8" ht="33.5">
      <c r="A7" s="40" t="s">
        <v>465</v>
      </c>
      <c r="B7" s="41" t="s">
        <v>466</v>
      </c>
      <c r="C7" s="41" t="s">
        <v>467</v>
      </c>
      <c r="D7" s="41" t="s">
        <v>468</v>
      </c>
      <c r="E7" s="42">
        <v>0.25</v>
      </c>
    </row>
    <row r="8" spans="1:8" ht="33.5">
      <c r="A8" s="40" t="s">
        <v>469</v>
      </c>
      <c r="B8" s="41" t="s">
        <v>466</v>
      </c>
      <c r="C8" s="43" t="s">
        <v>470</v>
      </c>
      <c r="D8" s="41" t="s">
        <v>467</v>
      </c>
      <c r="E8" s="43" t="s">
        <v>470</v>
      </c>
      <c r="F8" s="41" t="s">
        <v>468</v>
      </c>
      <c r="G8" s="42">
        <v>0.25</v>
      </c>
    </row>
    <row r="9" spans="1:8" ht="33.5">
      <c r="A9" s="40" t="s">
        <v>471</v>
      </c>
      <c r="B9" s="41" t="s">
        <v>472</v>
      </c>
      <c r="C9" s="43" t="s">
        <v>470</v>
      </c>
      <c r="D9" s="41" t="s">
        <v>473</v>
      </c>
      <c r="E9" s="43" t="s">
        <v>470</v>
      </c>
      <c r="F9" s="41" t="s">
        <v>474</v>
      </c>
      <c r="H9" s="42">
        <v>0.01</v>
      </c>
    </row>
  </sheetData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9C7D9-A711-4FCE-B565-BAD3E97672B3}">
  <sheetPr>
    <tabColor rgb="FF00B050"/>
  </sheetPr>
  <dimension ref="A2:X27"/>
  <sheetViews>
    <sheetView workbookViewId="0"/>
  </sheetViews>
  <sheetFormatPr defaultRowHeight="12.5"/>
  <cols>
    <col min="1" max="1" width="3.08984375" customWidth="1"/>
    <col min="2" max="2" width="20.453125" bestFit="1" customWidth="1"/>
    <col min="3" max="3" width="19.453125" bestFit="1" customWidth="1"/>
    <col min="5" max="5" width="3" bestFit="1" customWidth="1"/>
    <col min="6" max="6" width="17" bestFit="1" customWidth="1"/>
    <col min="7" max="7" width="18.54296875" bestFit="1" customWidth="1"/>
    <col min="8" max="8" width="6.54296875" bestFit="1" customWidth="1"/>
    <col min="9" max="9" width="3.54296875" customWidth="1"/>
    <col min="10" max="10" width="17.08984375" bestFit="1" customWidth="1"/>
    <col min="11" max="11" width="19.453125" bestFit="1" customWidth="1"/>
    <col min="12" max="12" width="14.54296875" bestFit="1" customWidth="1"/>
    <col min="13" max="13" width="3.54296875" customWidth="1"/>
    <col min="14" max="14" width="17.08984375" bestFit="1" customWidth="1"/>
    <col min="15" max="15" width="18.54296875" bestFit="1" customWidth="1"/>
    <col min="16" max="16" width="14.54296875" bestFit="1" customWidth="1"/>
    <col min="17" max="17" width="3" bestFit="1" customWidth="1"/>
    <col min="18" max="18" width="18.453125" bestFit="1" customWidth="1"/>
    <col min="19" max="19" width="18.54296875" bestFit="1" customWidth="1"/>
    <col min="20" max="20" width="14.54296875" bestFit="1" customWidth="1"/>
    <col min="21" max="21" width="2.453125" customWidth="1"/>
    <col min="22" max="22" width="17.54296875" bestFit="1" customWidth="1"/>
    <col min="23" max="23" width="18.54296875" bestFit="1" customWidth="1"/>
    <col min="24" max="24" width="14.54296875" bestFit="1" customWidth="1"/>
  </cols>
  <sheetData>
    <row r="2" spans="1:24">
      <c r="A2" s="22" t="s">
        <v>475</v>
      </c>
      <c r="B2" s="22" t="s">
        <v>476</v>
      </c>
      <c r="E2" s="22" t="s">
        <v>475</v>
      </c>
      <c r="F2" s="22" t="s">
        <v>476</v>
      </c>
      <c r="I2" s="22" t="s">
        <v>475</v>
      </c>
      <c r="J2" s="22" t="s">
        <v>476</v>
      </c>
      <c r="M2" s="22" t="s">
        <v>475</v>
      </c>
      <c r="N2" s="22" t="s">
        <v>476</v>
      </c>
      <c r="Q2" s="22" t="s">
        <v>475</v>
      </c>
      <c r="R2" s="22" t="s">
        <v>476</v>
      </c>
      <c r="V2" s="22" t="s">
        <v>475</v>
      </c>
      <c r="W2" s="22" t="s">
        <v>476</v>
      </c>
    </row>
    <row r="3" spans="1:24">
      <c r="A3">
        <v>1</v>
      </c>
      <c r="B3">
        <v>950</v>
      </c>
      <c r="E3">
        <v>1</v>
      </c>
      <c r="F3">
        <v>950</v>
      </c>
      <c r="I3">
        <v>1</v>
      </c>
      <c r="J3">
        <v>950</v>
      </c>
      <c r="M3">
        <v>1</v>
      </c>
      <c r="N3">
        <v>950</v>
      </c>
      <c r="Q3">
        <v>1</v>
      </c>
      <c r="R3">
        <v>950</v>
      </c>
      <c r="V3">
        <v>1</v>
      </c>
      <c r="W3">
        <f ca="1">RANDBETWEEN(520,2000)</f>
        <v>623</v>
      </c>
    </row>
    <row r="4" spans="1:24">
      <c r="A4">
        <v>2</v>
      </c>
      <c r="B4">
        <v>980</v>
      </c>
      <c r="E4">
        <v>2</v>
      </c>
      <c r="F4">
        <v>950</v>
      </c>
      <c r="I4">
        <v>2</v>
      </c>
      <c r="J4">
        <v>1050</v>
      </c>
      <c r="M4">
        <v>2</v>
      </c>
      <c r="N4">
        <v>1050</v>
      </c>
      <c r="Q4">
        <v>2</v>
      </c>
      <c r="R4">
        <v>1250</v>
      </c>
      <c r="V4">
        <v>2</v>
      </c>
      <c r="W4">
        <f t="shared" ref="W4:W12" ca="1" si="0">RANDBETWEEN(520,2000)</f>
        <v>729</v>
      </c>
    </row>
    <row r="5" spans="1:24">
      <c r="A5">
        <v>3</v>
      </c>
      <c r="B5">
        <v>980</v>
      </c>
      <c r="E5">
        <v>3</v>
      </c>
      <c r="F5">
        <v>950</v>
      </c>
      <c r="I5">
        <v>3</v>
      </c>
      <c r="J5">
        <v>1150</v>
      </c>
      <c r="M5">
        <v>3</v>
      </c>
      <c r="N5">
        <v>1150</v>
      </c>
      <c r="Q5">
        <v>3</v>
      </c>
      <c r="R5">
        <v>1550</v>
      </c>
      <c r="V5">
        <v>3</v>
      </c>
      <c r="W5">
        <f t="shared" ca="1" si="0"/>
        <v>1635</v>
      </c>
    </row>
    <row r="6" spans="1:24">
      <c r="A6">
        <v>4</v>
      </c>
      <c r="B6">
        <v>1100</v>
      </c>
      <c r="E6">
        <v>4</v>
      </c>
      <c r="F6">
        <v>950</v>
      </c>
      <c r="I6">
        <v>4</v>
      </c>
      <c r="J6">
        <v>1250</v>
      </c>
      <c r="M6">
        <v>4</v>
      </c>
      <c r="N6">
        <v>1250</v>
      </c>
      <c r="Q6">
        <v>4</v>
      </c>
      <c r="R6">
        <v>1850</v>
      </c>
      <c r="V6">
        <v>4</v>
      </c>
      <c r="W6">
        <f t="shared" ca="1" si="0"/>
        <v>1626</v>
      </c>
    </row>
    <row r="7" spans="1:24">
      <c r="A7">
        <v>5</v>
      </c>
      <c r="B7">
        <v>1200</v>
      </c>
      <c r="E7">
        <v>5</v>
      </c>
      <c r="F7">
        <v>950</v>
      </c>
      <c r="I7">
        <v>5</v>
      </c>
      <c r="J7">
        <v>1350</v>
      </c>
      <c r="M7">
        <v>5</v>
      </c>
      <c r="N7">
        <v>1350</v>
      </c>
      <c r="Q7">
        <v>5</v>
      </c>
      <c r="R7">
        <v>2150</v>
      </c>
      <c r="V7">
        <v>5</v>
      </c>
      <c r="W7">
        <f t="shared" ca="1" si="0"/>
        <v>668</v>
      </c>
    </row>
    <row r="8" spans="1:24">
      <c r="A8">
        <v>6</v>
      </c>
      <c r="B8">
        <v>1450</v>
      </c>
      <c r="E8">
        <v>6</v>
      </c>
      <c r="F8">
        <v>950</v>
      </c>
      <c r="I8">
        <v>6</v>
      </c>
      <c r="J8">
        <v>1450</v>
      </c>
      <c r="M8">
        <v>6</v>
      </c>
      <c r="N8">
        <v>1350</v>
      </c>
      <c r="Q8">
        <v>6</v>
      </c>
      <c r="R8">
        <v>2450</v>
      </c>
      <c r="V8">
        <v>6</v>
      </c>
      <c r="W8">
        <f t="shared" ca="1" si="0"/>
        <v>1199</v>
      </c>
    </row>
    <row r="9" spans="1:24">
      <c r="A9">
        <v>7</v>
      </c>
      <c r="B9">
        <v>1800</v>
      </c>
      <c r="E9">
        <v>7</v>
      </c>
      <c r="F9">
        <v>950</v>
      </c>
      <c r="I9">
        <v>7</v>
      </c>
      <c r="J9">
        <v>1550</v>
      </c>
      <c r="M9">
        <v>7</v>
      </c>
      <c r="N9">
        <v>1250</v>
      </c>
      <c r="Q9">
        <v>7</v>
      </c>
      <c r="R9">
        <v>2750</v>
      </c>
      <c r="V9">
        <v>7</v>
      </c>
      <c r="W9">
        <f t="shared" ca="1" si="0"/>
        <v>1527</v>
      </c>
    </row>
    <row r="10" spans="1:24">
      <c r="A10">
        <v>8</v>
      </c>
      <c r="B10">
        <v>1600</v>
      </c>
      <c r="E10">
        <v>8</v>
      </c>
      <c r="F10">
        <v>950</v>
      </c>
      <c r="I10">
        <v>8</v>
      </c>
      <c r="J10">
        <v>1650</v>
      </c>
      <c r="M10">
        <v>8</v>
      </c>
      <c r="N10">
        <v>1150</v>
      </c>
      <c r="Q10">
        <v>8</v>
      </c>
      <c r="R10">
        <v>3050</v>
      </c>
      <c r="V10">
        <v>8</v>
      </c>
      <c r="W10">
        <f t="shared" ca="1" si="0"/>
        <v>1303</v>
      </c>
    </row>
    <row r="11" spans="1:24">
      <c r="A11">
        <v>9</v>
      </c>
      <c r="B11">
        <v>2200</v>
      </c>
      <c r="E11">
        <v>9</v>
      </c>
      <c r="F11">
        <v>950</v>
      </c>
      <c r="I11">
        <v>9</v>
      </c>
      <c r="J11">
        <v>1750</v>
      </c>
      <c r="M11">
        <v>9</v>
      </c>
      <c r="N11">
        <v>1050</v>
      </c>
      <c r="Q11">
        <v>9</v>
      </c>
      <c r="R11">
        <v>3350</v>
      </c>
      <c r="V11">
        <v>9</v>
      </c>
      <c r="W11">
        <f t="shared" ca="1" si="0"/>
        <v>848</v>
      </c>
    </row>
    <row r="12" spans="1:24">
      <c r="A12">
        <v>10</v>
      </c>
      <c r="B12">
        <v>23000</v>
      </c>
      <c r="E12">
        <v>10</v>
      </c>
      <c r="F12">
        <v>950</v>
      </c>
      <c r="I12">
        <v>10</v>
      </c>
      <c r="J12">
        <v>1850</v>
      </c>
      <c r="M12">
        <v>10</v>
      </c>
      <c r="N12">
        <v>950</v>
      </c>
      <c r="Q12">
        <v>10</v>
      </c>
      <c r="R12">
        <v>3650</v>
      </c>
      <c r="V12">
        <v>10</v>
      </c>
      <c r="W12">
        <f t="shared" ca="1" si="0"/>
        <v>1166</v>
      </c>
    </row>
    <row r="15" spans="1:24">
      <c r="B15" s="22" t="s">
        <v>477</v>
      </c>
      <c r="C15" s="22" t="s">
        <v>4</v>
      </c>
      <c r="D15" s="22" t="s">
        <v>478</v>
      </c>
      <c r="F15" s="22" t="s">
        <v>477</v>
      </c>
      <c r="G15" s="22" t="s">
        <v>4</v>
      </c>
      <c r="H15" s="22" t="s">
        <v>478</v>
      </c>
      <c r="J15" s="22" t="s">
        <v>477</v>
      </c>
      <c r="K15" s="22" t="s">
        <v>4</v>
      </c>
      <c r="L15" s="22" t="s">
        <v>478</v>
      </c>
      <c r="N15" s="22" t="s">
        <v>477</v>
      </c>
      <c r="O15" s="22" t="s">
        <v>4</v>
      </c>
      <c r="P15" s="22" t="s">
        <v>478</v>
      </c>
      <c r="R15" s="22" t="s">
        <v>477</v>
      </c>
      <c r="S15" s="22" t="s">
        <v>4</v>
      </c>
      <c r="T15" s="22" t="s">
        <v>478</v>
      </c>
      <c r="V15" s="22" t="s">
        <v>477</v>
      </c>
      <c r="W15" s="22" t="s">
        <v>4</v>
      </c>
      <c r="X15" s="22" t="s">
        <v>478</v>
      </c>
    </row>
    <row r="16" spans="1:24" ht="13">
      <c r="B16">
        <f>AVERAGE(B3:B12)</f>
        <v>3526</v>
      </c>
      <c r="C16" s="36">
        <f>MEDIAN(B3:B12)</f>
        <v>1325</v>
      </c>
      <c r="D16">
        <f>_xlfn.MODE.SNGL(B3:B12)</f>
        <v>980</v>
      </c>
      <c r="F16">
        <f>AVERAGE(F3:F12)</f>
        <v>950</v>
      </c>
      <c r="G16" s="36">
        <f>MEDIAN(F3:F12)</f>
        <v>950</v>
      </c>
      <c r="H16">
        <f>_xlfn.MODE.SNGL(F3:F12)</f>
        <v>950</v>
      </c>
      <c r="J16">
        <f>AVERAGE(J3:J12)</f>
        <v>1400</v>
      </c>
      <c r="K16" s="36">
        <f>MEDIAN(J3:J12)</f>
        <v>1400</v>
      </c>
      <c r="L16" t="e">
        <f>_xlfn.MODE.SNGL(J3:J12)</f>
        <v>#N/A</v>
      </c>
      <c r="N16">
        <f>AVERAGE(N3:N12)</f>
        <v>1150</v>
      </c>
      <c r="O16" s="36">
        <f>MEDIAN(N3:N12)</f>
        <v>1150</v>
      </c>
      <c r="P16">
        <f>_xlfn.MODE.SNGL(N3:N12)</f>
        <v>950</v>
      </c>
      <c r="R16">
        <f>AVERAGE(R3:R12)</f>
        <v>2300</v>
      </c>
      <c r="S16" s="36">
        <f>MEDIAN(R3:R12)</f>
        <v>2300</v>
      </c>
      <c r="T16" t="e">
        <f>_xlfn.MODE.SNGL(R3:R12)</f>
        <v>#N/A</v>
      </c>
      <c r="V16">
        <f ca="1">AVERAGE(W3:W12)</f>
        <v>1132.4000000000001</v>
      </c>
      <c r="W16" s="36">
        <f ca="1">MEDIAN(W3:W12)</f>
        <v>1182.5</v>
      </c>
      <c r="X16" t="e">
        <f ca="1">_xlfn.MODE.SNGL(W3:W12)</f>
        <v>#N/A</v>
      </c>
    </row>
    <row r="17" spans="2:23">
      <c r="B17" s="22" t="s">
        <v>433</v>
      </c>
      <c r="C17" s="22" t="s">
        <v>435</v>
      </c>
      <c r="F17" s="22" t="s">
        <v>433</v>
      </c>
      <c r="G17" s="22" t="s">
        <v>435</v>
      </c>
      <c r="J17" s="22" t="s">
        <v>433</v>
      </c>
      <c r="K17" s="22" t="s">
        <v>435</v>
      </c>
      <c r="N17" s="22" t="s">
        <v>433</v>
      </c>
      <c r="O17" s="22" t="s">
        <v>435</v>
      </c>
      <c r="R17" s="22" t="s">
        <v>433</v>
      </c>
      <c r="S17" s="22" t="s">
        <v>435</v>
      </c>
      <c r="V17" s="22" t="s">
        <v>433</v>
      </c>
      <c r="W17" s="22" t="s">
        <v>435</v>
      </c>
    </row>
    <row r="18" spans="2:23">
      <c r="B18" s="37">
        <f>SKEW(B3:B12)</f>
        <v>3.1412673615276443</v>
      </c>
      <c r="C18" s="37">
        <f>KURT(B3:B12)</f>
        <v>9.901300899409101</v>
      </c>
      <c r="F18" t="e">
        <f>SKEW(F3:F12)</f>
        <v>#DIV/0!</v>
      </c>
      <c r="G18" t="e">
        <f>KURT(F3:F12)</f>
        <v>#DIV/0!</v>
      </c>
      <c r="J18">
        <f>SKEW(J3:J12)</f>
        <v>-1.2335811384723962E-16</v>
      </c>
      <c r="K18">
        <f>KURT(J3:J12)</f>
        <v>-1.2000000000000011</v>
      </c>
      <c r="N18">
        <f>SKEW(N3:N12)</f>
        <v>0</v>
      </c>
      <c r="O18" s="37">
        <f>KURT(N3:N12)</f>
        <v>-1.3339285714285714</v>
      </c>
      <c r="R18">
        <f>SKEW(R3:R12)</f>
        <v>0</v>
      </c>
      <c r="S18">
        <f>KURT(R3:R12)</f>
        <v>-1.1999999999999993</v>
      </c>
      <c r="V18" s="37">
        <f ca="1">SKEW(W3:W12)</f>
        <v>-1.5813340511097996E-2</v>
      </c>
      <c r="W18" s="37">
        <f ca="1">KURT(W3:W12)</f>
        <v>-1.6974898008888282</v>
      </c>
    </row>
    <row r="19" spans="2:23">
      <c r="B19" s="37" t="str">
        <f>IF(B18&lt;0,"zošikmenie doprava",IF(B18=0,"symetria","zošikmenie doľava"))</f>
        <v>zošikmenie doľava</v>
      </c>
      <c r="C19" s="37" t="str">
        <f>IF(C18&lt;0,"plochšie",IF(C18=0,"normálne rozdelenie","špicatejšie"))</f>
        <v>špicatejšie</v>
      </c>
      <c r="F19" s="37" t="e">
        <f>IF(F18&lt;0,"zošikmenie doprava",IF(F18=0,"symetria","zošikmenie doľava"))</f>
        <v>#DIV/0!</v>
      </c>
      <c r="G19" s="37" t="e">
        <f>IF(G18&lt;0,"plochšie",IF(G18=0,"normálne rozdelenie","špicatejšie"))</f>
        <v>#DIV/0!</v>
      </c>
      <c r="J19" s="37" t="str">
        <f>IF(J18&lt;0,"zošikmenie doprava",IF(J18=0,"symetria","zošikmenie doľava"))</f>
        <v>zošikmenie doprava</v>
      </c>
      <c r="K19" s="37" t="str">
        <f>IF(K18&lt;0,"plochšie",IF(K18=0,"normálne rozdelenie","špicatejšie"))</f>
        <v>plochšie</v>
      </c>
      <c r="N19" s="37" t="str">
        <f>IF(N18&lt;0,"zošikmenie doprava",IF(N18=0,"symetria","zošikmenie doľava"))</f>
        <v>symetria</v>
      </c>
      <c r="O19" s="37" t="str">
        <f>IF(O18&lt;0,"plochšie",IF(O18=0,"normálne rozdelenie","špicatejšie"))</f>
        <v>plochšie</v>
      </c>
      <c r="R19" s="37" t="str">
        <f>IF(R18&lt;0,"zošikmenie doprava",IF(R18=0,"symetria","zošikmenie doľava"))</f>
        <v>symetria</v>
      </c>
      <c r="S19" s="37" t="str">
        <f>IF(S18&lt;0,"plochšie",IF(S18=0,"normálne rozdelenie","špicatejšie"))</f>
        <v>plochšie</v>
      </c>
      <c r="V19" s="37" t="str">
        <f ca="1">IF(V18&lt;0,"zošikmenie doprava",IF(V18=0,"symetria","zošikmenie doľava"))</f>
        <v>zošikmenie doprava</v>
      </c>
      <c r="W19" s="37" t="str">
        <f ca="1">IF(W18&lt;0,"plochšie",IF(W18=0,"normálne rozdelenie","špicatejšie"))</f>
        <v>plochšie</v>
      </c>
    </row>
    <row r="21" spans="2:23">
      <c r="B21" s="22" t="s">
        <v>479</v>
      </c>
      <c r="C21" s="22" t="s">
        <v>480</v>
      </c>
      <c r="F21" s="22" t="s">
        <v>479</v>
      </c>
      <c r="G21" s="22" t="s">
        <v>480</v>
      </c>
      <c r="J21" s="22" t="s">
        <v>479</v>
      </c>
      <c r="K21" s="22" t="s">
        <v>480</v>
      </c>
      <c r="N21" s="22" t="s">
        <v>479</v>
      </c>
      <c r="O21" s="22" t="s">
        <v>480</v>
      </c>
      <c r="R21" s="22" t="s">
        <v>479</v>
      </c>
      <c r="S21" s="22" t="s">
        <v>480</v>
      </c>
      <c r="V21" s="22" t="s">
        <v>479</v>
      </c>
      <c r="W21" s="22" t="s">
        <v>480</v>
      </c>
    </row>
    <row r="22" spans="2:23">
      <c r="B22" s="37">
        <f>_xlfn.VAR.S(B3:B12)</f>
        <v>46987671.111111112</v>
      </c>
      <c r="C22" s="37">
        <f>_xlfn.STDEV.S(B3:B12)</f>
        <v>6854.7553647895493</v>
      </c>
      <c r="F22">
        <f>_xlfn.VAR.S(F3:F12)</f>
        <v>0</v>
      </c>
      <c r="G22">
        <f>_xlfn.STDEV.S(F3:F12)</f>
        <v>0</v>
      </c>
      <c r="J22" s="37">
        <f>_xlfn.VAR.S(J3:J12)</f>
        <v>91666.666666666672</v>
      </c>
      <c r="K22" s="37">
        <f>_xlfn.STDEV.S(J3:J12)</f>
        <v>302.7650354097492</v>
      </c>
      <c r="N22" s="37">
        <f>_xlfn.VAR.S(N3:N12)</f>
        <v>22222.222222222223</v>
      </c>
      <c r="O22" s="37">
        <f>_xlfn.STDEV.S(N3:N12)</f>
        <v>149.07119849998597</v>
      </c>
      <c r="R22" s="37">
        <f>_xlfn.VAR.S(R3:R12)</f>
        <v>825000</v>
      </c>
      <c r="S22" s="37">
        <f>_xlfn.STDEV.S(R3:R12)</f>
        <v>908.29510622924749</v>
      </c>
      <c r="V22" s="37">
        <f>_xlfn.VAR.S(V3:V12)</f>
        <v>9.1666666666666661</v>
      </c>
      <c r="W22" s="37">
        <f>_xlfn.STDEV.S(V3:V12)</f>
        <v>3.0276503540974917</v>
      </c>
    </row>
    <row r="25" spans="2:23">
      <c r="B25" s="325" t="s">
        <v>481</v>
      </c>
      <c r="C25" s="326"/>
      <c r="D25" s="326"/>
    </row>
    <row r="26" spans="2:23">
      <c r="B26" s="326"/>
      <c r="C26" s="326"/>
      <c r="D26" s="326"/>
    </row>
    <row r="27" spans="2:23">
      <c r="B27" s="326"/>
      <c r="C27" s="326"/>
      <c r="D27" s="326"/>
    </row>
  </sheetData>
  <mergeCells count="1">
    <mergeCell ref="B25:D27"/>
  </mergeCells>
  <pageMargins left="0.7" right="0.7" top="0.75" bottom="0.75" header="0.3" footer="0.3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C574D-064D-4710-A66C-B5F3CACD124A}">
  <sheetPr>
    <tabColor rgb="FF00B0F0"/>
  </sheetPr>
  <dimension ref="A1:G7"/>
  <sheetViews>
    <sheetView workbookViewId="0"/>
  </sheetViews>
  <sheetFormatPr defaultRowHeight="12.5"/>
  <cols>
    <col min="1" max="1" width="18.453125" customWidth="1"/>
    <col min="2" max="2" width="11.54296875" customWidth="1"/>
    <col min="3" max="3" width="14.453125" customWidth="1"/>
  </cols>
  <sheetData>
    <row r="1" spans="1:7" ht="13">
      <c r="A1" s="15" t="s">
        <v>420</v>
      </c>
      <c r="B1" s="15" t="s">
        <v>30</v>
      </c>
      <c r="C1" s="15" t="s">
        <v>31</v>
      </c>
      <c r="D1" s="15" t="s">
        <v>48</v>
      </c>
      <c r="E1" s="15" t="s">
        <v>49</v>
      </c>
      <c r="F1" s="15" t="s">
        <v>482</v>
      </c>
      <c r="G1" s="15" t="s">
        <v>483</v>
      </c>
    </row>
    <row r="2" spans="1:7">
      <c r="A2" s="14">
        <v>250000</v>
      </c>
      <c r="B2" s="114">
        <v>18</v>
      </c>
      <c r="C2" s="9">
        <v>0.36</v>
      </c>
      <c r="D2" s="30">
        <f>Tabuľka6[[#This Row],[Frequency]]</f>
        <v>18</v>
      </c>
      <c r="E2" s="18">
        <f>Tabuľka6[[#This Row],[ni]]/Tabuľka6[[#Totals],[ni]]</f>
        <v>0.36</v>
      </c>
      <c r="F2">
        <f>Tabuľka6[[#This Row],[ni]]</f>
        <v>18</v>
      </c>
      <c r="G2" s="113">
        <f>Tabuľka6[[#This Row],[fi]]</f>
        <v>0.36</v>
      </c>
    </row>
    <row r="3" spans="1:7">
      <c r="A3" s="14">
        <v>450000</v>
      </c>
      <c r="B3" s="114">
        <v>23</v>
      </c>
      <c r="C3" s="9">
        <v>0.82</v>
      </c>
      <c r="D3" s="30">
        <f>Tabuľka6[[#This Row],[Frequency]]</f>
        <v>23</v>
      </c>
      <c r="E3" s="18">
        <f>Tabuľka6[[#This Row],[ni]]/Tabuľka6[[#Totals],[ni]]</f>
        <v>0.46</v>
      </c>
      <c r="F3">
        <f>F2+Tabuľka6[[#This Row],[ni]]</f>
        <v>41</v>
      </c>
      <c r="G3" s="113">
        <f>G2+Tabuľka6[[#This Row],[fi]]</f>
        <v>0.82000000000000006</v>
      </c>
    </row>
    <row r="4" spans="1:7">
      <c r="A4" s="14">
        <v>600000</v>
      </c>
      <c r="B4" s="114">
        <v>6</v>
      </c>
      <c r="C4" s="9">
        <v>0.94</v>
      </c>
      <c r="D4" s="30">
        <f>Tabuľka6[[#This Row],[Frequency]]</f>
        <v>6</v>
      </c>
      <c r="E4" s="18">
        <f>Tabuľka6[[#This Row],[ni]]/Tabuľka6[[#Totals],[ni]]</f>
        <v>0.12</v>
      </c>
      <c r="F4">
        <f>F3+Tabuľka6[[#This Row],[ni]]</f>
        <v>47</v>
      </c>
      <c r="G4" s="113">
        <f>G3+Tabuľka6[[#This Row],[fi]]</f>
        <v>0.94000000000000006</v>
      </c>
    </row>
    <row r="5" spans="1:7">
      <c r="A5" s="8" t="s">
        <v>32</v>
      </c>
      <c r="B5" s="114">
        <v>3</v>
      </c>
      <c r="C5" s="9">
        <v>1</v>
      </c>
      <c r="D5" s="30">
        <f>Tabuľka6[[#This Row],[Frequency]]</f>
        <v>3</v>
      </c>
      <c r="E5" s="18">
        <f>Tabuľka6[[#This Row],[ni]]/Tabuľka6[[#Totals],[ni]]</f>
        <v>0.06</v>
      </c>
      <c r="F5">
        <f>F4+Tabuľka6[[#This Row],[ni]]</f>
        <v>50</v>
      </c>
      <c r="G5" s="113">
        <f>G4+Tabuľka6[[#This Row],[fi]]</f>
        <v>1</v>
      </c>
    </row>
    <row r="6" spans="1:7">
      <c r="A6" s="16" t="s">
        <v>248</v>
      </c>
      <c r="B6" s="16">
        <f>SUBTOTAL(109,Tabuľka6[Frequency])</f>
        <v>50</v>
      </c>
      <c r="C6" s="17" t="s">
        <v>484</v>
      </c>
      <c r="D6">
        <f>SUBTOTAL(109,Tabuľka6[ni])</f>
        <v>50</v>
      </c>
      <c r="E6" s="113">
        <f>SUBTOTAL(109,Tabuľka6[fi])</f>
        <v>1</v>
      </c>
      <c r="F6" s="20" t="s">
        <v>215</v>
      </c>
      <c r="G6" s="20" t="s">
        <v>215</v>
      </c>
    </row>
    <row r="7" spans="1:7" ht="13">
      <c r="E7" s="115">
        <v>1</v>
      </c>
    </row>
  </sheetData>
  <sortState xmlns:xlrd2="http://schemas.microsoft.com/office/spreadsheetml/2017/richdata2" ref="A2:A4">
    <sortCondition ref="A2"/>
  </sortState>
  <pageMargins left="0.7" right="0.7" top="0.75" bottom="0.75" header="0.3" footer="0.3"/>
  <pageSetup paperSize="9" orientation="portrait" r:id="rId1"/>
  <drawing r:id="rId2"/>
  <legacyDrawing r:id="rId3"/>
  <tableParts count="1">
    <tablePart r:id="rId4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0C8E5-8F77-41FE-B37C-00CB9436231E}">
  <sheetPr>
    <tabColor rgb="FFFF0000"/>
  </sheetPr>
  <dimension ref="A1:H25"/>
  <sheetViews>
    <sheetView workbookViewId="0"/>
  </sheetViews>
  <sheetFormatPr defaultColWidth="8.90625" defaultRowHeight="12.5"/>
  <cols>
    <col min="1" max="1" width="20.54296875" style="40" customWidth="1"/>
    <col min="2" max="2" width="4.90625" style="40" customWidth="1"/>
    <col min="3" max="3" width="7.08984375" style="40" customWidth="1"/>
    <col min="4" max="6" width="8.90625" style="40"/>
    <col min="7" max="7" width="12.453125" style="97" customWidth="1"/>
    <col min="8" max="8" width="11.54296875" style="40" customWidth="1"/>
    <col min="9" max="16384" width="8.90625" style="40"/>
  </cols>
  <sheetData>
    <row r="1" spans="1:8" ht="13.5" thickBot="1">
      <c r="F1" s="321" t="s">
        <v>378</v>
      </c>
      <c r="G1" s="322"/>
      <c r="H1" s="323"/>
    </row>
    <row r="2" spans="1:8" ht="27.65" customHeight="1" thickBot="1">
      <c r="A2" s="58" t="s">
        <v>379</v>
      </c>
      <c r="B2" s="59"/>
      <c r="C2" s="59"/>
      <c r="D2" s="59"/>
      <c r="E2" s="60"/>
      <c r="F2" s="61"/>
      <c r="G2" s="62" t="s">
        <v>380</v>
      </c>
      <c r="H2" s="63" t="s">
        <v>381</v>
      </c>
    </row>
    <row r="3" spans="1:8" s="70" customFormat="1" ht="13">
      <c r="A3" s="64" t="s">
        <v>382</v>
      </c>
      <c r="B3" s="65" t="s">
        <v>48</v>
      </c>
      <c r="C3" s="66" t="s">
        <v>49</v>
      </c>
      <c r="D3" s="67" t="s">
        <v>383</v>
      </c>
      <c r="E3" s="66" t="s">
        <v>384</v>
      </c>
      <c r="F3" s="68" t="s">
        <v>385</v>
      </c>
      <c r="G3" s="69" t="s">
        <v>386</v>
      </c>
      <c r="H3" s="64" t="s">
        <v>387</v>
      </c>
    </row>
    <row r="4" spans="1:8">
      <c r="A4" s="71">
        <v>2</v>
      </c>
      <c r="B4" s="72">
        <v>6</v>
      </c>
      <c r="C4" s="73">
        <f>B4/$B$9</f>
        <v>0.12</v>
      </c>
      <c r="D4" s="40">
        <f>B4</f>
        <v>6</v>
      </c>
      <c r="E4" s="73">
        <f>C4</f>
        <v>0.12</v>
      </c>
      <c r="F4" s="74">
        <f>A4*B4</f>
        <v>12</v>
      </c>
      <c r="G4" s="75">
        <f>(A4-$F$10)^2*B4</f>
        <v>17.750400000000003</v>
      </c>
      <c r="H4" s="76">
        <f>F4*A4</f>
        <v>24</v>
      </c>
    </row>
    <row r="5" spans="1:8">
      <c r="A5" s="71">
        <v>3</v>
      </c>
      <c r="B5" s="72">
        <v>11</v>
      </c>
      <c r="C5" s="73">
        <f>B5/$B$9</f>
        <v>0.22</v>
      </c>
      <c r="D5" s="40">
        <f>D4+B5</f>
        <v>17</v>
      </c>
      <c r="E5" s="73">
        <f>E4+C5</f>
        <v>0.33999999999999997</v>
      </c>
      <c r="F5" s="74">
        <f>A5*B5</f>
        <v>33</v>
      </c>
      <c r="G5" s="75">
        <f>(A5-$F$10)^2*B5</f>
        <v>5.7024000000000035</v>
      </c>
      <c r="H5" s="76">
        <f>F5*A5</f>
        <v>99</v>
      </c>
    </row>
    <row r="6" spans="1:8">
      <c r="A6" s="77">
        <v>4</v>
      </c>
      <c r="B6" s="78">
        <v>26</v>
      </c>
      <c r="C6" s="79">
        <f>B6/$B$9</f>
        <v>0.52</v>
      </c>
      <c r="D6" s="40">
        <f>D5+B6</f>
        <v>43</v>
      </c>
      <c r="E6" s="73">
        <f t="shared" ref="D6:E8" si="0">E5+C6</f>
        <v>0.86</v>
      </c>
      <c r="F6" s="74">
        <f>A6*B6</f>
        <v>104</v>
      </c>
      <c r="G6" s="75">
        <f>(A6-$F$10)^2*B6</f>
        <v>2.0383999999999971</v>
      </c>
      <c r="H6" s="76">
        <f>F6*A6</f>
        <v>416</v>
      </c>
    </row>
    <row r="7" spans="1:8">
      <c r="A7" s="71">
        <v>5</v>
      </c>
      <c r="B7" s="72">
        <v>5</v>
      </c>
      <c r="C7" s="73">
        <f>B7/$B$9</f>
        <v>0.1</v>
      </c>
      <c r="D7" s="40">
        <f t="shared" si="0"/>
        <v>48</v>
      </c>
      <c r="E7" s="73">
        <f t="shared" si="0"/>
        <v>0.96</v>
      </c>
      <c r="F7" s="74">
        <f>A7*B7</f>
        <v>25</v>
      </c>
      <c r="G7" s="75">
        <f>(A7-$F$10)^2*B7</f>
        <v>8.1919999999999966</v>
      </c>
      <c r="H7" s="76">
        <f>F7*A7</f>
        <v>125</v>
      </c>
    </row>
    <row r="8" spans="1:8" ht="13">
      <c r="A8" s="71">
        <v>6</v>
      </c>
      <c r="B8" s="72">
        <v>2</v>
      </c>
      <c r="C8" s="73">
        <f>B8/$B$9</f>
        <v>0.04</v>
      </c>
      <c r="D8" s="43">
        <f t="shared" si="0"/>
        <v>50</v>
      </c>
      <c r="E8" s="73">
        <f t="shared" si="0"/>
        <v>1</v>
      </c>
      <c r="F8" s="74">
        <f>A8*B8</f>
        <v>12</v>
      </c>
      <c r="G8" s="75">
        <f>(A8-$F$10)^2*B8</f>
        <v>10.396799999999999</v>
      </c>
      <c r="H8" s="76">
        <f>F8*A8</f>
        <v>72</v>
      </c>
    </row>
    <row r="9" spans="1:8" s="87" customFormat="1" ht="13.5" thickBot="1">
      <c r="A9" s="80" t="s">
        <v>46</v>
      </c>
      <c r="B9" s="81">
        <f>SUM(B4:B8)</f>
        <v>50</v>
      </c>
      <c r="C9" s="82">
        <f>SUM(C4:C8)</f>
        <v>1</v>
      </c>
      <c r="D9" s="83" t="s">
        <v>215</v>
      </c>
      <c r="E9" s="84" t="s">
        <v>215</v>
      </c>
      <c r="F9" s="85">
        <f>SUM(F4:F8)</f>
        <v>186</v>
      </c>
      <c r="G9" s="86">
        <f>SUM(G4:G8)</f>
        <v>44.08</v>
      </c>
      <c r="H9" s="86">
        <f>SUM(H4:H8)</f>
        <v>736</v>
      </c>
    </row>
    <row r="10" spans="1:8" s="43" customFormat="1" ht="13">
      <c r="A10" s="88" t="s">
        <v>391</v>
      </c>
      <c r="F10" s="88">
        <f>F9/$B$9</f>
        <v>3.72</v>
      </c>
      <c r="G10" s="89"/>
      <c r="H10" s="88">
        <f>H9/$B$9</f>
        <v>14.72</v>
      </c>
    </row>
    <row r="11" spans="1:8" s="43" customFormat="1" ht="13">
      <c r="A11" s="90" t="s">
        <v>392</v>
      </c>
      <c r="G11" s="91">
        <f>G9/B9</f>
        <v>0.88159999999999994</v>
      </c>
      <c r="H11" s="91">
        <f>H10-F10^2</f>
        <v>0.88159999999999883</v>
      </c>
    </row>
    <row r="12" spans="1:8" s="43" customFormat="1" ht="13">
      <c r="A12" s="90" t="s">
        <v>393</v>
      </c>
      <c r="F12" s="43">
        <f>SUMPRODUCT(B4:B8,A4:A8)</f>
        <v>186</v>
      </c>
      <c r="G12" s="91">
        <f>G9/(B9-1)</f>
        <v>0.89959183673469389</v>
      </c>
      <c r="H12" s="91">
        <f>H11*B9/(B9-1)</f>
        <v>0.89959183673469267</v>
      </c>
    </row>
    <row r="13" spans="1:8" s="43" customFormat="1" ht="13">
      <c r="A13" s="92" t="s">
        <v>394</v>
      </c>
      <c r="G13" s="93">
        <f>SQRT(G11)</f>
        <v>0.93893556754444019</v>
      </c>
      <c r="H13" s="93">
        <f>SQRT(H11)</f>
        <v>0.93893556754443952</v>
      </c>
    </row>
    <row r="14" spans="1:8" s="43" customFormat="1" ht="13">
      <c r="A14" s="92" t="s">
        <v>395</v>
      </c>
      <c r="G14" s="93">
        <f>SQRT(G12)</f>
        <v>0.94846815272559037</v>
      </c>
      <c r="H14" s="93">
        <f>SQRT(H12)</f>
        <v>0.94846815272558982</v>
      </c>
    </row>
    <row r="15" spans="1:8" s="43" customFormat="1" ht="13">
      <c r="G15" s="89"/>
      <c r="H15" s="89"/>
    </row>
    <row r="16" spans="1:8" s="43" customFormat="1" ht="13">
      <c r="A16" s="94" t="s">
        <v>396</v>
      </c>
      <c r="G16" s="89"/>
      <c r="H16" s="89"/>
    </row>
    <row r="17" spans="1:8" s="43" customFormat="1" ht="13">
      <c r="A17" s="95" t="s">
        <v>397</v>
      </c>
      <c r="B17" s="95" t="s">
        <v>398</v>
      </c>
      <c r="C17" s="95"/>
      <c r="E17" s="43" t="s">
        <v>399</v>
      </c>
      <c r="G17" s="89"/>
      <c r="H17" s="89"/>
    </row>
    <row r="18" spans="1:8" s="43" customFormat="1" ht="13">
      <c r="E18" s="43" t="s">
        <v>400</v>
      </c>
      <c r="G18" s="89"/>
      <c r="H18" s="89"/>
    </row>
    <row r="19" spans="1:8" s="43" customFormat="1" ht="13">
      <c r="G19" s="89"/>
      <c r="H19" s="89"/>
    </row>
    <row r="20" spans="1:8" ht="13">
      <c r="A20" s="95" t="s">
        <v>401</v>
      </c>
      <c r="B20" s="96">
        <f>A6</f>
        <v>4</v>
      </c>
      <c r="C20" s="40" t="s">
        <v>402</v>
      </c>
    </row>
    <row r="21" spans="1:8" ht="13">
      <c r="A21" s="95" t="s">
        <v>403</v>
      </c>
      <c r="B21" s="96">
        <f>A6</f>
        <v>4</v>
      </c>
      <c r="C21" s="40" t="s">
        <v>404</v>
      </c>
    </row>
    <row r="22" spans="1:8" ht="13">
      <c r="A22" s="95" t="s">
        <v>405</v>
      </c>
      <c r="B22" s="96">
        <f>A5</f>
        <v>3</v>
      </c>
      <c r="C22" s="40" t="s">
        <v>406</v>
      </c>
    </row>
    <row r="23" spans="1:8" ht="13">
      <c r="A23" s="95" t="s">
        <v>407</v>
      </c>
      <c r="B23" s="96">
        <f>A6</f>
        <v>4</v>
      </c>
      <c r="C23" s="40" t="s">
        <v>408</v>
      </c>
    </row>
    <row r="24" spans="1:8" ht="13">
      <c r="A24" s="95" t="s">
        <v>409</v>
      </c>
      <c r="B24" s="96">
        <f>A4</f>
        <v>2</v>
      </c>
      <c r="C24" s="40" t="s">
        <v>410</v>
      </c>
    </row>
    <row r="25" spans="1:8" ht="13">
      <c r="A25" s="95" t="s">
        <v>411</v>
      </c>
      <c r="B25" s="96">
        <f>A7</f>
        <v>5</v>
      </c>
      <c r="C25" s="40" t="s">
        <v>412</v>
      </c>
    </row>
  </sheetData>
  <mergeCells count="1">
    <mergeCell ref="F1:H1"/>
  </mergeCells>
  <pageMargins left="0.7" right="0.7" top="0.75" bottom="0.75" header="0.3" footer="0.3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BB732-2300-4FC8-B50B-130BEDBF0F13}">
  <sheetPr>
    <tabColor rgb="FFFF0000"/>
  </sheetPr>
  <dimension ref="A1:I26"/>
  <sheetViews>
    <sheetView workbookViewId="0"/>
  </sheetViews>
  <sheetFormatPr defaultColWidth="8.90625" defaultRowHeight="12.5"/>
  <cols>
    <col min="1" max="1" width="14.54296875" style="40" bestFit="1" customWidth="1"/>
    <col min="2" max="2" width="20.54296875" style="40" customWidth="1"/>
    <col min="3" max="3" width="12.453125" style="40" bestFit="1" customWidth="1"/>
    <col min="4" max="4" width="7.08984375" style="40" customWidth="1"/>
    <col min="5" max="6" width="6.54296875" style="40" customWidth="1"/>
    <col min="7" max="7" width="8.90625" style="40"/>
    <col min="8" max="8" width="14.90625" style="97" customWidth="1"/>
    <col min="9" max="9" width="12.54296875" style="40" customWidth="1"/>
    <col min="10" max="16384" width="8.90625" style="40"/>
  </cols>
  <sheetData>
    <row r="1" spans="1:9" ht="13.5" thickBot="1">
      <c r="A1" s="98"/>
      <c r="B1" s="98"/>
      <c r="C1" s="98"/>
      <c r="D1" s="98"/>
      <c r="E1" s="98"/>
      <c r="F1" s="98"/>
      <c r="G1" s="327" t="s">
        <v>485</v>
      </c>
      <c r="H1" s="328"/>
      <c r="I1" s="329"/>
    </row>
    <row r="2" spans="1:9" ht="31.4" customHeight="1" thickBot="1">
      <c r="A2" s="98"/>
      <c r="B2" s="99" t="s">
        <v>486</v>
      </c>
      <c r="C2" s="98"/>
      <c r="D2" s="98"/>
      <c r="E2" s="98"/>
      <c r="F2" s="98"/>
      <c r="G2" s="100"/>
      <c r="H2" s="101" t="s">
        <v>380</v>
      </c>
      <c r="I2" s="102" t="s">
        <v>381</v>
      </c>
    </row>
    <row r="3" spans="1:9" s="70" customFormat="1" ht="13">
      <c r="A3" s="64" t="s">
        <v>487</v>
      </c>
      <c r="B3" s="64" t="s">
        <v>488</v>
      </c>
      <c r="C3" s="65" t="s">
        <v>48</v>
      </c>
      <c r="D3" s="66" t="s">
        <v>49</v>
      </c>
      <c r="E3" s="67" t="s">
        <v>383</v>
      </c>
      <c r="F3" s="66" t="s">
        <v>384</v>
      </c>
      <c r="G3" s="103" t="s">
        <v>385</v>
      </c>
      <c r="H3" s="104" t="s">
        <v>386</v>
      </c>
      <c r="I3" s="103" t="s">
        <v>387</v>
      </c>
    </row>
    <row r="4" spans="1:9">
      <c r="A4" s="71" t="s">
        <v>489</v>
      </c>
      <c r="B4" s="105">
        <v>100</v>
      </c>
      <c r="C4" s="72">
        <v>1</v>
      </c>
      <c r="D4" s="73">
        <f t="shared" ref="D4:D9" si="0">C4/$C$10</f>
        <v>0.02</v>
      </c>
      <c r="E4" s="40">
        <f>C4</f>
        <v>1</v>
      </c>
      <c r="F4" s="106">
        <f>D4</f>
        <v>0.02</v>
      </c>
      <c r="G4" s="76">
        <f t="shared" ref="G4:G9" si="1">B4*C4</f>
        <v>100</v>
      </c>
      <c r="H4" s="107">
        <f t="shared" ref="H4:H9" si="2">(B4-$G$11)^2*C4</f>
        <v>54756</v>
      </c>
      <c r="I4" s="107">
        <f t="shared" ref="I4:I9" si="3">G4*B4</f>
        <v>10000</v>
      </c>
    </row>
    <row r="5" spans="1:9">
      <c r="A5" s="71" t="s">
        <v>490</v>
      </c>
      <c r="B5" s="77">
        <v>200</v>
      </c>
      <c r="C5" s="78">
        <v>16</v>
      </c>
      <c r="D5" s="79">
        <f t="shared" si="0"/>
        <v>0.32</v>
      </c>
      <c r="E5" s="108">
        <f>E4+C5</f>
        <v>17</v>
      </c>
      <c r="F5" s="109">
        <f t="shared" ref="E5:F9" si="4">F4+D5</f>
        <v>0.34</v>
      </c>
      <c r="G5" s="76">
        <f t="shared" si="1"/>
        <v>3200</v>
      </c>
      <c r="H5" s="107">
        <f t="shared" si="2"/>
        <v>287296</v>
      </c>
      <c r="I5" s="107">
        <f t="shared" si="3"/>
        <v>640000</v>
      </c>
    </row>
    <row r="6" spans="1:9">
      <c r="A6" s="71" t="s">
        <v>491</v>
      </c>
      <c r="B6" s="71">
        <v>300</v>
      </c>
      <c r="C6" s="72">
        <v>13</v>
      </c>
      <c r="D6" s="73">
        <f t="shared" si="0"/>
        <v>0.26</v>
      </c>
      <c r="E6" s="40">
        <f>E5+C6</f>
        <v>30</v>
      </c>
      <c r="F6" s="106">
        <f t="shared" si="4"/>
        <v>0.60000000000000009</v>
      </c>
      <c r="G6" s="76">
        <f t="shared" si="1"/>
        <v>3900</v>
      </c>
      <c r="H6" s="107">
        <f t="shared" si="2"/>
        <v>15028</v>
      </c>
      <c r="I6" s="107">
        <f t="shared" si="3"/>
        <v>1170000</v>
      </c>
    </row>
    <row r="7" spans="1:9">
      <c r="A7" s="71" t="s">
        <v>492</v>
      </c>
      <c r="B7" s="71">
        <v>400</v>
      </c>
      <c r="C7" s="72">
        <v>9</v>
      </c>
      <c r="D7" s="73">
        <f t="shared" si="0"/>
        <v>0.18</v>
      </c>
      <c r="E7" s="40">
        <f t="shared" si="4"/>
        <v>39</v>
      </c>
      <c r="F7" s="106">
        <f t="shared" si="4"/>
        <v>0.78</v>
      </c>
      <c r="G7" s="76">
        <f t="shared" si="1"/>
        <v>3600</v>
      </c>
      <c r="H7" s="107">
        <f t="shared" si="2"/>
        <v>39204</v>
      </c>
      <c r="I7" s="107">
        <f t="shared" si="3"/>
        <v>1440000</v>
      </c>
    </row>
    <row r="8" spans="1:9">
      <c r="A8" s="71" t="s">
        <v>493</v>
      </c>
      <c r="B8" s="71">
        <v>500</v>
      </c>
      <c r="C8" s="72">
        <v>7</v>
      </c>
      <c r="D8" s="73">
        <f t="shared" si="0"/>
        <v>0.14000000000000001</v>
      </c>
      <c r="E8" s="40">
        <f t="shared" si="4"/>
        <v>46</v>
      </c>
      <c r="F8" s="106">
        <f t="shared" si="4"/>
        <v>0.92</v>
      </c>
      <c r="G8" s="76">
        <f t="shared" si="1"/>
        <v>3500</v>
      </c>
      <c r="H8" s="107">
        <f t="shared" si="2"/>
        <v>192892</v>
      </c>
      <c r="I8" s="107">
        <f t="shared" si="3"/>
        <v>1750000</v>
      </c>
    </row>
    <row r="9" spans="1:9" ht="13">
      <c r="A9" s="71" t="s">
        <v>494</v>
      </c>
      <c r="B9" s="105">
        <v>600</v>
      </c>
      <c r="C9" s="72">
        <v>4</v>
      </c>
      <c r="D9" s="73">
        <f t="shared" si="0"/>
        <v>0.08</v>
      </c>
      <c r="E9" s="43">
        <f t="shared" si="4"/>
        <v>50</v>
      </c>
      <c r="F9" s="110">
        <f t="shared" si="4"/>
        <v>1</v>
      </c>
      <c r="G9" s="76">
        <f t="shared" si="1"/>
        <v>2400</v>
      </c>
      <c r="H9" s="107">
        <f t="shared" si="2"/>
        <v>283024</v>
      </c>
      <c r="I9" s="107">
        <f t="shared" si="3"/>
        <v>1440000</v>
      </c>
    </row>
    <row r="10" spans="1:9" s="87" customFormat="1" ht="13.5" thickBot="1">
      <c r="A10" s="80"/>
      <c r="B10" s="80" t="s">
        <v>46</v>
      </c>
      <c r="C10" s="81">
        <f>SUM(C4:C9)</f>
        <v>50</v>
      </c>
      <c r="D10" s="82">
        <f>SUM(D4:D9)</f>
        <v>1</v>
      </c>
      <c r="E10" s="83" t="s">
        <v>215</v>
      </c>
      <c r="F10" s="84" t="s">
        <v>215</v>
      </c>
      <c r="G10" s="80">
        <f>SUM(G4:G9)</f>
        <v>16700</v>
      </c>
      <c r="H10" s="111">
        <f>SUM(H4:H9)</f>
        <v>872200</v>
      </c>
      <c r="I10" s="111">
        <f>SUM(I4:I9)</f>
        <v>6450000</v>
      </c>
    </row>
    <row r="11" spans="1:9" s="43" customFormat="1" ht="13">
      <c r="B11" s="88" t="s">
        <v>495</v>
      </c>
      <c r="G11" s="88">
        <f>G10/$C$10</f>
        <v>334</v>
      </c>
      <c r="H11" s="89"/>
      <c r="I11" s="88">
        <f>I10/$C$10</f>
        <v>129000</v>
      </c>
    </row>
    <row r="12" spans="1:9" s="43" customFormat="1" ht="13">
      <c r="B12" s="90" t="s">
        <v>392</v>
      </c>
      <c r="H12" s="91">
        <f>H10/C10</f>
        <v>17444</v>
      </c>
      <c r="I12" s="91">
        <f>I11-G11^2</f>
        <v>17444</v>
      </c>
    </row>
    <row r="13" spans="1:9" s="43" customFormat="1" ht="13">
      <c r="B13" s="90" t="s">
        <v>393</v>
      </c>
      <c r="H13" s="91">
        <f>H10/(C10-1)</f>
        <v>17800</v>
      </c>
      <c r="I13" s="91">
        <f>I12*C10/(C10-1)</f>
        <v>17800</v>
      </c>
    </row>
    <row r="14" spans="1:9" s="43" customFormat="1" ht="13">
      <c r="B14" s="92" t="s">
        <v>394</v>
      </c>
      <c r="H14" s="93">
        <f>SQRT(H12)</f>
        <v>132.07573584879245</v>
      </c>
      <c r="I14" s="93">
        <f>SQRT(I12)</f>
        <v>132.07573584879245</v>
      </c>
    </row>
    <row r="15" spans="1:9" s="43" customFormat="1" ht="13">
      <c r="B15" s="92" t="s">
        <v>395</v>
      </c>
      <c r="H15" s="93">
        <f>SQRT(H13)</f>
        <v>133.41664064126334</v>
      </c>
      <c r="I15" s="93">
        <f>SQRT(I13)</f>
        <v>133.41664064126334</v>
      </c>
    </row>
    <row r="16" spans="1:9" s="43" customFormat="1" ht="13">
      <c r="H16" s="89"/>
      <c r="I16" s="89"/>
    </row>
    <row r="17" spans="2:9" s="43" customFormat="1" ht="13">
      <c r="B17" s="94" t="s">
        <v>396</v>
      </c>
      <c r="H17" s="89"/>
      <c r="I17" s="89"/>
    </row>
    <row r="18" spans="2:9" s="43" customFormat="1" ht="13">
      <c r="B18" s="95" t="s">
        <v>397</v>
      </c>
      <c r="C18" s="95" t="s">
        <v>496</v>
      </c>
      <c r="D18" s="95"/>
      <c r="E18" s="43" t="s">
        <v>497</v>
      </c>
      <c r="H18" s="89"/>
      <c r="I18" s="89"/>
    </row>
    <row r="19" spans="2:9" s="43" customFormat="1" ht="13">
      <c r="E19" s="43" t="s">
        <v>498</v>
      </c>
      <c r="H19" s="89"/>
      <c r="I19" s="89"/>
    </row>
    <row r="20" spans="2:9" s="43" customFormat="1" ht="13">
      <c r="C20" s="112" t="s">
        <v>499</v>
      </c>
      <c r="H20" s="89"/>
      <c r="I20" s="89"/>
    </row>
    <row r="21" spans="2:9" ht="13">
      <c r="B21" s="95" t="s">
        <v>401</v>
      </c>
      <c r="C21" s="96" t="str">
        <f>A5</f>
        <v>150-250</v>
      </c>
      <c r="D21" s="40" t="s">
        <v>500</v>
      </c>
    </row>
    <row r="22" spans="2:9" ht="13">
      <c r="B22" s="95" t="s">
        <v>403</v>
      </c>
      <c r="C22" s="96" t="str">
        <f>A6</f>
        <v>250-350</v>
      </c>
      <c r="D22" s="40" t="s">
        <v>501</v>
      </c>
    </row>
    <row r="23" spans="2:9" ht="13">
      <c r="B23" s="95" t="s">
        <v>405</v>
      </c>
      <c r="C23" s="96" t="str">
        <f>A5</f>
        <v>150-250</v>
      </c>
      <c r="D23" s="40" t="s">
        <v>502</v>
      </c>
    </row>
    <row r="24" spans="2:9" ht="13">
      <c r="B24" s="95" t="s">
        <v>407</v>
      </c>
      <c r="C24" s="96" t="str">
        <f>A7</f>
        <v>350-450</v>
      </c>
      <c r="D24" s="40" t="s">
        <v>503</v>
      </c>
    </row>
    <row r="25" spans="2:9" ht="13">
      <c r="B25" s="95" t="s">
        <v>409</v>
      </c>
      <c r="C25" s="96" t="str">
        <f>A5</f>
        <v>150-250</v>
      </c>
      <c r="D25" s="40" t="s">
        <v>504</v>
      </c>
    </row>
    <row r="26" spans="2:9" ht="13">
      <c r="B26" s="95" t="s">
        <v>411</v>
      </c>
      <c r="C26" s="96" t="str">
        <f>A8</f>
        <v>450-550</v>
      </c>
      <c r="D26" s="40" t="s">
        <v>505</v>
      </c>
    </row>
  </sheetData>
  <mergeCells count="1">
    <mergeCell ref="G1:I1"/>
  </mergeCells>
  <pageMargins left="0.7" right="0.7" top="0.75" bottom="0.75" header="0.3" footer="0.3"/>
  <pageSetup paperSize="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C96A0-C125-41C4-AD45-F0DC716B1504}">
  <sheetPr>
    <tabColor rgb="FF0070C0"/>
  </sheetPr>
  <dimension ref="A1:I26"/>
  <sheetViews>
    <sheetView workbookViewId="0"/>
  </sheetViews>
  <sheetFormatPr defaultColWidth="8.90625" defaultRowHeight="12.5"/>
  <cols>
    <col min="1" max="1" width="14.54296875" style="40" bestFit="1" customWidth="1"/>
    <col min="2" max="2" width="20.54296875" style="40" customWidth="1"/>
    <col min="3" max="3" width="12.453125" style="40" bestFit="1" customWidth="1"/>
    <col min="4" max="4" width="7.08984375" style="40" customWidth="1"/>
    <col min="5" max="6" width="6.54296875" style="40" customWidth="1"/>
    <col min="7" max="7" width="8.90625" style="40"/>
    <col min="8" max="8" width="14.90625" style="97" customWidth="1"/>
    <col min="9" max="9" width="12.54296875" style="40" customWidth="1"/>
    <col min="10" max="16384" width="8.90625" style="40"/>
  </cols>
  <sheetData>
    <row r="1" spans="1:9" ht="13.5" thickBot="1">
      <c r="A1" s="98"/>
      <c r="B1" s="98"/>
      <c r="C1" s="98"/>
      <c r="D1" s="98"/>
      <c r="E1" s="98"/>
      <c r="F1" s="98"/>
      <c r="G1" s="327" t="s">
        <v>485</v>
      </c>
      <c r="H1" s="328"/>
      <c r="I1" s="329"/>
    </row>
    <row r="2" spans="1:9" ht="31.4" customHeight="1" thickBot="1">
      <c r="A2" s="98"/>
      <c r="B2" s="99" t="s">
        <v>486</v>
      </c>
      <c r="C2" s="98"/>
      <c r="D2" s="98"/>
      <c r="E2" s="98"/>
      <c r="F2" s="98"/>
      <c r="G2" s="100"/>
      <c r="H2" s="101" t="s">
        <v>380</v>
      </c>
      <c r="I2" s="102" t="s">
        <v>381</v>
      </c>
    </row>
    <row r="3" spans="1:9" s="70" customFormat="1" ht="13">
      <c r="A3" s="64" t="s">
        <v>487</v>
      </c>
      <c r="B3" s="64" t="s">
        <v>488</v>
      </c>
      <c r="C3" s="65" t="s">
        <v>48</v>
      </c>
      <c r="D3" s="66" t="s">
        <v>49</v>
      </c>
      <c r="E3" s="67" t="s">
        <v>383</v>
      </c>
      <c r="F3" s="66" t="s">
        <v>384</v>
      </c>
      <c r="G3" s="103" t="s">
        <v>385</v>
      </c>
      <c r="H3" s="104" t="s">
        <v>386</v>
      </c>
      <c r="I3" s="103" t="s">
        <v>387</v>
      </c>
    </row>
    <row r="4" spans="1:9">
      <c r="A4" s="71" t="s">
        <v>489</v>
      </c>
      <c r="B4" s="105">
        <v>100</v>
      </c>
      <c r="C4" s="72">
        <v>1</v>
      </c>
      <c r="D4" s="73">
        <f t="shared" ref="D4:D9" si="0">C4/$C$10</f>
        <v>0.02</v>
      </c>
      <c r="E4" s="40">
        <f>C4</f>
        <v>1</v>
      </c>
      <c r="F4" s="106">
        <f>D4</f>
        <v>0.02</v>
      </c>
      <c r="G4" s="76">
        <f t="shared" ref="G4:G9" si="1">B4*C4</f>
        <v>100</v>
      </c>
      <c r="H4" s="107">
        <f t="shared" ref="H4:H9" si="2">(B4-$G$11)^2*C4</f>
        <v>54756</v>
      </c>
      <c r="I4" s="107">
        <f t="shared" ref="I4:I9" si="3">G4*B4</f>
        <v>10000</v>
      </c>
    </row>
    <row r="5" spans="1:9">
      <c r="A5" s="71" t="s">
        <v>490</v>
      </c>
      <c r="B5" s="77">
        <v>200</v>
      </c>
      <c r="C5" s="78">
        <v>16</v>
      </c>
      <c r="D5" s="79">
        <f t="shared" si="0"/>
        <v>0.32</v>
      </c>
      <c r="E5" s="108">
        <f>E4+C5</f>
        <v>17</v>
      </c>
      <c r="F5" s="109">
        <f t="shared" ref="E5:F9" si="4">F4+D5</f>
        <v>0.34</v>
      </c>
      <c r="G5" s="76">
        <f t="shared" si="1"/>
        <v>3200</v>
      </c>
      <c r="H5" s="107">
        <f t="shared" si="2"/>
        <v>287296</v>
      </c>
      <c r="I5" s="107">
        <f t="shared" si="3"/>
        <v>640000</v>
      </c>
    </row>
    <row r="6" spans="1:9">
      <c r="A6" s="71" t="s">
        <v>491</v>
      </c>
      <c r="B6" s="71">
        <v>300</v>
      </c>
      <c r="C6" s="72">
        <v>13</v>
      </c>
      <c r="D6" s="73">
        <f t="shared" si="0"/>
        <v>0.26</v>
      </c>
      <c r="E6" s="40">
        <f>E5+C6</f>
        <v>30</v>
      </c>
      <c r="F6" s="106">
        <f t="shared" si="4"/>
        <v>0.60000000000000009</v>
      </c>
      <c r="G6" s="76">
        <f t="shared" si="1"/>
        <v>3900</v>
      </c>
      <c r="H6" s="107">
        <f t="shared" si="2"/>
        <v>15028</v>
      </c>
      <c r="I6" s="107">
        <f t="shared" si="3"/>
        <v>1170000</v>
      </c>
    </row>
    <row r="7" spans="1:9">
      <c r="A7" s="71" t="s">
        <v>492</v>
      </c>
      <c r="B7" s="71">
        <v>400</v>
      </c>
      <c r="C7" s="72">
        <v>9</v>
      </c>
      <c r="D7" s="73">
        <f t="shared" si="0"/>
        <v>0.18</v>
      </c>
      <c r="E7" s="40">
        <f t="shared" si="4"/>
        <v>39</v>
      </c>
      <c r="F7" s="106">
        <f t="shared" si="4"/>
        <v>0.78</v>
      </c>
      <c r="G7" s="76">
        <f t="shared" si="1"/>
        <v>3600</v>
      </c>
      <c r="H7" s="107">
        <f t="shared" si="2"/>
        <v>39204</v>
      </c>
      <c r="I7" s="107">
        <f t="shared" si="3"/>
        <v>1440000</v>
      </c>
    </row>
    <row r="8" spans="1:9">
      <c r="A8" s="71" t="s">
        <v>493</v>
      </c>
      <c r="B8" s="71">
        <v>500</v>
      </c>
      <c r="C8" s="72">
        <v>7</v>
      </c>
      <c r="D8" s="73">
        <f t="shared" si="0"/>
        <v>0.14000000000000001</v>
      </c>
      <c r="E8" s="40">
        <f t="shared" si="4"/>
        <v>46</v>
      </c>
      <c r="F8" s="106">
        <f t="shared" si="4"/>
        <v>0.92</v>
      </c>
      <c r="G8" s="76">
        <f t="shared" si="1"/>
        <v>3500</v>
      </c>
      <c r="H8" s="107">
        <f t="shared" si="2"/>
        <v>192892</v>
      </c>
      <c r="I8" s="107">
        <f t="shared" si="3"/>
        <v>1750000</v>
      </c>
    </row>
    <row r="9" spans="1:9" ht="13">
      <c r="A9" s="71" t="s">
        <v>494</v>
      </c>
      <c r="B9" s="105">
        <v>600</v>
      </c>
      <c r="C9" s="72">
        <v>4</v>
      </c>
      <c r="D9" s="73">
        <f t="shared" si="0"/>
        <v>0.08</v>
      </c>
      <c r="E9" s="43">
        <f t="shared" si="4"/>
        <v>50</v>
      </c>
      <c r="F9" s="110">
        <f t="shared" si="4"/>
        <v>1</v>
      </c>
      <c r="G9" s="76">
        <f t="shared" si="1"/>
        <v>2400</v>
      </c>
      <c r="H9" s="107">
        <f t="shared" si="2"/>
        <v>283024</v>
      </c>
      <c r="I9" s="107">
        <f t="shared" si="3"/>
        <v>1440000</v>
      </c>
    </row>
    <row r="10" spans="1:9" s="87" customFormat="1" ht="13.5" thickBot="1">
      <c r="A10" s="80"/>
      <c r="B10" s="80" t="s">
        <v>46</v>
      </c>
      <c r="C10" s="81">
        <f>SUM(C4:C9)</f>
        <v>50</v>
      </c>
      <c r="D10" s="82">
        <f>SUM(D4:D9)</f>
        <v>1</v>
      </c>
      <c r="E10" s="83" t="s">
        <v>215</v>
      </c>
      <c r="F10" s="84" t="s">
        <v>215</v>
      </c>
      <c r="G10" s="80">
        <f>SUM(G4:G9)</f>
        <v>16700</v>
      </c>
      <c r="H10" s="111">
        <f>SUM(H4:H9)</f>
        <v>872200</v>
      </c>
      <c r="I10" s="111">
        <f>SUM(I4:I9)</f>
        <v>6450000</v>
      </c>
    </row>
    <row r="11" spans="1:9" s="43" customFormat="1" ht="13">
      <c r="B11" s="88" t="s">
        <v>495</v>
      </c>
      <c r="G11" s="88">
        <f>G10/$C$10</f>
        <v>334</v>
      </c>
      <c r="H11" s="89"/>
      <c r="I11" s="88">
        <f>I10/$C$10</f>
        <v>129000</v>
      </c>
    </row>
    <row r="12" spans="1:9" s="43" customFormat="1" ht="13">
      <c r="B12" s="90" t="s">
        <v>392</v>
      </c>
      <c r="H12" s="91">
        <f>H10/C10</f>
        <v>17444</v>
      </c>
      <c r="I12" s="91">
        <f>I11-G11^2</f>
        <v>17444</v>
      </c>
    </row>
    <row r="13" spans="1:9" s="43" customFormat="1" ht="13">
      <c r="B13" s="90" t="s">
        <v>393</v>
      </c>
      <c r="H13" s="91">
        <f>H10/(C10-1)</f>
        <v>17800</v>
      </c>
      <c r="I13" s="91">
        <f>I12*C10/(C10-1)</f>
        <v>17800</v>
      </c>
    </row>
    <row r="14" spans="1:9" s="43" customFormat="1" ht="13">
      <c r="B14" s="92" t="s">
        <v>394</v>
      </c>
      <c r="H14" s="93">
        <f>SQRT(H12)</f>
        <v>132.07573584879245</v>
      </c>
      <c r="I14" s="93">
        <f>SQRT(I12)</f>
        <v>132.07573584879245</v>
      </c>
    </row>
    <row r="15" spans="1:9" s="43" customFormat="1" ht="13">
      <c r="B15" s="92" t="s">
        <v>395</v>
      </c>
      <c r="H15" s="93">
        <f>SQRT(H13)</f>
        <v>133.41664064126334</v>
      </c>
      <c r="I15" s="93">
        <f>SQRT(I13)</f>
        <v>133.41664064126334</v>
      </c>
    </row>
    <row r="16" spans="1:9" s="43" customFormat="1" ht="13">
      <c r="H16" s="89"/>
      <c r="I16" s="89"/>
    </row>
    <row r="17" spans="2:9" s="43" customFormat="1" ht="13">
      <c r="B17" s="94" t="s">
        <v>396</v>
      </c>
      <c r="H17" s="89"/>
      <c r="I17" s="89"/>
    </row>
    <row r="18" spans="2:9" s="43" customFormat="1" ht="13">
      <c r="B18" s="95" t="s">
        <v>397</v>
      </c>
      <c r="C18" s="95" t="s">
        <v>496</v>
      </c>
      <c r="D18" s="95"/>
      <c r="E18" s="43" t="s">
        <v>497</v>
      </c>
      <c r="H18" s="89"/>
      <c r="I18" s="89"/>
    </row>
    <row r="19" spans="2:9" s="43" customFormat="1" ht="13">
      <c r="E19" s="43" t="s">
        <v>498</v>
      </c>
      <c r="H19" s="89"/>
      <c r="I19" s="89"/>
    </row>
    <row r="20" spans="2:9" s="43" customFormat="1" ht="13">
      <c r="C20" s="112" t="s">
        <v>499</v>
      </c>
      <c r="H20" s="89"/>
      <c r="I20" s="89"/>
    </row>
    <row r="21" spans="2:9" ht="13">
      <c r="B21" s="95" t="s">
        <v>401</v>
      </c>
      <c r="C21" s="96" t="str">
        <f>A5</f>
        <v>150-250</v>
      </c>
      <c r="D21" s="40" t="s">
        <v>500</v>
      </c>
    </row>
    <row r="22" spans="2:9" ht="13">
      <c r="B22" s="95" t="s">
        <v>403</v>
      </c>
      <c r="C22" s="96" t="str">
        <f>A6</f>
        <v>250-350</v>
      </c>
      <c r="D22" s="40" t="s">
        <v>501</v>
      </c>
    </row>
    <row r="23" spans="2:9" ht="13">
      <c r="B23" s="95" t="s">
        <v>405</v>
      </c>
      <c r="C23" s="96" t="str">
        <f>A5</f>
        <v>150-250</v>
      </c>
      <c r="D23" s="40" t="s">
        <v>502</v>
      </c>
    </row>
    <row r="24" spans="2:9" ht="13">
      <c r="B24" s="95" t="s">
        <v>407</v>
      </c>
      <c r="C24" s="96" t="str">
        <f>A7</f>
        <v>350-450</v>
      </c>
      <c r="D24" s="40" t="s">
        <v>503</v>
      </c>
    </row>
    <row r="25" spans="2:9" ht="13">
      <c r="B25" s="95" t="s">
        <v>409</v>
      </c>
      <c r="C25" s="96" t="str">
        <f>A5</f>
        <v>150-250</v>
      </c>
      <c r="D25" s="40" t="s">
        <v>504</v>
      </c>
    </row>
    <row r="26" spans="2:9" ht="13">
      <c r="B26" s="95" t="s">
        <v>411</v>
      </c>
      <c r="C26" s="96" t="str">
        <f>A8</f>
        <v>450-550</v>
      </c>
      <c r="D26" s="40" t="s">
        <v>505</v>
      </c>
    </row>
  </sheetData>
  <mergeCells count="1">
    <mergeCell ref="G1:I1"/>
  </mergeCells>
  <pageMargins left="0.7" right="0.7" top="0.75" bottom="0.75" header="0.3" footer="0.3"/>
  <pageSetup paperSize="9" orientation="portrait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O52"/>
  <sheetViews>
    <sheetView workbookViewId="0">
      <selection activeCell="E6" sqref="E6"/>
    </sheetView>
  </sheetViews>
  <sheetFormatPr defaultRowHeight="12.5"/>
  <cols>
    <col min="1" max="1" width="10.54296875" customWidth="1"/>
    <col min="2" max="2" width="15.54296875" customWidth="1"/>
    <col min="3" max="3" width="12.453125" customWidth="1"/>
    <col min="4" max="4" width="18.54296875" customWidth="1"/>
    <col min="5" max="5" width="24" customWidth="1"/>
    <col min="6" max="6" width="17.54296875" customWidth="1"/>
    <col min="7" max="7" width="15.54296875" bestFit="1" customWidth="1"/>
    <col min="8" max="8" width="2.54296875" customWidth="1"/>
    <col min="9" max="9" width="17.54296875" customWidth="1"/>
    <col min="10" max="10" width="2.54296875" customWidth="1"/>
    <col min="11" max="11" width="19.54296875" bestFit="1" customWidth="1"/>
    <col min="12" max="12" width="23.453125" bestFit="1" customWidth="1"/>
    <col min="13" max="13" width="3.453125" customWidth="1"/>
    <col min="14" max="14" width="19.54296875" bestFit="1" customWidth="1"/>
    <col min="15" max="15" width="12.54296875" bestFit="1" customWidth="1"/>
    <col min="16" max="16" width="2.54296875" customWidth="1"/>
    <col min="17" max="17" width="19.54296875" bestFit="1" customWidth="1"/>
    <col min="18" max="18" width="12.54296875" bestFit="1" customWidth="1"/>
  </cols>
  <sheetData>
    <row r="1" spans="1:15" ht="36" customHeight="1">
      <c r="A1" t="s">
        <v>308</v>
      </c>
      <c r="B1" t="s">
        <v>334</v>
      </c>
      <c r="C1" t="s">
        <v>335</v>
      </c>
      <c r="D1" t="s">
        <v>336</v>
      </c>
      <c r="E1" t="s">
        <v>337</v>
      </c>
      <c r="F1" t="s">
        <v>304</v>
      </c>
      <c r="G1" s="2" t="s">
        <v>0</v>
      </c>
      <c r="H1" s="2"/>
      <c r="I1" s="13" t="s">
        <v>420</v>
      </c>
    </row>
    <row r="2" spans="1:15" ht="14">
      <c r="A2" s="1" t="s">
        <v>301</v>
      </c>
      <c r="B2" s="1" t="s">
        <v>341</v>
      </c>
      <c r="C2" s="1">
        <v>4</v>
      </c>
      <c r="D2" s="1">
        <v>2</v>
      </c>
      <c r="E2" s="1">
        <f>C2+D2</f>
        <v>6</v>
      </c>
      <c r="F2" s="1">
        <v>1</v>
      </c>
      <c r="G2" s="3">
        <v>234995</v>
      </c>
      <c r="H2" s="3"/>
      <c r="I2" s="3">
        <v>250000</v>
      </c>
      <c r="K2" s="4" t="s">
        <v>300</v>
      </c>
      <c r="L2" t="s">
        <v>418</v>
      </c>
      <c r="N2" s="4" t="s">
        <v>300</v>
      </c>
      <c r="O2" t="s">
        <v>506</v>
      </c>
    </row>
    <row r="3" spans="1:15" ht="14">
      <c r="A3" s="1" t="s">
        <v>301</v>
      </c>
      <c r="B3" s="1" t="s">
        <v>341</v>
      </c>
      <c r="C3" s="1">
        <v>4</v>
      </c>
      <c r="D3" s="1">
        <v>2</v>
      </c>
      <c r="E3" s="1">
        <f t="shared" ref="E3:E51" si="0">C3+D3</f>
        <v>6</v>
      </c>
      <c r="F3" s="1">
        <v>1</v>
      </c>
      <c r="G3" s="3">
        <v>319000</v>
      </c>
      <c r="H3" s="3"/>
      <c r="I3" s="3">
        <v>450000</v>
      </c>
      <c r="K3" s="5" t="s">
        <v>301</v>
      </c>
      <c r="L3" s="6">
        <v>27</v>
      </c>
      <c r="N3" s="7" t="s">
        <v>507</v>
      </c>
      <c r="O3" s="6">
        <v>8</v>
      </c>
    </row>
    <row r="4" spans="1:15" ht="14">
      <c r="A4" s="1" t="s">
        <v>301</v>
      </c>
      <c r="B4" s="1" t="s">
        <v>339</v>
      </c>
      <c r="C4" s="1">
        <v>2</v>
      </c>
      <c r="D4" s="1">
        <v>1</v>
      </c>
      <c r="E4" s="1">
        <f t="shared" si="0"/>
        <v>3</v>
      </c>
      <c r="F4" s="1">
        <v>0</v>
      </c>
      <c r="G4" s="3">
        <v>154995</v>
      </c>
      <c r="H4" s="3"/>
      <c r="I4" s="3">
        <v>600000</v>
      </c>
      <c r="K4" s="5" t="s">
        <v>302</v>
      </c>
      <c r="L4" s="6">
        <v>23</v>
      </c>
      <c r="N4" s="7" t="s">
        <v>508</v>
      </c>
      <c r="O4" s="6">
        <v>17</v>
      </c>
    </row>
    <row r="5" spans="1:15" ht="14">
      <c r="A5" s="1" t="s">
        <v>302</v>
      </c>
      <c r="B5" s="1" t="s">
        <v>341</v>
      </c>
      <c r="C5" s="1">
        <v>4</v>
      </c>
      <c r="D5" s="1">
        <v>2</v>
      </c>
      <c r="E5" s="1">
        <f t="shared" si="0"/>
        <v>6</v>
      </c>
      <c r="F5" s="1">
        <v>2</v>
      </c>
      <c r="G5" s="3">
        <v>349950</v>
      </c>
      <c r="H5" s="3"/>
      <c r="I5" s="3"/>
      <c r="K5" s="5" t="s">
        <v>303</v>
      </c>
      <c r="L5" s="6">
        <v>50</v>
      </c>
      <c r="N5" s="7" t="s">
        <v>509</v>
      </c>
      <c r="O5" s="6">
        <v>10</v>
      </c>
    </row>
    <row r="6" spans="1:15" ht="14">
      <c r="A6" s="1" t="s">
        <v>301</v>
      </c>
      <c r="B6" s="1" t="s">
        <v>341</v>
      </c>
      <c r="C6" s="1">
        <v>3</v>
      </c>
      <c r="D6" s="1">
        <v>2</v>
      </c>
      <c r="E6" s="1">
        <f t="shared" si="0"/>
        <v>5</v>
      </c>
      <c r="F6" s="1">
        <v>1</v>
      </c>
      <c r="G6" s="3">
        <v>244995</v>
      </c>
      <c r="H6" s="3"/>
      <c r="I6" s="3"/>
      <c r="N6" s="7" t="s">
        <v>510</v>
      </c>
      <c r="O6" s="6">
        <v>6</v>
      </c>
    </row>
    <row r="7" spans="1:15" ht="14">
      <c r="A7" s="1" t="s">
        <v>302</v>
      </c>
      <c r="B7" s="1" t="s">
        <v>343</v>
      </c>
      <c r="C7" s="1">
        <v>3</v>
      </c>
      <c r="D7" s="1">
        <v>1</v>
      </c>
      <c r="E7" s="1">
        <f t="shared" si="0"/>
        <v>4</v>
      </c>
      <c r="F7" s="1">
        <v>0</v>
      </c>
      <c r="G7" s="3">
        <v>178000</v>
      </c>
      <c r="H7" s="3"/>
      <c r="I7" s="3"/>
      <c r="K7" s="4" t="s">
        <v>300</v>
      </c>
      <c r="L7" t="s">
        <v>511</v>
      </c>
      <c r="N7" s="7" t="s">
        <v>512</v>
      </c>
      <c r="O7" s="6">
        <v>9</v>
      </c>
    </row>
    <row r="8" spans="1:15" ht="14">
      <c r="A8" s="1" t="s">
        <v>301</v>
      </c>
      <c r="B8" s="1" t="s">
        <v>341</v>
      </c>
      <c r="C8" s="1">
        <v>3</v>
      </c>
      <c r="D8" s="1">
        <v>3</v>
      </c>
      <c r="E8" s="1">
        <f t="shared" si="0"/>
        <v>6</v>
      </c>
      <c r="F8" s="1">
        <v>0</v>
      </c>
      <c r="G8" s="3">
        <v>175000</v>
      </c>
      <c r="H8" s="3"/>
      <c r="I8" s="3"/>
      <c r="K8" s="5" t="s">
        <v>341</v>
      </c>
      <c r="L8" s="6">
        <v>36</v>
      </c>
      <c r="N8" s="7" t="s">
        <v>303</v>
      </c>
      <c r="O8" s="6">
        <v>50</v>
      </c>
    </row>
    <row r="9" spans="1:15" ht="14">
      <c r="A9" s="1" t="s">
        <v>302</v>
      </c>
      <c r="B9" s="1" t="s">
        <v>341</v>
      </c>
      <c r="C9" s="1">
        <v>4</v>
      </c>
      <c r="D9" s="1">
        <v>4</v>
      </c>
      <c r="E9" s="1">
        <f t="shared" si="0"/>
        <v>8</v>
      </c>
      <c r="F9" s="1">
        <v>1</v>
      </c>
      <c r="G9" s="3">
        <v>580000</v>
      </c>
      <c r="H9" s="3"/>
      <c r="I9" s="3"/>
      <c r="K9" s="5" t="s">
        <v>339</v>
      </c>
      <c r="L9" s="6">
        <v>4</v>
      </c>
    </row>
    <row r="10" spans="1:15" ht="14">
      <c r="A10" s="1" t="s">
        <v>301</v>
      </c>
      <c r="B10" s="1" t="s">
        <v>341</v>
      </c>
      <c r="C10" s="1">
        <v>4</v>
      </c>
      <c r="D10" s="1">
        <v>2</v>
      </c>
      <c r="E10" s="1">
        <f t="shared" si="0"/>
        <v>6</v>
      </c>
      <c r="F10" s="1">
        <v>0</v>
      </c>
      <c r="G10" s="3">
        <v>288000</v>
      </c>
      <c r="H10" s="3"/>
      <c r="I10" s="3"/>
      <c r="K10" s="5" t="s">
        <v>343</v>
      </c>
      <c r="L10" s="6">
        <v>10</v>
      </c>
    </row>
    <row r="11" spans="1:15" ht="14">
      <c r="A11" s="1" t="s">
        <v>302</v>
      </c>
      <c r="B11" s="1" t="s">
        <v>341</v>
      </c>
      <c r="C11" s="1">
        <v>4</v>
      </c>
      <c r="D11" s="1">
        <v>3</v>
      </c>
      <c r="E11" s="1">
        <f t="shared" si="0"/>
        <v>7</v>
      </c>
      <c r="F11" s="1">
        <v>2</v>
      </c>
      <c r="G11" s="3">
        <v>524950</v>
      </c>
      <c r="H11" s="3"/>
      <c r="I11" s="3"/>
      <c r="K11" s="5" t="s">
        <v>303</v>
      </c>
      <c r="L11" s="6">
        <v>50</v>
      </c>
    </row>
    <row r="12" spans="1:15" ht="14">
      <c r="A12" s="1" t="s">
        <v>302</v>
      </c>
      <c r="B12" s="1" t="s">
        <v>341</v>
      </c>
      <c r="C12" s="1">
        <v>4</v>
      </c>
      <c r="D12" s="1">
        <v>4</v>
      </c>
      <c r="E12" s="1">
        <f t="shared" si="0"/>
        <v>8</v>
      </c>
      <c r="F12" s="1">
        <v>2</v>
      </c>
      <c r="G12" s="3">
        <v>625000</v>
      </c>
      <c r="H12" s="3"/>
      <c r="I12" s="3"/>
    </row>
    <row r="13" spans="1:15" ht="14">
      <c r="A13" s="1" t="s">
        <v>302</v>
      </c>
      <c r="B13" s="1" t="s">
        <v>341</v>
      </c>
      <c r="C13" s="1">
        <v>5</v>
      </c>
      <c r="D13" s="1">
        <v>2</v>
      </c>
      <c r="E13" s="1">
        <f t="shared" si="0"/>
        <v>7</v>
      </c>
      <c r="F13" s="1">
        <v>2</v>
      </c>
      <c r="G13" s="3">
        <v>449950</v>
      </c>
      <c r="H13" s="3"/>
      <c r="I13" s="3"/>
      <c r="K13" s="4" t="s">
        <v>300</v>
      </c>
      <c r="L13" t="s">
        <v>513</v>
      </c>
    </row>
    <row r="14" spans="1:15" ht="14">
      <c r="A14" s="1" t="s">
        <v>301</v>
      </c>
      <c r="B14" s="1" t="s">
        <v>341</v>
      </c>
      <c r="C14" s="1">
        <v>4</v>
      </c>
      <c r="D14" s="1">
        <v>2</v>
      </c>
      <c r="E14" s="1">
        <f t="shared" si="0"/>
        <v>6</v>
      </c>
      <c r="F14" s="1">
        <v>1</v>
      </c>
      <c r="G14" s="3">
        <v>269950</v>
      </c>
      <c r="H14" s="3"/>
      <c r="I14" s="3"/>
      <c r="K14" s="5">
        <v>4</v>
      </c>
      <c r="L14" s="6">
        <v>26</v>
      </c>
    </row>
    <row r="15" spans="1:15" ht="14">
      <c r="A15" s="1" t="s">
        <v>301</v>
      </c>
      <c r="B15" s="1" t="s">
        <v>341</v>
      </c>
      <c r="C15" s="1">
        <v>4</v>
      </c>
      <c r="D15" s="1">
        <v>2</v>
      </c>
      <c r="E15" s="1">
        <f t="shared" si="0"/>
        <v>6</v>
      </c>
      <c r="F15" s="1">
        <v>1</v>
      </c>
      <c r="G15" s="3">
        <v>285000</v>
      </c>
      <c r="H15" s="3"/>
      <c r="I15" s="3"/>
      <c r="K15" s="5">
        <v>3</v>
      </c>
      <c r="L15" s="6">
        <v>11</v>
      </c>
    </row>
    <row r="16" spans="1:15" ht="14">
      <c r="A16" s="1" t="s">
        <v>302</v>
      </c>
      <c r="B16" s="1" t="s">
        <v>341</v>
      </c>
      <c r="C16" s="1">
        <v>4</v>
      </c>
      <c r="D16" s="1">
        <v>3</v>
      </c>
      <c r="E16" s="1">
        <f t="shared" si="0"/>
        <v>7</v>
      </c>
      <c r="F16" s="1">
        <v>2</v>
      </c>
      <c r="G16" s="3">
        <v>349950</v>
      </c>
      <c r="H16" s="3"/>
      <c r="I16" s="3"/>
      <c r="K16" s="5">
        <v>2</v>
      </c>
      <c r="L16" s="6">
        <v>6</v>
      </c>
    </row>
    <row r="17" spans="1:12" ht="14">
      <c r="A17" s="1" t="s">
        <v>301</v>
      </c>
      <c r="B17" s="1" t="s">
        <v>343</v>
      </c>
      <c r="C17" s="1">
        <v>4</v>
      </c>
      <c r="D17" s="1">
        <v>4</v>
      </c>
      <c r="E17" s="1">
        <f t="shared" si="0"/>
        <v>8</v>
      </c>
      <c r="F17" s="1">
        <v>0</v>
      </c>
      <c r="G17" s="3">
        <v>235000</v>
      </c>
      <c r="H17" s="3"/>
      <c r="I17" s="3"/>
      <c r="K17" s="5">
        <v>5</v>
      </c>
      <c r="L17" s="6">
        <v>5</v>
      </c>
    </row>
    <row r="18" spans="1:12" ht="14">
      <c r="A18" s="1" t="s">
        <v>301</v>
      </c>
      <c r="B18" s="1" t="s">
        <v>341</v>
      </c>
      <c r="C18" s="1">
        <v>4</v>
      </c>
      <c r="D18" s="1">
        <v>4</v>
      </c>
      <c r="E18" s="1">
        <f t="shared" si="0"/>
        <v>8</v>
      </c>
      <c r="F18" s="1">
        <v>1</v>
      </c>
      <c r="G18" s="3">
        <v>299995</v>
      </c>
      <c r="H18" s="3"/>
      <c r="I18" s="3"/>
      <c r="K18" s="5">
        <v>6</v>
      </c>
      <c r="L18" s="6">
        <v>2</v>
      </c>
    </row>
    <row r="19" spans="1:12" ht="14">
      <c r="A19" s="1" t="s">
        <v>302</v>
      </c>
      <c r="B19" s="1" t="s">
        <v>339</v>
      </c>
      <c r="C19" s="1">
        <v>2</v>
      </c>
      <c r="D19" s="1">
        <v>1</v>
      </c>
      <c r="E19" s="1">
        <f t="shared" si="0"/>
        <v>3</v>
      </c>
      <c r="F19" s="1">
        <v>0</v>
      </c>
      <c r="G19" s="3">
        <v>174995</v>
      </c>
      <c r="H19" s="3"/>
      <c r="I19" s="3"/>
      <c r="K19" s="5" t="s">
        <v>303</v>
      </c>
      <c r="L19" s="6">
        <v>50</v>
      </c>
    </row>
    <row r="20" spans="1:12" ht="14">
      <c r="A20" s="1" t="s">
        <v>301</v>
      </c>
      <c r="B20" s="1" t="s">
        <v>341</v>
      </c>
      <c r="C20" s="1">
        <v>3</v>
      </c>
      <c r="D20" s="1">
        <v>2</v>
      </c>
      <c r="E20" s="1">
        <f t="shared" si="0"/>
        <v>5</v>
      </c>
      <c r="F20" s="1">
        <v>1</v>
      </c>
      <c r="G20" s="3">
        <v>219995</v>
      </c>
      <c r="H20" s="3"/>
      <c r="I20" s="3"/>
    </row>
    <row r="21" spans="1:12" ht="14">
      <c r="A21" s="1" t="s">
        <v>301</v>
      </c>
      <c r="B21" s="1" t="s">
        <v>341</v>
      </c>
      <c r="C21" s="1">
        <v>4</v>
      </c>
      <c r="D21" s="1">
        <v>3</v>
      </c>
      <c r="E21" s="1">
        <f t="shared" si="0"/>
        <v>7</v>
      </c>
      <c r="F21" s="1">
        <v>1</v>
      </c>
      <c r="G21" s="3">
        <v>275000</v>
      </c>
      <c r="H21" s="3"/>
      <c r="I21" s="3"/>
      <c r="K21" s="4" t="s">
        <v>300</v>
      </c>
      <c r="L21" t="s">
        <v>514</v>
      </c>
    </row>
    <row r="22" spans="1:12" ht="14">
      <c r="A22" s="1" t="s">
        <v>301</v>
      </c>
      <c r="B22" s="1" t="s">
        <v>341</v>
      </c>
      <c r="C22" s="1">
        <v>3</v>
      </c>
      <c r="D22" s="1">
        <v>3</v>
      </c>
      <c r="E22" s="1">
        <f t="shared" si="0"/>
        <v>6</v>
      </c>
      <c r="F22" s="1">
        <v>1</v>
      </c>
      <c r="G22" s="3">
        <v>199950</v>
      </c>
      <c r="H22" s="3"/>
      <c r="I22" s="3"/>
      <c r="K22" s="5">
        <v>1</v>
      </c>
      <c r="L22" s="6">
        <v>6</v>
      </c>
    </row>
    <row r="23" spans="1:12" ht="14">
      <c r="A23" s="1" t="s">
        <v>301</v>
      </c>
      <c r="B23" s="1" t="s">
        <v>341</v>
      </c>
      <c r="C23" s="1">
        <v>4</v>
      </c>
      <c r="D23" s="1">
        <v>2</v>
      </c>
      <c r="E23" s="1">
        <f t="shared" si="0"/>
        <v>6</v>
      </c>
      <c r="F23" s="1">
        <v>1</v>
      </c>
      <c r="G23" s="3">
        <v>232000</v>
      </c>
      <c r="H23" s="3"/>
      <c r="I23" s="3"/>
      <c r="K23" s="5">
        <v>2</v>
      </c>
      <c r="L23" s="6">
        <v>22</v>
      </c>
    </row>
    <row r="24" spans="1:12" ht="14">
      <c r="A24" s="1" t="s">
        <v>302</v>
      </c>
      <c r="B24" s="1" t="s">
        <v>341</v>
      </c>
      <c r="C24" s="1">
        <v>4</v>
      </c>
      <c r="D24" s="1">
        <v>2</v>
      </c>
      <c r="E24" s="1">
        <f t="shared" si="0"/>
        <v>6</v>
      </c>
      <c r="F24" s="1">
        <v>0</v>
      </c>
      <c r="G24" s="3">
        <v>369995</v>
      </c>
      <c r="H24" s="3"/>
      <c r="I24" s="3"/>
      <c r="K24" s="5">
        <v>3</v>
      </c>
      <c r="L24" s="6">
        <v>12</v>
      </c>
    </row>
    <row r="25" spans="1:12" ht="14">
      <c r="A25" s="1" t="s">
        <v>301</v>
      </c>
      <c r="B25" s="1" t="s">
        <v>343</v>
      </c>
      <c r="C25" s="1">
        <v>5</v>
      </c>
      <c r="D25" s="1">
        <v>4</v>
      </c>
      <c r="E25" s="1">
        <f t="shared" si="0"/>
        <v>9</v>
      </c>
      <c r="F25" s="1">
        <v>0</v>
      </c>
      <c r="G25" s="3">
        <v>425000</v>
      </c>
      <c r="H25" s="3"/>
      <c r="I25" s="3"/>
      <c r="K25" s="5">
        <v>4</v>
      </c>
      <c r="L25" s="6">
        <v>10</v>
      </c>
    </row>
    <row r="26" spans="1:12" ht="14">
      <c r="A26" s="1" t="s">
        <v>301</v>
      </c>
      <c r="B26" s="1" t="s">
        <v>343</v>
      </c>
      <c r="C26" s="1">
        <v>2</v>
      </c>
      <c r="D26" s="1">
        <v>2</v>
      </c>
      <c r="E26" s="1">
        <f t="shared" si="0"/>
        <v>4</v>
      </c>
      <c r="F26" s="1">
        <v>0</v>
      </c>
      <c r="G26" s="3">
        <v>185000</v>
      </c>
      <c r="H26" s="3"/>
      <c r="I26" s="3"/>
      <c r="K26" s="5" t="s">
        <v>303</v>
      </c>
      <c r="L26" s="6">
        <v>50</v>
      </c>
    </row>
    <row r="27" spans="1:12" ht="14">
      <c r="A27" s="1" t="s">
        <v>302</v>
      </c>
      <c r="B27" s="1" t="s">
        <v>341</v>
      </c>
      <c r="C27" s="1">
        <v>3</v>
      </c>
      <c r="D27" s="1">
        <v>2</v>
      </c>
      <c r="E27" s="1">
        <f t="shared" si="0"/>
        <v>5</v>
      </c>
      <c r="F27" s="1">
        <v>0</v>
      </c>
      <c r="G27" s="3">
        <v>220000</v>
      </c>
      <c r="H27" s="3"/>
      <c r="I27" s="3"/>
    </row>
    <row r="28" spans="1:12" ht="14">
      <c r="A28" s="1" t="s">
        <v>301</v>
      </c>
      <c r="B28" s="1" t="s">
        <v>343</v>
      </c>
      <c r="C28" s="1">
        <v>3</v>
      </c>
      <c r="D28" s="1">
        <v>1</v>
      </c>
      <c r="E28" s="1">
        <f t="shared" si="0"/>
        <v>4</v>
      </c>
      <c r="F28" s="1">
        <v>1</v>
      </c>
      <c r="G28" s="3">
        <v>229950</v>
      </c>
      <c r="H28" s="3"/>
      <c r="I28" s="3"/>
    </row>
    <row r="29" spans="1:12" ht="14">
      <c r="A29" s="1" t="s">
        <v>301</v>
      </c>
      <c r="B29" s="1" t="s">
        <v>341</v>
      </c>
      <c r="C29" s="1">
        <v>4</v>
      </c>
      <c r="D29" s="1">
        <v>3</v>
      </c>
      <c r="E29" s="1">
        <f t="shared" si="0"/>
        <v>7</v>
      </c>
      <c r="F29" s="1">
        <v>0</v>
      </c>
      <c r="G29" s="3">
        <v>269950</v>
      </c>
      <c r="H29" s="3"/>
      <c r="I29" s="3"/>
    </row>
    <row r="30" spans="1:12" ht="14">
      <c r="A30" s="1" t="s">
        <v>301</v>
      </c>
      <c r="B30" s="1" t="s">
        <v>339</v>
      </c>
      <c r="C30" s="1">
        <v>4</v>
      </c>
      <c r="D30" s="1">
        <v>2</v>
      </c>
      <c r="E30" s="1">
        <f t="shared" si="0"/>
        <v>6</v>
      </c>
      <c r="F30" s="1">
        <v>1</v>
      </c>
      <c r="G30" s="3">
        <v>205000</v>
      </c>
      <c r="H30" s="3"/>
      <c r="I30" s="3"/>
    </row>
    <row r="31" spans="1:12" ht="14">
      <c r="A31" s="1" t="s">
        <v>301</v>
      </c>
      <c r="B31" s="1" t="s">
        <v>343</v>
      </c>
      <c r="C31" s="1">
        <v>3</v>
      </c>
      <c r="D31" s="1">
        <v>1</v>
      </c>
      <c r="E31" s="1">
        <f t="shared" si="0"/>
        <v>4</v>
      </c>
      <c r="F31" s="1">
        <v>0</v>
      </c>
      <c r="G31" s="3">
        <v>179950</v>
      </c>
      <c r="H31" s="3"/>
      <c r="I31" s="3"/>
    </row>
    <row r="32" spans="1:12" ht="14">
      <c r="A32" s="1" t="s">
        <v>301</v>
      </c>
      <c r="B32" s="1" t="s">
        <v>341</v>
      </c>
      <c r="C32" s="1">
        <v>4</v>
      </c>
      <c r="D32" s="1">
        <v>3</v>
      </c>
      <c r="E32" s="1">
        <f t="shared" si="0"/>
        <v>7</v>
      </c>
      <c r="F32" s="1">
        <v>1</v>
      </c>
      <c r="G32" s="3">
        <v>329995</v>
      </c>
      <c r="H32" s="3"/>
      <c r="I32" s="3"/>
    </row>
    <row r="33" spans="1:9" ht="14">
      <c r="A33" s="1" t="s">
        <v>301</v>
      </c>
      <c r="B33" s="1" t="s">
        <v>339</v>
      </c>
      <c r="C33" s="1">
        <v>3</v>
      </c>
      <c r="D33" s="1">
        <v>2</v>
      </c>
      <c r="E33" s="1">
        <f t="shared" si="0"/>
        <v>5</v>
      </c>
      <c r="F33" s="1">
        <v>1</v>
      </c>
      <c r="G33" s="3">
        <v>225000</v>
      </c>
      <c r="H33" s="3"/>
      <c r="I33" s="3"/>
    </row>
    <row r="34" spans="1:9" ht="14">
      <c r="A34" s="1" t="s">
        <v>302</v>
      </c>
      <c r="B34" s="1" t="s">
        <v>341</v>
      </c>
      <c r="C34" s="1">
        <v>3</v>
      </c>
      <c r="D34" s="1">
        <v>3</v>
      </c>
      <c r="E34" s="1">
        <f t="shared" si="0"/>
        <v>6</v>
      </c>
      <c r="F34" s="1">
        <v>0</v>
      </c>
      <c r="G34" s="3">
        <v>375000</v>
      </c>
      <c r="H34" s="3"/>
      <c r="I34" s="3"/>
    </row>
    <row r="35" spans="1:9" ht="14">
      <c r="A35" s="1" t="s">
        <v>301</v>
      </c>
      <c r="B35" s="1" t="s">
        <v>343</v>
      </c>
      <c r="C35" s="1">
        <v>2</v>
      </c>
      <c r="D35" s="1">
        <v>1</v>
      </c>
      <c r="E35" s="1">
        <f t="shared" si="0"/>
        <v>3</v>
      </c>
      <c r="F35" s="1">
        <v>0</v>
      </c>
      <c r="G35" s="3">
        <v>135000</v>
      </c>
      <c r="H35" s="3"/>
      <c r="I35" s="3"/>
    </row>
    <row r="36" spans="1:9" ht="14">
      <c r="A36" s="1" t="s">
        <v>301</v>
      </c>
      <c r="B36" s="1" t="s">
        <v>341</v>
      </c>
      <c r="C36" s="1">
        <v>6</v>
      </c>
      <c r="D36" s="1">
        <v>4</v>
      </c>
      <c r="E36" s="1">
        <f t="shared" si="0"/>
        <v>10</v>
      </c>
      <c r="F36" s="1">
        <v>1</v>
      </c>
      <c r="G36" s="3">
        <v>850000</v>
      </c>
      <c r="H36" s="3"/>
      <c r="I36" s="3"/>
    </row>
    <row r="37" spans="1:9" ht="14">
      <c r="A37" s="1" t="s">
        <v>301</v>
      </c>
      <c r="B37" s="1" t="s">
        <v>341</v>
      </c>
      <c r="C37" s="1">
        <v>6</v>
      </c>
      <c r="D37" s="1">
        <v>3</v>
      </c>
      <c r="E37" s="1">
        <f t="shared" si="0"/>
        <v>9</v>
      </c>
      <c r="F37" s="1">
        <v>2</v>
      </c>
      <c r="G37" s="3">
        <v>750000</v>
      </c>
      <c r="H37" s="3"/>
      <c r="I37" s="3"/>
    </row>
    <row r="38" spans="1:9" ht="14">
      <c r="A38" s="1" t="s">
        <v>302</v>
      </c>
      <c r="B38" s="1" t="s">
        <v>341</v>
      </c>
      <c r="C38" s="1">
        <v>4</v>
      </c>
      <c r="D38" s="1">
        <v>2</v>
      </c>
      <c r="E38" s="1">
        <f t="shared" si="0"/>
        <v>6</v>
      </c>
      <c r="F38" s="1">
        <v>1</v>
      </c>
      <c r="G38" s="3">
        <v>545000</v>
      </c>
      <c r="H38" s="3"/>
      <c r="I38" s="3"/>
    </row>
    <row r="39" spans="1:9" ht="14">
      <c r="A39" s="1" t="s">
        <v>302</v>
      </c>
      <c r="B39" s="1" t="s">
        <v>341</v>
      </c>
      <c r="C39" s="1">
        <v>4</v>
      </c>
      <c r="D39" s="1">
        <v>3</v>
      </c>
      <c r="E39" s="1">
        <f t="shared" si="0"/>
        <v>7</v>
      </c>
      <c r="F39" s="1">
        <v>1</v>
      </c>
      <c r="G39" s="3">
        <v>495000</v>
      </c>
      <c r="H39" s="3"/>
      <c r="I39" s="3"/>
    </row>
    <row r="40" spans="1:9" ht="14">
      <c r="A40" s="1" t="s">
        <v>302</v>
      </c>
      <c r="B40" s="1" t="s">
        <v>341</v>
      </c>
      <c r="C40" s="1">
        <v>4</v>
      </c>
      <c r="D40" s="1">
        <v>4</v>
      </c>
      <c r="E40" s="1">
        <f t="shared" si="0"/>
        <v>8</v>
      </c>
      <c r="F40" s="1">
        <v>1</v>
      </c>
      <c r="G40" s="3">
        <v>375000</v>
      </c>
      <c r="H40" s="3"/>
      <c r="I40" s="3"/>
    </row>
    <row r="41" spans="1:9" ht="14">
      <c r="A41" s="1" t="s">
        <v>302</v>
      </c>
      <c r="B41" s="1" t="s">
        <v>341</v>
      </c>
      <c r="C41" s="1">
        <v>2</v>
      </c>
      <c r="D41" s="1">
        <v>2</v>
      </c>
      <c r="E41" s="1">
        <f t="shared" si="0"/>
        <v>4</v>
      </c>
      <c r="F41" s="1">
        <v>0</v>
      </c>
      <c r="G41" s="3">
        <v>295000</v>
      </c>
      <c r="H41" s="3"/>
      <c r="I41" s="3"/>
    </row>
    <row r="42" spans="1:9" ht="14">
      <c r="A42" s="1" t="s">
        <v>302</v>
      </c>
      <c r="B42" s="1" t="s">
        <v>343</v>
      </c>
      <c r="C42" s="1">
        <v>4</v>
      </c>
      <c r="D42" s="1">
        <v>4</v>
      </c>
      <c r="E42" s="1">
        <f t="shared" si="0"/>
        <v>8</v>
      </c>
      <c r="F42" s="1">
        <v>0</v>
      </c>
      <c r="G42" s="3">
        <v>450000</v>
      </c>
      <c r="H42" s="3"/>
      <c r="I42" s="3"/>
    </row>
    <row r="43" spans="1:9" ht="14">
      <c r="A43" s="1" t="s">
        <v>302</v>
      </c>
      <c r="B43" s="1" t="s">
        <v>341</v>
      </c>
      <c r="C43" s="1">
        <v>5</v>
      </c>
      <c r="D43" s="1">
        <v>3</v>
      </c>
      <c r="E43" s="1">
        <f t="shared" si="0"/>
        <v>8</v>
      </c>
      <c r="F43" s="1">
        <v>1</v>
      </c>
      <c r="G43" s="3">
        <v>449500</v>
      </c>
      <c r="H43" s="3"/>
      <c r="I43" s="3"/>
    </row>
    <row r="44" spans="1:9" ht="14">
      <c r="A44" s="1" t="s">
        <v>302</v>
      </c>
      <c r="B44" s="1" t="s">
        <v>341</v>
      </c>
      <c r="C44" s="1">
        <v>4</v>
      </c>
      <c r="D44" s="1">
        <v>4</v>
      </c>
      <c r="E44" s="1">
        <f t="shared" si="0"/>
        <v>8</v>
      </c>
      <c r="F44" s="1">
        <v>0</v>
      </c>
      <c r="G44" s="3">
        <v>375000</v>
      </c>
      <c r="H44" s="3"/>
      <c r="I44" s="3"/>
    </row>
    <row r="45" spans="1:9" ht="14">
      <c r="A45" s="1" t="s">
        <v>302</v>
      </c>
      <c r="B45" s="1" t="s">
        <v>341</v>
      </c>
      <c r="C45" s="1">
        <v>4</v>
      </c>
      <c r="D45" s="1">
        <v>2</v>
      </c>
      <c r="E45" s="1">
        <f t="shared" si="0"/>
        <v>6</v>
      </c>
      <c r="F45" s="1">
        <v>2</v>
      </c>
      <c r="G45" s="3">
        <v>392000</v>
      </c>
      <c r="H45" s="3"/>
      <c r="I45" s="3"/>
    </row>
    <row r="46" spans="1:9" ht="14">
      <c r="A46" s="1" t="s">
        <v>302</v>
      </c>
      <c r="B46" s="1" t="s">
        <v>341</v>
      </c>
      <c r="C46" s="1">
        <v>4</v>
      </c>
      <c r="D46" s="1">
        <v>4</v>
      </c>
      <c r="E46" s="1">
        <f t="shared" si="0"/>
        <v>8</v>
      </c>
      <c r="F46" s="1">
        <v>1</v>
      </c>
      <c r="G46" s="3">
        <v>465000</v>
      </c>
      <c r="H46" s="3"/>
      <c r="I46" s="3"/>
    </row>
    <row r="47" spans="1:9" ht="14">
      <c r="A47" s="1" t="s">
        <v>302</v>
      </c>
      <c r="B47" s="1" t="s">
        <v>341</v>
      </c>
      <c r="C47" s="1">
        <v>5</v>
      </c>
      <c r="D47" s="1">
        <v>3</v>
      </c>
      <c r="E47" s="1">
        <f t="shared" si="0"/>
        <v>8</v>
      </c>
      <c r="F47" s="1">
        <v>2</v>
      </c>
      <c r="G47" s="3">
        <v>450000</v>
      </c>
      <c r="H47" s="3"/>
      <c r="I47" s="3"/>
    </row>
    <row r="48" spans="1:9" ht="14">
      <c r="A48" s="1" t="s">
        <v>302</v>
      </c>
      <c r="B48" s="1" t="s">
        <v>341</v>
      </c>
      <c r="C48" s="1">
        <v>3</v>
      </c>
      <c r="D48" s="1">
        <v>2</v>
      </c>
      <c r="E48" s="1">
        <f t="shared" si="0"/>
        <v>5</v>
      </c>
      <c r="F48" s="1">
        <v>2</v>
      </c>
      <c r="G48" s="3">
        <v>325000</v>
      </c>
      <c r="H48" s="3"/>
      <c r="I48" s="3"/>
    </row>
    <row r="49" spans="1:9" ht="14">
      <c r="A49" s="1" t="s">
        <v>302</v>
      </c>
      <c r="B49" s="1" t="s">
        <v>343</v>
      </c>
      <c r="C49" s="1">
        <v>2</v>
      </c>
      <c r="D49" s="1">
        <v>2</v>
      </c>
      <c r="E49" s="1">
        <f t="shared" si="0"/>
        <v>4</v>
      </c>
      <c r="F49" s="1">
        <v>0</v>
      </c>
      <c r="G49" s="3">
        <v>250000</v>
      </c>
      <c r="H49" s="3"/>
      <c r="I49" s="3"/>
    </row>
    <row r="50" spans="1:9" ht="14">
      <c r="A50" s="1" t="s">
        <v>301</v>
      </c>
      <c r="B50" s="1" t="s">
        <v>343</v>
      </c>
      <c r="C50" s="1">
        <v>4</v>
      </c>
      <c r="D50" s="1">
        <v>2</v>
      </c>
      <c r="E50" s="1">
        <f t="shared" si="0"/>
        <v>6</v>
      </c>
      <c r="F50" s="1">
        <v>0</v>
      </c>
      <c r="G50" s="3">
        <v>475000</v>
      </c>
      <c r="H50" s="3"/>
      <c r="I50" s="3"/>
    </row>
    <row r="51" spans="1:9" ht="14">
      <c r="A51" s="1" t="s">
        <v>301</v>
      </c>
      <c r="B51" s="1" t="s">
        <v>341</v>
      </c>
      <c r="C51" s="1">
        <v>5</v>
      </c>
      <c r="D51" s="1">
        <v>2</v>
      </c>
      <c r="E51" s="1">
        <f t="shared" si="0"/>
        <v>7</v>
      </c>
      <c r="F51" s="1">
        <v>2</v>
      </c>
      <c r="G51" s="3">
        <v>400000</v>
      </c>
      <c r="H51" s="3"/>
      <c r="I51" s="3"/>
    </row>
    <row r="52" spans="1:9" ht="14">
      <c r="H52" s="3"/>
      <c r="I52" s="3"/>
    </row>
  </sheetData>
  <phoneticPr fontId="0" type="noConversion"/>
  <pageMargins left="0.75" right="0.75" top="1" bottom="1" header="0.5" footer="0.5"/>
  <pageSetup paperSize="9" orientation="portrait" r:id="rId6"/>
  <headerFooter alignWithMargins="0"/>
  <legacyDrawing r:id="rId7"/>
  <tableParts count="1">
    <tablePart r:id="rId8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B91F6-81B9-47C4-A739-32E14BC26DE0}">
  <sheetPr>
    <tabColor rgb="FFFF0000"/>
  </sheetPr>
  <dimension ref="A1:G15"/>
  <sheetViews>
    <sheetView workbookViewId="0">
      <selection activeCell="B3" sqref="B3"/>
    </sheetView>
  </sheetViews>
  <sheetFormatPr defaultRowHeight="12.5"/>
  <cols>
    <col min="1" max="2" width="16" bestFit="1" customWidth="1"/>
    <col min="3" max="3" width="15.453125" bestFit="1" customWidth="1"/>
    <col min="4" max="4" width="19.54296875" bestFit="1" customWidth="1"/>
    <col min="5" max="5" width="14.54296875" bestFit="1" customWidth="1"/>
    <col min="6" max="6" width="16" bestFit="1" customWidth="1"/>
    <col min="7" max="7" width="12.08984375" bestFit="1" customWidth="1"/>
  </cols>
  <sheetData>
    <row r="1" spans="1:7" ht="13">
      <c r="A1" s="22" t="s">
        <v>515</v>
      </c>
      <c r="B1" s="12" t="s">
        <v>335</v>
      </c>
      <c r="C1" s="12" t="s">
        <v>336</v>
      </c>
      <c r="D1" s="12" t="s">
        <v>337</v>
      </c>
      <c r="E1" s="12" t="s">
        <v>304</v>
      </c>
      <c r="F1" s="12" t="s">
        <v>0</v>
      </c>
      <c r="G1" s="12"/>
    </row>
    <row r="2" spans="1:7">
      <c r="B2" s="8"/>
      <c r="C2" s="8"/>
      <c r="D2" s="8"/>
      <c r="E2" s="8"/>
      <c r="F2" s="8"/>
      <c r="G2" s="8"/>
    </row>
    <row r="3" spans="1:7">
      <c r="A3" s="8" t="s">
        <v>2</v>
      </c>
      <c r="B3" s="8">
        <v>6.367774403075229</v>
      </c>
      <c r="C3" s="8">
        <v>4.3017564781347231</v>
      </c>
      <c r="D3" s="8">
        <v>10.721656942867098</v>
      </c>
      <c r="E3" s="8">
        <v>1.4527026016409017</v>
      </c>
      <c r="F3" s="8">
        <v>1463976528.3084548</v>
      </c>
    </row>
    <row r="4" spans="1:7">
      <c r="A4" s="8" t="s">
        <v>3</v>
      </c>
      <c r="B4" s="8">
        <v>2.9015345383128426</v>
      </c>
      <c r="C4" s="8">
        <v>1.9669931721372784</v>
      </c>
      <c r="D4" s="8">
        <v>4.8657110938998818</v>
      </c>
      <c r="E4" s="8">
        <v>0.64381957574126203</v>
      </c>
      <c r="F4" s="8">
        <v>713792291.49890101</v>
      </c>
    </row>
    <row r="5" spans="1:7">
      <c r="A5" s="8" t="s">
        <v>4</v>
      </c>
      <c r="B5" s="8">
        <v>4</v>
      </c>
      <c r="C5" s="8">
        <v>2</v>
      </c>
      <c r="D5" s="8">
        <v>6</v>
      </c>
      <c r="E5" s="8">
        <v>1</v>
      </c>
      <c r="F5" s="8">
        <v>329995</v>
      </c>
    </row>
    <row r="6" spans="1:7">
      <c r="A6" s="8" t="s">
        <v>5</v>
      </c>
      <c r="B6" s="8">
        <v>4</v>
      </c>
      <c r="C6" s="8">
        <v>2</v>
      </c>
      <c r="D6" s="8">
        <v>6</v>
      </c>
      <c r="E6" s="8">
        <v>1</v>
      </c>
      <c r="F6" s="8">
        <v>375000</v>
      </c>
    </row>
    <row r="7" spans="1:7">
      <c r="A7" s="8" t="s">
        <v>6</v>
      </c>
      <c r="B7" s="8">
        <v>23.030216426521186</v>
      </c>
      <c r="C7" s="8">
        <v>15.612524292111909</v>
      </c>
      <c r="D7" s="8">
        <v>38.620384517841408</v>
      </c>
      <c r="E7" s="8">
        <v>5.1101594598194779</v>
      </c>
      <c r="F7" s="8">
        <v>5665550673.1830473</v>
      </c>
    </row>
    <row r="8" spans="1:7">
      <c r="A8" s="8" t="s">
        <v>7</v>
      </c>
      <c r="B8" s="8">
        <v>530.3908686524062</v>
      </c>
      <c r="C8" s="8">
        <v>243.75091477178444</v>
      </c>
      <c r="D8" s="8">
        <v>1491.5341003059243</v>
      </c>
      <c r="E8" s="8">
        <v>26.113729704782497</v>
      </c>
      <c r="F8" s="8">
        <v>3.2098464430404882E+19</v>
      </c>
    </row>
    <row r="9" spans="1:7">
      <c r="A9" s="8" t="s">
        <v>8</v>
      </c>
      <c r="B9" s="8">
        <v>62.614503541332255</v>
      </c>
      <c r="C9" s="8">
        <v>62.448172691607255</v>
      </c>
      <c r="D9" s="8">
        <v>62.653876177958892</v>
      </c>
      <c r="E9" s="8">
        <v>60.586519673684606</v>
      </c>
      <c r="F9" s="8">
        <v>11.836969813299287</v>
      </c>
    </row>
    <row r="10" spans="1:7">
      <c r="A10" s="8" t="s">
        <v>9</v>
      </c>
      <c r="B10" s="8">
        <v>7.9012924203628607</v>
      </c>
      <c r="C10" s="8">
        <v>7.8859565500488467</v>
      </c>
      <c r="D10" s="8">
        <v>7.9050083307128842</v>
      </c>
      <c r="E10" s="8">
        <v>7.7126768045502869</v>
      </c>
      <c r="F10" s="8">
        <v>3.6688009156764192</v>
      </c>
    </row>
    <row r="11" spans="1:7">
      <c r="A11" s="8" t="s">
        <v>10</v>
      </c>
      <c r="B11" s="8">
        <v>185.11840000000001</v>
      </c>
      <c r="C11" s="8">
        <v>125.1104</v>
      </c>
      <c r="D11" s="8">
        <v>310.35610219295722</v>
      </c>
      <c r="E11" s="8">
        <v>41</v>
      </c>
      <c r="F11" s="8">
        <v>23281055397.918365</v>
      </c>
    </row>
    <row r="12" spans="1:7">
      <c r="A12" s="8" t="s">
        <v>11</v>
      </c>
      <c r="B12" s="8">
        <v>0.88160000000000005</v>
      </c>
      <c r="C12" s="8">
        <v>0.88959999999999995</v>
      </c>
      <c r="D12" s="8">
        <v>1.6438978070427614</v>
      </c>
      <c r="E12" s="8">
        <v>0</v>
      </c>
      <c r="F12" s="8">
        <v>135000</v>
      </c>
    </row>
    <row r="13" spans="1:7">
      <c r="A13" s="8" t="s">
        <v>12</v>
      </c>
      <c r="B13" s="8">
        <v>186</v>
      </c>
      <c r="C13" s="8">
        <v>126</v>
      </c>
      <c r="D13" s="8">
        <v>312</v>
      </c>
      <c r="E13" s="8">
        <v>41</v>
      </c>
      <c r="F13" s="8">
        <v>23281190397.918365</v>
      </c>
    </row>
    <row r="14" spans="1:7">
      <c r="A14" s="8" t="s">
        <v>13</v>
      </c>
      <c r="B14" s="8">
        <v>401.16978739373945</v>
      </c>
      <c r="C14" s="8">
        <v>271.01065812248754</v>
      </c>
      <c r="D14" s="8">
        <v>675.46438740062717</v>
      </c>
      <c r="E14" s="8">
        <v>91.520263903376801</v>
      </c>
      <c r="F14" s="8">
        <v>92230521283.432648</v>
      </c>
    </row>
    <row r="15" spans="1:7" ht="13" thickBot="1">
      <c r="A15" s="10" t="s">
        <v>14</v>
      </c>
      <c r="B15" s="10">
        <v>63</v>
      </c>
      <c r="C15" s="10">
        <v>63</v>
      </c>
      <c r="D15" s="10">
        <v>63</v>
      </c>
      <c r="E15" s="10">
        <v>63</v>
      </c>
      <c r="F15" s="10">
        <v>63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D62DD-AA1D-43E4-9E4F-7CDCDF79BC34}">
  <sheetPr>
    <tabColor rgb="FF00B050"/>
  </sheetPr>
  <dimension ref="A1:K17"/>
  <sheetViews>
    <sheetView workbookViewId="0">
      <selection activeCell="C21" sqref="C21"/>
    </sheetView>
  </sheetViews>
  <sheetFormatPr defaultRowHeight="12.5"/>
  <cols>
    <col min="1" max="1" width="16" bestFit="1" customWidth="1"/>
    <col min="2" max="2" width="11.54296875" bestFit="1" customWidth="1"/>
    <col min="3" max="3" width="15.453125" bestFit="1" customWidth="1"/>
    <col min="4" max="4" width="19.54296875" bestFit="1" customWidth="1"/>
    <col min="5" max="5" width="14.54296875" bestFit="1" customWidth="1"/>
    <col min="6" max="6" width="11.54296875" bestFit="1" customWidth="1"/>
    <col min="7" max="7" width="4.54296875" customWidth="1"/>
    <col min="8" max="8" width="16" bestFit="1" customWidth="1"/>
    <col min="9" max="9" width="11.54296875" bestFit="1" customWidth="1"/>
    <col min="10" max="10" width="16" bestFit="1" customWidth="1"/>
    <col min="11" max="11" width="11.54296875" bestFit="1" customWidth="1"/>
  </cols>
  <sheetData>
    <row r="1" spans="1:11" ht="13">
      <c r="A1" s="23" t="s">
        <v>515</v>
      </c>
      <c r="B1" s="24" t="s">
        <v>335</v>
      </c>
      <c r="C1" s="24" t="s">
        <v>336</v>
      </c>
      <c r="D1" s="24" t="s">
        <v>337</v>
      </c>
      <c r="E1" s="24" t="s">
        <v>304</v>
      </c>
      <c r="F1" s="24" t="s">
        <v>0</v>
      </c>
      <c r="K1" s="12"/>
    </row>
    <row r="2" spans="1:11">
      <c r="B2" s="8"/>
      <c r="C2" s="8"/>
      <c r="D2" s="8"/>
      <c r="E2" s="8"/>
      <c r="F2" s="8"/>
      <c r="K2" s="8"/>
    </row>
    <row r="3" spans="1:11">
      <c r="A3" s="26" t="s">
        <v>2</v>
      </c>
      <c r="B3" s="26">
        <v>3.72</v>
      </c>
      <c r="C3" s="26">
        <v>2.52</v>
      </c>
      <c r="D3" s="26">
        <v>6.24</v>
      </c>
      <c r="E3" s="26">
        <v>0.82</v>
      </c>
      <c r="F3" s="26">
        <v>343160.2</v>
      </c>
    </row>
    <row r="4" spans="1:11">
      <c r="A4" s="8" t="s">
        <v>3</v>
      </c>
      <c r="B4" s="8">
        <v>0.13413365250634865</v>
      </c>
      <c r="C4" s="8">
        <v>0.13474086997201826</v>
      </c>
      <c r="D4" s="8">
        <v>0.23484254386325154</v>
      </c>
      <c r="E4" s="8">
        <v>0.10571428571428571</v>
      </c>
      <c r="F4" s="8">
        <v>21578.318005775316</v>
      </c>
    </row>
    <row r="5" spans="1:11">
      <c r="A5" s="27" t="s">
        <v>4</v>
      </c>
      <c r="B5" s="27">
        <v>4</v>
      </c>
      <c r="C5" s="27">
        <v>2</v>
      </c>
      <c r="D5" s="27">
        <v>6</v>
      </c>
      <c r="E5" s="27">
        <v>1</v>
      </c>
      <c r="F5" s="27">
        <v>309497.5</v>
      </c>
    </row>
    <row r="6" spans="1:11">
      <c r="A6" s="27" t="s">
        <v>5</v>
      </c>
      <c r="B6" s="27">
        <v>4</v>
      </c>
      <c r="C6" s="27">
        <v>2</v>
      </c>
      <c r="D6" s="27">
        <v>6</v>
      </c>
      <c r="E6" s="27">
        <v>1</v>
      </c>
      <c r="F6" s="27">
        <v>375000</v>
      </c>
    </row>
    <row r="7" spans="1:11">
      <c r="A7" s="29" t="s">
        <v>6</v>
      </c>
      <c r="B7" s="29">
        <v>0.94846815272559082</v>
      </c>
      <c r="C7" s="29">
        <v>0.95276182860188974</v>
      </c>
      <c r="D7" s="29">
        <v>1.660587552768044</v>
      </c>
      <c r="E7" s="29">
        <v>0.74751288296863594</v>
      </c>
      <c r="F7" s="29">
        <v>152581.74988483507</v>
      </c>
    </row>
    <row r="8" spans="1:11">
      <c r="A8" s="8" t="s">
        <v>7</v>
      </c>
      <c r="B8" s="8">
        <v>0.89959183673469467</v>
      </c>
      <c r="C8" s="8">
        <v>0.90775510204081666</v>
      </c>
      <c r="D8" s="8">
        <v>2.7575510204081612</v>
      </c>
      <c r="E8" s="8">
        <v>0.55877551020408167</v>
      </c>
      <c r="F8" s="8">
        <v>23281190397.918365</v>
      </c>
    </row>
    <row r="9" spans="1:11">
      <c r="A9" s="28" t="s">
        <v>8</v>
      </c>
      <c r="B9" s="28">
        <v>0.31601001790773875</v>
      </c>
      <c r="C9" s="28">
        <v>-0.89024888309159822</v>
      </c>
      <c r="D9" s="28">
        <v>-0.43808510347422125</v>
      </c>
      <c r="E9" s="28">
        <v>-1.1241529500513963</v>
      </c>
      <c r="F9" s="28">
        <v>1.7589661813043422</v>
      </c>
    </row>
    <row r="10" spans="1:11">
      <c r="A10" s="28" t="s">
        <v>9</v>
      </c>
      <c r="B10" s="28">
        <v>3.1094173216145633E-3</v>
      </c>
      <c r="C10" s="28">
        <v>0.23549484966916651</v>
      </c>
      <c r="D10" s="28">
        <v>-0.12059974164344255</v>
      </c>
      <c r="E10" s="28">
        <v>0.30927982029076218</v>
      </c>
      <c r="F10" s="28">
        <v>1.2155383284748322</v>
      </c>
    </row>
    <row r="11" spans="1:11">
      <c r="A11" s="25" t="s">
        <v>10</v>
      </c>
      <c r="B11" s="25">
        <v>4</v>
      </c>
      <c r="C11" s="25">
        <v>3</v>
      </c>
      <c r="D11" s="25">
        <v>7</v>
      </c>
      <c r="E11" s="25">
        <v>2</v>
      </c>
      <c r="F11" s="25">
        <v>715000</v>
      </c>
      <c r="H11" s="22" t="s">
        <v>516</v>
      </c>
    </row>
    <row r="12" spans="1:11">
      <c r="A12" s="25" t="s">
        <v>11</v>
      </c>
      <c r="B12" s="25">
        <v>2</v>
      </c>
      <c r="C12" s="25">
        <v>1</v>
      </c>
      <c r="D12" s="25">
        <v>3</v>
      </c>
      <c r="E12" s="25">
        <v>0</v>
      </c>
      <c r="F12" s="25">
        <v>135000</v>
      </c>
    </row>
    <row r="13" spans="1:11">
      <c r="A13" s="25" t="s">
        <v>12</v>
      </c>
      <c r="B13" s="25">
        <v>6</v>
      </c>
      <c r="C13" s="25">
        <v>4</v>
      </c>
      <c r="D13" s="25">
        <v>10</v>
      </c>
      <c r="E13" s="25">
        <v>2</v>
      </c>
      <c r="F13" s="25">
        <v>850000</v>
      </c>
    </row>
    <row r="14" spans="1:11">
      <c r="A14" s="8" t="s">
        <v>13</v>
      </c>
      <c r="B14" s="8">
        <v>186</v>
      </c>
      <c r="C14" s="8">
        <v>126</v>
      </c>
      <c r="D14" s="8">
        <v>312</v>
      </c>
      <c r="E14" s="8">
        <v>41</v>
      </c>
      <c r="F14" s="8">
        <v>17158010</v>
      </c>
    </row>
    <row r="15" spans="1:11" ht="13" thickBot="1">
      <c r="A15" s="10" t="s">
        <v>14</v>
      </c>
      <c r="B15" s="10">
        <v>50</v>
      </c>
      <c r="C15" s="10">
        <v>50</v>
      </c>
      <c r="D15" s="10">
        <v>50</v>
      </c>
      <c r="E15" s="10">
        <v>50</v>
      </c>
      <c r="F15" s="10">
        <v>50</v>
      </c>
    </row>
    <row r="17" spans="1:2">
      <c r="A17" s="29" t="s">
        <v>6</v>
      </c>
      <c r="B17">
        <f>SQRT(B8)</f>
        <v>0.94846815272559082</v>
      </c>
    </row>
  </sheetData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996D2-1970-4207-A641-BB048D3CC2F9}">
  <sheetPr>
    <tabColor rgb="FFFFFF00"/>
  </sheetPr>
  <dimension ref="B1:F9"/>
  <sheetViews>
    <sheetView workbookViewId="0"/>
  </sheetViews>
  <sheetFormatPr defaultRowHeight="12.5"/>
  <cols>
    <col min="2" max="2" width="19.08984375" bestFit="1" customWidth="1"/>
    <col min="3" max="3" width="12.08984375" bestFit="1" customWidth="1"/>
    <col min="5" max="5" width="19.08984375" bestFit="1" customWidth="1"/>
    <col min="6" max="6" width="12.08984375" bestFit="1" customWidth="1"/>
  </cols>
  <sheetData>
    <row r="1" spans="2:6" ht="13">
      <c r="B1" s="310" t="s">
        <v>486</v>
      </c>
      <c r="C1" s="310"/>
      <c r="D1" s="310"/>
      <c r="E1" s="310"/>
      <c r="F1" s="310"/>
    </row>
    <row r="2" spans="2:6" ht="13">
      <c r="B2" s="309" t="s">
        <v>517</v>
      </c>
      <c r="C2" s="309"/>
      <c r="E2" s="312" t="s">
        <v>518</v>
      </c>
      <c r="F2" s="312"/>
    </row>
    <row r="3" spans="2:6">
      <c r="B3" s="4" t="s">
        <v>300</v>
      </c>
      <c r="C3" s="4" t="s">
        <v>506</v>
      </c>
      <c r="E3" s="4" t="s">
        <v>300</v>
      </c>
      <c r="F3" t="s">
        <v>506</v>
      </c>
    </row>
    <row r="4" spans="2:6">
      <c r="B4" s="7" t="s">
        <v>507</v>
      </c>
      <c r="C4" s="6">
        <v>8</v>
      </c>
      <c r="E4" s="7" t="s">
        <v>507</v>
      </c>
      <c r="F4" s="21">
        <v>0.16</v>
      </c>
    </row>
    <row r="5" spans="2:6">
      <c r="B5" s="7" t="s">
        <v>508</v>
      </c>
      <c r="C5" s="6">
        <v>17</v>
      </c>
      <c r="E5" s="7" t="s">
        <v>508</v>
      </c>
      <c r="F5" s="21">
        <v>0.34</v>
      </c>
    </row>
    <row r="6" spans="2:6">
      <c r="B6" s="7" t="s">
        <v>509</v>
      </c>
      <c r="C6" s="6">
        <v>10</v>
      </c>
      <c r="E6" s="7" t="s">
        <v>509</v>
      </c>
      <c r="F6" s="21">
        <v>0.2</v>
      </c>
    </row>
    <row r="7" spans="2:6">
      <c r="B7" s="7" t="s">
        <v>510</v>
      </c>
      <c r="C7" s="6">
        <v>6</v>
      </c>
      <c r="E7" s="7" t="s">
        <v>510</v>
      </c>
      <c r="F7" s="21">
        <v>0.12</v>
      </c>
    </row>
    <row r="8" spans="2:6">
      <c r="B8" s="7" t="s">
        <v>512</v>
      </c>
      <c r="C8" s="6">
        <v>9</v>
      </c>
      <c r="E8" s="7" t="s">
        <v>512</v>
      </c>
      <c r="F8" s="21">
        <v>0.18</v>
      </c>
    </row>
    <row r="9" spans="2:6">
      <c r="B9" s="7" t="s">
        <v>303</v>
      </c>
      <c r="C9" s="6">
        <v>50</v>
      </c>
      <c r="E9" s="7" t="s">
        <v>303</v>
      </c>
      <c r="F9" s="21">
        <v>1</v>
      </c>
    </row>
  </sheetData>
  <mergeCells count="3">
    <mergeCell ref="B2:C2"/>
    <mergeCell ref="E2:F2"/>
    <mergeCell ref="B1:F1"/>
  </mergeCells>
  <pageMargins left="0.7" right="0.7" top="0.75" bottom="0.75" header="0.3" footer="0.3"/>
  <pageSetup paperSize="9" orientation="portrait"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ECFF-D8E4-4F85-B6E0-BE579CC742C2}">
  <sheetPr>
    <tabColor rgb="FF0070C0"/>
  </sheetPr>
  <dimension ref="B2:G13"/>
  <sheetViews>
    <sheetView workbookViewId="0"/>
  </sheetViews>
  <sheetFormatPr defaultRowHeight="12.5"/>
  <sheetData>
    <row r="2" spans="2:7">
      <c r="B2" t="s">
        <v>519</v>
      </c>
      <c r="C2" t="s">
        <v>520</v>
      </c>
      <c r="D2" t="s">
        <v>521</v>
      </c>
      <c r="E2" t="s">
        <v>522</v>
      </c>
      <c r="F2" t="s">
        <v>523</v>
      </c>
      <c r="G2" t="s">
        <v>524</v>
      </c>
    </row>
    <row r="3" spans="2:7">
      <c r="B3" t="s">
        <v>525</v>
      </c>
      <c r="C3" t="s">
        <v>525</v>
      </c>
      <c r="D3" t="s">
        <v>525</v>
      </c>
      <c r="E3" t="s">
        <v>525</v>
      </c>
      <c r="F3" t="s">
        <v>525</v>
      </c>
      <c r="G3" t="s">
        <v>525</v>
      </c>
    </row>
    <row r="4" spans="2:7">
      <c r="B4" t="s">
        <v>525</v>
      </c>
      <c r="C4" t="s">
        <v>525</v>
      </c>
      <c r="D4" t="s">
        <v>525</v>
      </c>
      <c r="E4" t="s">
        <v>525</v>
      </c>
      <c r="F4" t="s">
        <v>525</v>
      </c>
      <c r="G4" t="s">
        <v>525</v>
      </c>
    </row>
    <row r="5" spans="2:7">
      <c r="B5" t="s">
        <v>525</v>
      </c>
      <c r="C5" t="s">
        <v>525</v>
      </c>
      <c r="D5" t="s">
        <v>525</v>
      </c>
      <c r="E5" t="s">
        <v>525</v>
      </c>
      <c r="F5" t="s">
        <v>525</v>
      </c>
      <c r="G5" t="s">
        <v>525</v>
      </c>
    </row>
    <row r="6" spans="2:7">
      <c r="B6" t="s">
        <v>525</v>
      </c>
      <c r="C6" t="s">
        <v>525</v>
      </c>
      <c r="D6" t="s">
        <v>525</v>
      </c>
      <c r="E6" t="s">
        <v>525</v>
      </c>
      <c r="F6" t="s">
        <v>525</v>
      </c>
      <c r="G6" t="s">
        <v>525</v>
      </c>
    </row>
    <row r="7" spans="2:7">
      <c r="B7" t="s">
        <v>525</v>
      </c>
      <c r="C7" t="s">
        <v>525</v>
      </c>
      <c r="D7" t="s">
        <v>525</v>
      </c>
      <c r="E7" t="s">
        <v>525</v>
      </c>
      <c r="F7" t="s">
        <v>525</v>
      </c>
      <c r="G7" t="s">
        <v>525</v>
      </c>
    </row>
    <row r="8" spans="2:7">
      <c r="B8" t="s">
        <v>525</v>
      </c>
      <c r="C8" t="s">
        <v>525</v>
      </c>
      <c r="D8" t="s">
        <v>525</v>
      </c>
      <c r="E8" t="s">
        <v>525</v>
      </c>
      <c r="F8" t="s">
        <v>525</v>
      </c>
      <c r="G8" t="s">
        <v>525</v>
      </c>
    </row>
    <row r="9" spans="2:7">
      <c r="B9" t="s">
        <v>525</v>
      </c>
      <c r="C9" t="s">
        <v>525</v>
      </c>
      <c r="D9" t="s">
        <v>525</v>
      </c>
      <c r="E9" t="s">
        <v>525</v>
      </c>
      <c r="F9" t="s">
        <v>525</v>
      </c>
      <c r="G9" t="s">
        <v>525</v>
      </c>
    </row>
    <row r="10" spans="2:7">
      <c r="B10" t="s">
        <v>525</v>
      </c>
      <c r="C10" t="s">
        <v>525</v>
      </c>
      <c r="D10" t="s">
        <v>525</v>
      </c>
      <c r="E10" t="s">
        <v>525</v>
      </c>
      <c r="F10" t="s">
        <v>525</v>
      </c>
      <c r="G10" t="s">
        <v>525</v>
      </c>
    </row>
    <row r="11" spans="2:7">
      <c r="B11" t="s">
        <v>525</v>
      </c>
      <c r="C11" t="s">
        <v>525</v>
      </c>
      <c r="D11" t="s">
        <v>525</v>
      </c>
      <c r="E11" t="s">
        <v>525</v>
      </c>
      <c r="F11" t="s">
        <v>525</v>
      </c>
      <c r="G11" t="s">
        <v>525</v>
      </c>
    </row>
    <row r="12" spans="2:7">
      <c r="B12" t="s">
        <v>525</v>
      </c>
      <c r="C12" t="s">
        <v>525</v>
      </c>
      <c r="D12" t="s">
        <v>525</v>
      </c>
      <c r="E12" t="s">
        <v>525</v>
      </c>
      <c r="F12" t="s">
        <v>525</v>
      </c>
      <c r="G12" t="s">
        <v>525</v>
      </c>
    </row>
    <row r="13" spans="2:7">
      <c r="B13" t="s">
        <v>525</v>
      </c>
      <c r="C13" t="s">
        <v>525</v>
      </c>
      <c r="D13" t="s">
        <v>525</v>
      </c>
      <c r="E13" t="s">
        <v>525</v>
      </c>
      <c r="F13" t="s">
        <v>525</v>
      </c>
      <c r="G13" t="s">
        <v>525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FD04D-D47E-44CC-82BF-79425EBCA9CD}">
  <sheetPr>
    <tabColor rgb="FF7030A0"/>
  </sheetPr>
  <dimension ref="B2:K19"/>
  <sheetViews>
    <sheetView workbookViewId="0"/>
  </sheetViews>
  <sheetFormatPr defaultRowHeight="12.5"/>
  <sheetData>
    <row r="2" spans="2:11">
      <c r="B2" t="s">
        <v>526</v>
      </c>
      <c r="C2" t="s">
        <v>526</v>
      </c>
      <c r="D2" t="s">
        <v>526</v>
      </c>
      <c r="E2" t="s">
        <v>526</v>
      </c>
      <c r="F2" t="s">
        <v>526</v>
      </c>
      <c r="H2" t="s">
        <v>527</v>
      </c>
      <c r="I2" t="s">
        <v>527</v>
      </c>
      <c r="J2" t="s">
        <v>527</v>
      </c>
      <c r="K2" t="s">
        <v>527</v>
      </c>
    </row>
    <row r="3" spans="2:11">
      <c r="B3" t="s">
        <v>526</v>
      </c>
      <c r="C3" t="s">
        <v>526</v>
      </c>
      <c r="D3" t="s">
        <v>526</v>
      </c>
      <c r="E3" t="s">
        <v>526</v>
      </c>
      <c r="F3" t="s">
        <v>526</v>
      </c>
      <c r="H3" t="s">
        <v>527</v>
      </c>
      <c r="I3" t="s">
        <v>527</v>
      </c>
      <c r="J3" t="s">
        <v>527</v>
      </c>
      <c r="K3" t="s">
        <v>527</v>
      </c>
    </row>
    <row r="4" spans="2:11">
      <c r="B4" t="s">
        <v>526</v>
      </c>
      <c r="C4" t="s">
        <v>526</v>
      </c>
      <c r="D4" t="s">
        <v>526</v>
      </c>
      <c r="E4" t="s">
        <v>526</v>
      </c>
      <c r="F4" t="s">
        <v>526</v>
      </c>
      <c r="H4" t="s">
        <v>527</v>
      </c>
      <c r="I4" t="s">
        <v>527</v>
      </c>
      <c r="J4" t="s">
        <v>527</v>
      </c>
      <c r="K4" t="s">
        <v>527</v>
      </c>
    </row>
    <row r="5" spans="2:11">
      <c r="B5" t="s">
        <v>526</v>
      </c>
      <c r="C5" t="s">
        <v>526</v>
      </c>
      <c r="D5" t="s">
        <v>526</v>
      </c>
      <c r="E5" t="s">
        <v>526</v>
      </c>
      <c r="F5" t="s">
        <v>526</v>
      </c>
      <c r="H5" t="s">
        <v>527</v>
      </c>
      <c r="I5" t="s">
        <v>527</v>
      </c>
      <c r="J5" t="s">
        <v>527</v>
      </c>
      <c r="K5" t="s">
        <v>527</v>
      </c>
    </row>
    <row r="6" spans="2:11">
      <c r="B6" t="s">
        <v>526</v>
      </c>
      <c r="C6" t="s">
        <v>526</v>
      </c>
      <c r="D6" t="s">
        <v>526</v>
      </c>
      <c r="E6" t="s">
        <v>526</v>
      </c>
      <c r="F6" t="s">
        <v>526</v>
      </c>
      <c r="H6" t="s">
        <v>527</v>
      </c>
      <c r="I6" t="s">
        <v>527</v>
      </c>
      <c r="J6" t="s">
        <v>527</v>
      </c>
      <c r="K6" t="s">
        <v>527</v>
      </c>
    </row>
    <row r="7" spans="2:11">
      <c r="B7" t="s">
        <v>526</v>
      </c>
      <c r="C7" t="s">
        <v>526</v>
      </c>
      <c r="D7" t="s">
        <v>526</v>
      </c>
      <c r="E7" t="s">
        <v>526</v>
      </c>
      <c r="F7" t="s">
        <v>526</v>
      </c>
      <c r="H7" t="s">
        <v>527</v>
      </c>
      <c r="I7" t="s">
        <v>527</v>
      </c>
      <c r="J7" t="s">
        <v>527</v>
      </c>
      <c r="K7" t="s">
        <v>527</v>
      </c>
    </row>
    <row r="8" spans="2:11">
      <c r="B8" t="s">
        <v>526</v>
      </c>
      <c r="C8" t="s">
        <v>526</v>
      </c>
      <c r="D8" t="s">
        <v>526</v>
      </c>
      <c r="E8" t="s">
        <v>526</v>
      </c>
      <c r="F8" t="s">
        <v>526</v>
      </c>
      <c r="H8" t="s">
        <v>527</v>
      </c>
      <c r="I8" t="s">
        <v>527</v>
      </c>
      <c r="J8" t="s">
        <v>527</v>
      </c>
      <c r="K8" t="s">
        <v>527</v>
      </c>
    </row>
    <row r="9" spans="2:11">
      <c r="B9" t="s">
        <v>526</v>
      </c>
      <c r="C9" t="s">
        <v>526</v>
      </c>
      <c r="D9" t="s">
        <v>526</v>
      </c>
      <c r="E9" t="s">
        <v>526</v>
      </c>
      <c r="F9" t="s">
        <v>526</v>
      </c>
      <c r="H9" t="s">
        <v>527</v>
      </c>
      <c r="I9" t="s">
        <v>527</v>
      </c>
      <c r="J9" t="s">
        <v>527</v>
      </c>
      <c r="K9" t="s">
        <v>527</v>
      </c>
    </row>
    <row r="13" spans="2:11">
      <c r="B13" t="s">
        <v>528</v>
      </c>
      <c r="C13" t="s">
        <v>528</v>
      </c>
      <c r="D13" t="s">
        <v>528</v>
      </c>
      <c r="E13" t="s">
        <v>528</v>
      </c>
      <c r="F13" t="s">
        <v>528</v>
      </c>
    </row>
    <row r="14" spans="2:11">
      <c r="B14" t="s">
        <v>528</v>
      </c>
      <c r="C14" t="s">
        <v>528</v>
      </c>
      <c r="D14" t="s">
        <v>528</v>
      </c>
      <c r="E14" t="s">
        <v>528</v>
      </c>
      <c r="F14" t="s">
        <v>528</v>
      </c>
    </row>
    <row r="15" spans="2:11">
      <c r="B15" t="s">
        <v>528</v>
      </c>
      <c r="C15" t="s">
        <v>528</v>
      </c>
      <c r="D15" t="s">
        <v>528</v>
      </c>
      <c r="E15" t="s">
        <v>528</v>
      </c>
      <c r="F15" t="s">
        <v>528</v>
      </c>
    </row>
    <row r="16" spans="2:11">
      <c r="B16" t="s">
        <v>528</v>
      </c>
      <c r="C16" t="s">
        <v>528</v>
      </c>
      <c r="D16" t="s">
        <v>528</v>
      </c>
      <c r="E16" t="s">
        <v>528</v>
      </c>
      <c r="F16" t="s">
        <v>528</v>
      </c>
    </row>
    <row r="17" spans="2:6">
      <c r="B17" t="s">
        <v>528</v>
      </c>
      <c r="C17" t="s">
        <v>528</v>
      </c>
      <c r="D17" t="s">
        <v>528</v>
      </c>
      <c r="E17" t="s">
        <v>528</v>
      </c>
      <c r="F17" t="s">
        <v>528</v>
      </c>
    </row>
    <row r="18" spans="2:6">
      <c r="B18" t="s">
        <v>528</v>
      </c>
      <c r="C18" t="s">
        <v>528</v>
      </c>
      <c r="D18" t="s">
        <v>528</v>
      </c>
      <c r="E18" t="s">
        <v>528</v>
      </c>
      <c r="F18" t="s">
        <v>528</v>
      </c>
    </row>
    <row r="19" spans="2:6">
      <c r="B19" t="s">
        <v>528</v>
      </c>
      <c r="C19" t="s">
        <v>528</v>
      </c>
      <c r="D19" t="s">
        <v>528</v>
      </c>
      <c r="E19" t="s">
        <v>528</v>
      </c>
      <c r="F19" t="s">
        <v>528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175D5-FFC6-4904-BD32-F4620E4AF2A9}">
  <sheetPr>
    <tabColor rgb="FFFF0000"/>
  </sheetPr>
  <dimension ref="A1:C1025"/>
  <sheetViews>
    <sheetView workbookViewId="0"/>
  </sheetViews>
  <sheetFormatPr defaultRowHeight="12.5"/>
  <sheetData>
    <row r="1" spans="1:3" ht="13">
      <c r="A1" s="12" t="s">
        <v>28</v>
      </c>
      <c r="B1" s="12" t="s">
        <v>30</v>
      </c>
      <c r="C1" s="12" t="s">
        <v>31</v>
      </c>
    </row>
    <row r="2" spans="1:3">
      <c r="A2" s="8">
        <v>135000</v>
      </c>
      <c r="B2" s="8">
        <v>1</v>
      </c>
      <c r="C2" s="9">
        <v>1.9607843137254902E-2</v>
      </c>
    </row>
    <row r="3" spans="1:3">
      <c r="A3" s="8">
        <v>135698.92473118281</v>
      </c>
      <c r="B3" s="8">
        <v>0</v>
      </c>
      <c r="C3" s="9">
        <v>1.9607843137254902E-2</v>
      </c>
    </row>
    <row r="4" spans="1:3">
      <c r="A4" s="8">
        <v>136397.84946236559</v>
      </c>
      <c r="B4" s="8">
        <v>0</v>
      </c>
      <c r="C4" s="9">
        <v>1.9607843137254902E-2</v>
      </c>
    </row>
    <row r="5" spans="1:3">
      <c r="A5" s="8">
        <v>137096.77419354839</v>
      </c>
      <c r="B5" s="8">
        <v>0</v>
      </c>
      <c r="C5" s="9">
        <v>1.9607843137254902E-2</v>
      </c>
    </row>
    <row r="6" spans="1:3">
      <c r="A6" s="8">
        <v>137795.69892473117</v>
      </c>
      <c r="B6" s="8">
        <v>0</v>
      </c>
      <c r="C6" s="9">
        <v>1.9607843137254902E-2</v>
      </c>
    </row>
    <row r="7" spans="1:3">
      <c r="A7" s="8">
        <v>138494.62365591398</v>
      </c>
      <c r="B7" s="8">
        <v>0</v>
      </c>
      <c r="C7" s="9">
        <v>1.9607843137254902E-2</v>
      </c>
    </row>
    <row r="8" spans="1:3">
      <c r="A8" s="8">
        <v>139193.54838709679</v>
      </c>
      <c r="B8" s="8">
        <v>0</v>
      </c>
      <c r="C8" s="9">
        <v>1.9607843137254902E-2</v>
      </c>
    </row>
    <row r="9" spans="1:3">
      <c r="A9" s="8">
        <v>139892.47311827957</v>
      </c>
      <c r="B9" s="8">
        <v>0</v>
      </c>
      <c r="C9" s="9">
        <v>1.9607843137254902E-2</v>
      </c>
    </row>
    <row r="10" spans="1:3">
      <c r="A10" s="8">
        <v>140591.39784946237</v>
      </c>
      <c r="B10" s="8">
        <v>0</v>
      </c>
      <c r="C10" s="9">
        <v>1.9607843137254902E-2</v>
      </c>
    </row>
    <row r="11" spans="1:3">
      <c r="A11" s="8">
        <v>141290.32258064515</v>
      </c>
      <c r="B11" s="8">
        <v>0</v>
      </c>
      <c r="C11" s="9">
        <v>1.9607843137254902E-2</v>
      </c>
    </row>
    <row r="12" spans="1:3">
      <c r="A12" s="8">
        <v>141989.24731182796</v>
      </c>
      <c r="B12" s="8">
        <v>0</v>
      </c>
      <c r="C12" s="9">
        <v>1.9607843137254902E-2</v>
      </c>
    </row>
    <row r="13" spans="1:3">
      <c r="A13" s="8">
        <v>142688.17204301077</v>
      </c>
      <c r="B13" s="8">
        <v>0</v>
      </c>
      <c r="C13" s="9">
        <v>1.9607843137254902E-2</v>
      </c>
    </row>
    <row r="14" spans="1:3">
      <c r="A14" s="8">
        <v>143387.09677419355</v>
      </c>
      <c r="B14" s="8">
        <v>0</v>
      </c>
      <c r="C14" s="9">
        <v>1.9607843137254902E-2</v>
      </c>
    </row>
    <row r="15" spans="1:3">
      <c r="A15" s="8">
        <v>144086.02150537635</v>
      </c>
      <c r="B15" s="8">
        <v>0</v>
      </c>
      <c r="C15" s="9">
        <v>1.9607843137254902E-2</v>
      </c>
    </row>
    <row r="16" spans="1:3">
      <c r="A16" s="8">
        <v>144784.94623655913</v>
      </c>
      <c r="B16" s="8">
        <v>0</v>
      </c>
      <c r="C16" s="9">
        <v>1.9607843137254902E-2</v>
      </c>
    </row>
    <row r="17" spans="1:3">
      <c r="A17" s="8">
        <v>145483.87096774194</v>
      </c>
      <c r="B17" s="8">
        <v>0</v>
      </c>
      <c r="C17" s="9">
        <v>1.9607843137254902E-2</v>
      </c>
    </row>
    <row r="18" spans="1:3">
      <c r="A18" s="8">
        <v>146182.79569892472</v>
      </c>
      <c r="B18" s="8">
        <v>0</v>
      </c>
      <c r="C18" s="9">
        <v>1.9607843137254902E-2</v>
      </c>
    </row>
    <row r="19" spans="1:3">
      <c r="A19" s="8">
        <v>146881.72043010753</v>
      </c>
      <c r="B19" s="8">
        <v>0</v>
      </c>
      <c r="C19" s="9">
        <v>1.9607843137254902E-2</v>
      </c>
    </row>
    <row r="20" spans="1:3">
      <c r="A20" s="8">
        <v>147580.64516129033</v>
      </c>
      <c r="B20" s="8">
        <v>0</v>
      </c>
      <c r="C20" s="9">
        <v>1.9607843137254902E-2</v>
      </c>
    </row>
    <row r="21" spans="1:3">
      <c r="A21" s="8">
        <v>148279.56989247311</v>
      </c>
      <c r="B21" s="8">
        <v>0</v>
      </c>
      <c r="C21" s="9">
        <v>1.9607843137254902E-2</v>
      </c>
    </row>
    <row r="22" spans="1:3">
      <c r="A22" s="8">
        <v>148978.49462365592</v>
      </c>
      <c r="B22" s="8">
        <v>0</v>
      </c>
      <c r="C22" s="9">
        <v>1.9607843137254902E-2</v>
      </c>
    </row>
    <row r="23" spans="1:3">
      <c r="A23" s="8">
        <v>149677.4193548387</v>
      </c>
      <c r="B23" s="8">
        <v>0</v>
      </c>
      <c r="C23" s="9">
        <v>1.9607843137254902E-2</v>
      </c>
    </row>
    <row r="24" spans="1:3">
      <c r="A24" s="8">
        <v>150376.34408602151</v>
      </c>
      <c r="B24" s="8">
        <v>0</v>
      </c>
      <c r="C24" s="9">
        <v>1.9607843137254902E-2</v>
      </c>
    </row>
    <row r="25" spans="1:3">
      <c r="A25" s="8">
        <v>151075.26881720431</v>
      </c>
      <c r="B25" s="8">
        <v>0</v>
      </c>
      <c r="C25" s="9">
        <v>1.9607843137254902E-2</v>
      </c>
    </row>
    <row r="26" spans="1:3">
      <c r="A26" s="8">
        <v>151774.19354838709</v>
      </c>
      <c r="B26" s="8">
        <v>0</v>
      </c>
      <c r="C26" s="9">
        <v>1.9607843137254902E-2</v>
      </c>
    </row>
    <row r="27" spans="1:3">
      <c r="A27" s="8">
        <v>152473.1182795699</v>
      </c>
      <c r="B27" s="8">
        <v>0</v>
      </c>
      <c r="C27" s="9">
        <v>1.9607843137254902E-2</v>
      </c>
    </row>
    <row r="28" spans="1:3">
      <c r="A28" s="8">
        <v>153172.04301075268</v>
      </c>
      <c r="B28" s="8">
        <v>0</v>
      </c>
      <c r="C28" s="9">
        <v>1.9607843137254902E-2</v>
      </c>
    </row>
    <row r="29" spans="1:3">
      <c r="A29" s="8">
        <v>153870.96774193548</v>
      </c>
      <c r="B29" s="8">
        <v>0</v>
      </c>
      <c r="C29" s="9">
        <v>1.9607843137254902E-2</v>
      </c>
    </row>
    <row r="30" spans="1:3">
      <c r="A30" s="8">
        <v>154569.89247311826</v>
      </c>
      <c r="B30" s="8">
        <v>0</v>
      </c>
      <c r="C30" s="9">
        <v>1.9607843137254902E-2</v>
      </c>
    </row>
    <row r="31" spans="1:3">
      <c r="A31" s="8">
        <v>155268.81720430107</v>
      </c>
      <c r="B31" s="8">
        <v>1</v>
      </c>
      <c r="C31" s="9">
        <v>3.9215686274509803E-2</v>
      </c>
    </row>
    <row r="32" spans="1:3">
      <c r="A32" s="8">
        <v>155967.74193548388</v>
      </c>
      <c r="B32" s="8">
        <v>0</v>
      </c>
      <c r="C32" s="9">
        <v>3.9215686274509803E-2</v>
      </c>
    </row>
    <row r="33" spans="1:3">
      <c r="A33" s="8">
        <v>156666.66666666666</v>
      </c>
      <c r="B33" s="8">
        <v>0</v>
      </c>
      <c r="C33" s="9">
        <v>3.9215686274509803E-2</v>
      </c>
    </row>
    <row r="34" spans="1:3">
      <c r="A34" s="8">
        <v>157365.59139784946</v>
      </c>
      <c r="B34" s="8">
        <v>0</v>
      </c>
      <c r="C34" s="9">
        <v>3.9215686274509803E-2</v>
      </c>
    </row>
    <row r="35" spans="1:3">
      <c r="A35" s="8">
        <v>158064.51612903224</v>
      </c>
      <c r="B35" s="8">
        <v>0</v>
      </c>
      <c r="C35" s="9">
        <v>3.9215686274509803E-2</v>
      </c>
    </row>
    <row r="36" spans="1:3">
      <c r="A36" s="8">
        <v>158763.44086021505</v>
      </c>
      <c r="B36" s="8">
        <v>0</v>
      </c>
      <c r="C36" s="9">
        <v>3.9215686274509803E-2</v>
      </c>
    </row>
    <row r="37" spans="1:3">
      <c r="A37" s="8">
        <v>159462.36559139786</v>
      </c>
      <c r="B37" s="8">
        <v>0</v>
      </c>
      <c r="C37" s="9">
        <v>3.9215686274509803E-2</v>
      </c>
    </row>
    <row r="38" spans="1:3">
      <c r="A38" s="8">
        <v>160161.29032258064</v>
      </c>
      <c r="B38" s="8">
        <v>0</v>
      </c>
      <c r="C38" s="9">
        <v>3.9215686274509803E-2</v>
      </c>
    </row>
    <row r="39" spans="1:3">
      <c r="A39" s="8">
        <v>160860.21505376344</v>
      </c>
      <c r="B39" s="8">
        <v>0</v>
      </c>
      <c r="C39" s="9">
        <v>3.9215686274509803E-2</v>
      </c>
    </row>
    <row r="40" spans="1:3">
      <c r="A40" s="8">
        <v>161559.13978494622</v>
      </c>
      <c r="B40" s="8">
        <v>0</v>
      </c>
      <c r="C40" s="9">
        <v>3.9215686274509803E-2</v>
      </c>
    </row>
    <row r="41" spans="1:3">
      <c r="A41" s="8">
        <v>162258.06451612903</v>
      </c>
      <c r="B41" s="8">
        <v>0</v>
      </c>
      <c r="C41" s="9">
        <v>3.9215686274509803E-2</v>
      </c>
    </row>
    <row r="42" spans="1:3">
      <c r="A42" s="8">
        <v>162956.98924731184</v>
      </c>
      <c r="B42" s="8">
        <v>0</v>
      </c>
      <c r="C42" s="9">
        <v>3.9215686274509803E-2</v>
      </c>
    </row>
    <row r="43" spans="1:3">
      <c r="A43" s="8">
        <v>163655.91397849462</v>
      </c>
      <c r="B43" s="8">
        <v>0</v>
      </c>
      <c r="C43" s="9">
        <v>3.9215686274509803E-2</v>
      </c>
    </row>
    <row r="44" spans="1:3">
      <c r="A44" s="8">
        <v>164354.83870967742</v>
      </c>
      <c r="B44" s="8">
        <v>0</v>
      </c>
      <c r="C44" s="9">
        <v>3.9215686274509803E-2</v>
      </c>
    </row>
    <row r="45" spans="1:3">
      <c r="A45" s="8">
        <v>165053.7634408602</v>
      </c>
      <c r="B45" s="8">
        <v>0</v>
      </c>
      <c r="C45" s="9">
        <v>3.9215686274509803E-2</v>
      </c>
    </row>
    <row r="46" spans="1:3">
      <c r="A46" s="8">
        <v>165752.68817204301</v>
      </c>
      <c r="B46" s="8">
        <v>0</v>
      </c>
      <c r="C46" s="9">
        <v>3.9215686274509803E-2</v>
      </c>
    </row>
    <row r="47" spans="1:3">
      <c r="A47" s="8">
        <v>166451.61290322582</v>
      </c>
      <c r="B47" s="8">
        <v>0</v>
      </c>
      <c r="C47" s="9">
        <v>3.9215686274509803E-2</v>
      </c>
    </row>
    <row r="48" spans="1:3">
      <c r="A48" s="8">
        <v>167150.5376344086</v>
      </c>
      <c r="B48" s="8">
        <v>0</v>
      </c>
      <c r="C48" s="9">
        <v>3.9215686274509803E-2</v>
      </c>
    </row>
    <row r="49" spans="1:3">
      <c r="A49" s="8">
        <v>167849.4623655914</v>
      </c>
      <c r="B49" s="8">
        <v>0</v>
      </c>
      <c r="C49" s="9">
        <v>3.9215686274509803E-2</v>
      </c>
    </row>
    <row r="50" spans="1:3">
      <c r="A50" s="8">
        <v>168548.38709677418</v>
      </c>
      <c r="B50" s="8">
        <v>0</v>
      </c>
      <c r="C50" s="9">
        <v>3.9215686274509803E-2</v>
      </c>
    </row>
    <row r="51" spans="1:3">
      <c r="A51" s="8">
        <v>169247.31182795699</v>
      </c>
      <c r="B51" s="8">
        <v>0</v>
      </c>
      <c r="C51" s="9">
        <v>3.9215686274509803E-2</v>
      </c>
    </row>
    <row r="52" spans="1:3">
      <c r="A52" s="8">
        <v>169946.2365591398</v>
      </c>
      <c r="B52" s="8">
        <v>0</v>
      </c>
      <c r="C52" s="9">
        <v>3.9215686274509803E-2</v>
      </c>
    </row>
    <row r="53" spans="1:3">
      <c r="A53" s="8">
        <v>170645.16129032258</v>
      </c>
      <c r="B53" s="8">
        <v>0</v>
      </c>
      <c r="C53" s="9">
        <v>3.9215686274509803E-2</v>
      </c>
    </row>
    <row r="54" spans="1:3">
      <c r="A54" s="8">
        <v>171344.08602150538</v>
      </c>
      <c r="B54" s="8">
        <v>0</v>
      </c>
      <c r="C54" s="9">
        <v>3.9215686274509803E-2</v>
      </c>
    </row>
    <row r="55" spans="1:3">
      <c r="A55" s="8">
        <v>172043.01075268816</v>
      </c>
      <c r="B55" s="8">
        <v>0</v>
      </c>
      <c r="C55" s="9">
        <v>3.9215686274509803E-2</v>
      </c>
    </row>
    <row r="56" spans="1:3">
      <c r="A56" s="8">
        <v>172741.93548387097</v>
      </c>
      <c r="B56" s="8">
        <v>0</v>
      </c>
      <c r="C56" s="9">
        <v>3.9215686274509803E-2</v>
      </c>
    </row>
    <row r="57" spans="1:3">
      <c r="A57" s="8">
        <v>173440.86021505378</v>
      </c>
      <c r="B57" s="8">
        <v>0</v>
      </c>
      <c r="C57" s="9">
        <v>3.9215686274509803E-2</v>
      </c>
    </row>
    <row r="58" spans="1:3">
      <c r="A58" s="8">
        <v>174139.78494623656</v>
      </c>
      <c r="B58" s="8">
        <v>0</v>
      </c>
      <c r="C58" s="9">
        <v>3.9215686274509803E-2</v>
      </c>
    </row>
    <row r="59" spans="1:3">
      <c r="A59" s="8">
        <v>174838.70967741933</v>
      </c>
      <c r="B59" s="8">
        <v>0</v>
      </c>
      <c r="C59" s="9">
        <v>3.9215686274509803E-2</v>
      </c>
    </row>
    <row r="60" spans="1:3">
      <c r="A60" s="8">
        <v>175537.63440860214</v>
      </c>
      <c r="B60" s="8">
        <v>2</v>
      </c>
      <c r="C60" s="9">
        <v>7.8431372549019607E-2</v>
      </c>
    </row>
    <row r="61" spans="1:3">
      <c r="A61" s="8">
        <v>176236.55913978495</v>
      </c>
      <c r="B61" s="8">
        <v>0</v>
      </c>
      <c r="C61" s="9">
        <v>7.8431372549019607E-2</v>
      </c>
    </row>
    <row r="62" spans="1:3">
      <c r="A62" s="8">
        <v>176935.48387096776</v>
      </c>
      <c r="B62" s="8">
        <v>0</v>
      </c>
      <c r="C62" s="9">
        <v>7.8431372549019607E-2</v>
      </c>
    </row>
    <row r="63" spans="1:3">
      <c r="A63" s="8">
        <v>177634.40860215054</v>
      </c>
      <c r="B63" s="8">
        <v>0</v>
      </c>
      <c r="C63" s="9">
        <v>7.8431372549019607E-2</v>
      </c>
    </row>
    <row r="64" spans="1:3">
      <c r="A64" s="8">
        <v>178333.33333333331</v>
      </c>
      <c r="B64" s="8">
        <v>1</v>
      </c>
      <c r="C64" s="9">
        <v>9.8039215686274508E-2</v>
      </c>
    </row>
    <row r="65" spans="1:3">
      <c r="A65" s="8">
        <v>179032.25806451612</v>
      </c>
      <c r="B65" s="8">
        <v>0</v>
      </c>
      <c r="C65" s="9">
        <v>9.8039215686274508E-2</v>
      </c>
    </row>
    <row r="66" spans="1:3">
      <c r="A66" s="8">
        <v>179731.18279569893</v>
      </c>
      <c r="B66" s="8">
        <v>0</v>
      </c>
      <c r="C66" s="9">
        <v>9.8039215686274508E-2</v>
      </c>
    </row>
    <row r="67" spans="1:3">
      <c r="A67" s="8">
        <v>180430.10752688171</v>
      </c>
      <c r="B67" s="8">
        <v>1</v>
      </c>
      <c r="C67" s="9">
        <v>0.11764705882352941</v>
      </c>
    </row>
    <row r="68" spans="1:3">
      <c r="A68" s="8">
        <v>181129.03225806452</v>
      </c>
      <c r="B68" s="8">
        <v>0</v>
      </c>
      <c r="C68" s="9">
        <v>0.11764705882352941</v>
      </c>
    </row>
    <row r="69" spans="1:3">
      <c r="A69" s="8">
        <v>181827.95698924729</v>
      </c>
      <c r="B69" s="8">
        <v>0</v>
      </c>
      <c r="C69" s="9">
        <v>0.11764705882352941</v>
      </c>
    </row>
    <row r="70" spans="1:3">
      <c r="A70" s="8">
        <v>182526.8817204301</v>
      </c>
      <c r="B70" s="8">
        <v>0</v>
      </c>
      <c r="C70" s="9">
        <v>0.11764705882352941</v>
      </c>
    </row>
    <row r="71" spans="1:3">
      <c r="A71" s="8">
        <v>183225.80645161291</v>
      </c>
      <c r="B71" s="8">
        <v>0</v>
      </c>
      <c r="C71" s="9">
        <v>0.11764705882352941</v>
      </c>
    </row>
    <row r="72" spans="1:3">
      <c r="A72" s="8">
        <v>183924.73118279569</v>
      </c>
      <c r="B72" s="8">
        <v>0</v>
      </c>
      <c r="C72" s="9">
        <v>0.11764705882352941</v>
      </c>
    </row>
    <row r="73" spans="1:3">
      <c r="A73" s="8">
        <v>184623.65591397849</v>
      </c>
      <c r="B73" s="8">
        <v>0</v>
      </c>
      <c r="C73" s="9">
        <v>0.11764705882352941</v>
      </c>
    </row>
    <row r="74" spans="1:3">
      <c r="A74" s="8">
        <v>185322.58064516127</v>
      </c>
      <c r="B74" s="8">
        <v>1</v>
      </c>
      <c r="C74" s="9">
        <v>0.13725490196078433</v>
      </c>
    </row>
    <row r="75" spans="1:3">
      <c r="A75" s="8">
        <v>186021.50537634408</v>
      </c>
      <c r="B75" s="8">
        <v>0</v>
      </c>
      <c r="C75" s="9">
        <v>0.13725490196078433</v>
      </c>
    </row>
    <row r="76" spans="1:3">
      <c r="A76" s="8">
        <v>186720.43010752689</v>
      </c>
      <c r="B76" s="8">
        <v>0</v>
      </c>
      <c r="C76" s="9">
        <v>0.13725490196078433</v>
      </c>
    </row>
    <row r="77" spans="1:3">
      <c r="A77" s="8">
        <v>187419.35483870967</v>
      </c>
      <c r="B77" s="8">
        <v>0</v>
      </c>
      <c r="C77" s="9">
        <v>0.13725490196078433</v>
      </c>
    </row>
    <row r="78" spans="1:3">
      <c r="A78" s="8">
        <v>188118.27956989247</v>
      </c>
      <c r="B78" s="8">
        <v>0</v>
      </c>
      <c r="C78" s="9">
        <v>0.13725490196078433</v>
      </c>
    </row>
    <row r="79" spans="1:3">
      <c r="A79" s="8">
        <v>188817.20430107525</v>
      </c>
      <c r="B79" s="8">
        <v>0</v>
      </c>
      <c r="C79" s="9">
        <v>0.13725490196078433</v>
      </c>
    </row>
    <row r="80" spans="1:3">
      <c r="A80" s="8">
        <v>189516.12903225806</v>
      </c>
      <c r="B80" s="8">
        <v>0</v>
      </c>
      <c r="C80" s="9">
        <v>0.13725490196078433</v>
      </c>
    </row>
    <row r="81" spans="1:3">
      <c r="A81" s="8">
        <v>190215.05376344087</v>
      </c>
      <c r="B81" s="8">
        <v>0</v>
      </c>
      <c r="C81" s="9">
        <v>0.13725490196078433</v>
      </c>
    </row>
    <row r="82" spans="1:3">
      <c r="A82" s="8">
        <v>190913.97849462365</v>
      </c>
      <c r="B82" s="8">
        <v>0</v>
      </c>
      <c r="C82" s="9">
        <v>0.13725490196078433</v>
      </c>
    </row>
    <row r="83" spans="1:3">
      <c r="A83" s="8">
        <v>191612.90322580645</v>
      </c>
      <c r="B83" s="8">
        <v>0</v>
      </c>
      <c r="C83" s="9">
        <v>0.13725490196078433</v>
      </c>
    </row>
    <row r="84" spans="1:3">
      <c r="A84" s="8">
        <v>192311.82795698923</v>
      </c>
      <c r="B84" s="8">
        <v>0</v>
      </c>
      <c r="C84" s="9">
        <v>0.13725490196078433</v>
      </c>
    </row>
    <row r="85" spans="1:3">
      <c r="A85" s="8">
        <v>193010.75268817204</v>
      </c>
      <c r="B85" s="8">
        <v>0</v>
      </c>
      <c r="C85" s="9">
        <v>0.13725490196078433</v>
      </c>
    </row>
    <row r="86" spans="1:3">
      <c r="A86" s="8">
        <v>193709.67741935485</v>
      </c>
      <c r="B86" s="8">
        <v>0</v>
      </c>
      <c r="C86" s="9">
        <v>0.13725490196078433</v>
      </c>
    </row>
    <row r="87" spans="1:3">
      <c r="A87" s="8">
        <v>194408.60215053763</v>
      </c>
      <c r="B87" s="8">
        <v>0</v>
      </c>
      <c r="C87" s="9">
        <v>0.13725490196078433</v>
      </c>
    </row>
    <row r="88" spans="1:3">
      <c r="A88" s="8">
        <v>195107.52688172043</v>
      </c>
      <c r="B88" s="8">
        <v>0</v>
      </c>
      <c r="C88" s="9">
        <v>0.13725490196078433</v>
      </c>
    </row>
    <row r="89" spans="1:3">
      <c r="A89" s="8">
        <v>195806.45161290321</v>
      </c>
      <c r="B89" s="8">
        <v>0</v>
      </c>
      <c r="C89" s="9">
        <v>0.13725490196078433</v>
      </c>
    </row>
    <row r="90" spans="1:3">
      <c r="A90" s="8">
        <v>196505.37634408602</v>
      </c>
      <c r="B90" s="8">
        <v>0</v>
      </c>
      <c r="C90" s="9">
        <v>0.13725490196078433</v>
      </c>
    </row>
    <row r="91" spans="1:3">
      <c r="A91" s="8">
        <v>197204.30107526883</v>
      </c>
      <c r="B91" s="8">
        <v>0</v>
      </c>
      <c r="C91" s="9">
        <v>0.13725490196078433</v>
      </c>
    </row>
    <row r="92" spans="1:3">
      <c r="A92" s="8">
        <v>197903.22580645161</v>
      </c>
      <c r="B92" s="8">
        <v>0</v>
      </c>
      <c r="C92" s="9">
        <v>0.13725490196078433</v>
      </c>
    </row>
    <row r="93" spans="1:3">
      <c r="A93" s="8">
        <v>198602.15053763441</v>
      </c>
      <c r="B93" s="8">
        <v>0</v>
      </c>
      <c r="C93" s="9">
        <v>0.13725490196078433</v>
      </c>
    </row>
    <row r="94" spans="1:3">
      <c r="A94" s="8">
        <v>199301.07526881719</v>
      </c>
      <c r="B94" s="8">
        <v>0</v>
      </c>
      <c r="C94" s="9">
        <v>0.13725490196078433</v>
      </c>
    </row>
    <row r="95" spans="1:3">
      <c r="A95" s="8">
        <v>200000</v>
      </c>
      <c r="B95" s="8">
        <v>1</v>
      </c>
      <c r="C95" s="9">
        <v>0.15686274509803921</v>
      </c>
    </row>
    <row r="96" spans="1:3">
      <c r="A96" s="8">
        <v>200698.92473118281</v>
      </c>
      <c r="B96" s="8">
        <v>0</v>
      </c>
      <c r="C96" s="9">
        <v>0.15686274509803921</v>
      </c>
    </row>
    <row r="97" spans="1:3">
      <c r="A97" s="8">
        <v>201397.84946236559</v>
      </c>
      <c r="B97" s="8">
        <v>0</v>
      </c>
      <c r="C97" s="9">
        <v>0.15686274509803921</v>
      </c>
    </row>
    <row r="98" spans="1:3">
      <c r="A98" s="8">
        <v>202096.77419354836</v>
      </c>
      <c r="B98" s="8">
        <v>0</v>
      </c>
      <c r="C98" s="9">
        <v>0.15686274509803921</v>
      </c>
    </row>
    <row r="99" spans="1:3">
      <c r="A99" s="8">
        <v>202795.69892473117</v>
      </c>
      <c r="B99" s="8">
        <v>0</v>
      </c>
      <c r="C99" s="9">
        <v>0.15686274509803921</v>
      </c>
    </row>
    <row r="100" spans="1:3">
      <c r="A100" s="8">
        <v>203494.62365591398</v>
      </c>
      <c r="B100" s="8">
        <v>0</v>
      </c>
      <c r="C100" s="9">
        <v>0.15686274509803921</v>
      </c>
    </row>
    <row r="101" spans="1:3">
      <c r="A101" s="8">
        <v>204193.54838709679</v>
      </c>
      <c r="B101" s="8">
        <v>0</v>
      </c>
      <c r="C101" s="9">
        <v>0.15686274509803921</v>
      </c>
    </row>
    <row r="102" spans="1:3">
      <c r="A102" s="8">
        <v>204892.47311827957</v>
      </c>
      <c r="B102" s="8">
        <v>0</v>
      </c>
      <c r="C102" s="9">
        <v>0.15686274509803921</v>
      </c>
    </row>
    <row r="103" spans="1:3">
      <c r="A103" s="8">
        <v>205591.39784946234</v>
      </c>
      <c r="B103" s="8">
        <v>1</v>
      </c>
      <c r="C103" s="9">
        <v>0.17647058823529413</v>
      </c>
    </row>
    <row r="104" spans="1:3">
      <c r="A104" s="8">
        <v>206290.32258064515</v>
      </c>
      <c r="B104" s="8">
        <v>0</v>
      </c>
      <c r="C104" s="9">
        <v>0.17647058823529413</v>
      </c>
    </row>
    <row r="105" spans="1:3">
      <c r="A105" s="8">
        <v>206989.24731182796</v>
      </c>
      <c r="B105" s="8">
        <v>0</v>
      </c>
      <c r="C105" s="9">
        <v>0.17647058823529413</v>
      </c>
    </row>
    <row r="106" spans="1:3">
      <c r="A106" s="8">
        <v>207688.17204301077</v>
      </c>
      <c r="B106" s="8">
        <v>0</v>
      </c>
      <c r="C106" s="9">
        <v>0.17647058823529413</v>
      </c>
    </row>
    <row r="107" spans="1:3">
      <c r="A107" s="8">
        <v>208387.09677419355</v>
      </c>
      <c r="B107" s="8">
        <v>0</v>
      </c>
      <c r="C107" s="9">
        <v>0.17647058823529413</v>
      </c>
    </row>
    <row r="108" spans="1:3">
      <c r="A108" s="8">
        <v>209086.02150537632</v>
      </c>
      <c r="B108" s="8">
        <v>0</v>
      </c>
      <c r="C108" s="9">
        <v>0.17647058823529413</v>
      </c>
    </row>
    <row r="109" spans="1:3">
      <c r="A109" s="8">
        <v>209784.94623655913</v>
      </c>
      <c r="B109" s="8">
        <v>0</v>
      </c>
      <c r="C109" s="9">
        <v>0.17647058823529413</v>
      </c>
    </row>
    <row r="110" spans="1:3">
      <c r="A110" s="8">
        <v>210483.87096774194</v>
      </c>
      <c r="B110" s="8">
        <v>0</v>
      </c>
      <c r="C110" s="9">
        <v>0.17647058823529413</v>
      </c>
    </row>
    <row r="111" spans="1:3">
      <c r="A111" s="8">
        <v>211182.79569892475</v>
      </c>
      <c r="B111" s="8">
        <v>0</v>
      </c>
      <c r="C111" s="9">
        <v>0.17647058823529413</v>
      </c>
    </row>
    <row r="112" spans="1:3">
      <c r="A112" s="8">
        <v>211881.72043010753</v>
      </c>
      <c r="B112" s="8">
        <v>0</v>
      </c>
      <c r="C112" s="9">
        <v>0.17647058823529413</v>
      </c>
    </row>
    <row r="113" spans="1:3">
      <c r="A113" s="8">
        <v>212580.6451612903</v>
      </c>
      <c r="B113" s="8">
        <v>0</v>
      </c>
      <c r="C113" s="9">
        <v>0.17647058823529413</v>
      </c>
    </row>
    <row r="114" spans="1:3">
      <c r="A114" s="8">
        <v>213279.56989247311</v>
      </c>
      <c r="B114" s="8">
        <v>0</v>
      </c>
      <c r="C114" s="9">
        <v>0.17647058823529413</v>
      </c>
    </row>
    <row r="115" spans="1:3">
      <c r="A115" s="8">
        <v>213978.49462365592</v>
      </c>
      <c r="B115" s="8">
        <v>0</v>
      </c>
      <c r="C115" s="9">
        <v>0.17647058823529413</v>
      </c>
    </row>
    <row r="116" spans="1:3">
      <c r="A116" s="8">
        <v>214677.4193548387</v>
      </c>
      <c r="B116" s="8">
        <v>0</v>
      </c>
      <c r="C116" s="9">
        <v>0.17647058823529413</v>
      </c>
    </row>
    <row r="117" spans="1:3">
      <c r="A117" s="8">
        <v>215376.34408602151</v>
      </c>
      <c r="B117" s="8">
        <v>0</v>
      </c>
      <c r="C117" s="9">
        <v>0.17647058823529413</v>
      </c>
    </row>
    <row r="118" spans="1:3">
      <c r="A118" s="8">
        <v>216075.26881720428</v>
      </c>
      <c r="B118" s="8">
        <v>0</v>
      </c>
      <c r="C118" s="9">
        <v>0.17647058823529413</v>
      </c>
    </row>
    <row r="119" spans="1:3">
      <c r="A119" s="8">
        <v>216774.19354838709</v>
      </c>
      <c r="B119" s="8">
        <v>0</v>
      </c>
      <c r="C119" s="9">
        <v>0.17647058823529413</v>
      </c>
    </row>
    <row r="120" spans="1:3">
      <c r="A120" s="8">
        <v>217473.1182795699</v>
      </c>
      <c r="B120" s="8">
        <v>0</v>
      </c>
      <c r="C120" s="9">
        <v>0.17647058823529413</v>
      </c>
    </row>
    <row r="121" spans="1:3">
      <c r="A121" s="8">
        <v>218172.04301075268</v>
      </c>
      <c r="B121" s="8">
        <v>0</v>
      </c>
      <c r="C121" s="9">
        <v>0.17647058823529413</v>
      </c>
    </row>
    <row r="122" spans="1:3">
      <c r="A122" s="8">
        <v>218870.96774193548</v>
      </c>
      <c r="B122" s="8">
        <v>0</v>
      </c>
      <c r="C122" s="9">
        <v>0.17647058823529413</v>
      </c>
    </row>
    <row r="123" spans="1:3">
      <c r="A123" s="8">
        <v>219569.89247311826</v>
      </c>
      <c r="B123" s="8">
        <v>0</v>
      </c>
      <c r="C123" s="9">
        <v>0.17647058823529413</v>
      </c>
    </row>
    <row r="124" spans="1:3">
      <c r="A124" s="8">
        <v>220268.81720430107</v>
      </c>
      <c r="B124" s="8">
        <v>2</v>
      </c>
      <c r="C124" s="9">
        <v>0.21568627450980393</v>
      </c>
    </row>
    <row r="125" spans="1:3">
      <c r="A125" s="8">
        <v>220967.74193548388</v>
      </c>
      <c r="B125" s="8">
        <v>0</v>
      </c>
      <c r="C125" s="9">
        <v>0.21568627450980393</v>
      </c>
    </row>
    <row r="126" spans="1:3">
      <c r="A126" s="8">
        <v>221666.66666666666</v>
      </c>
      <c r="B126" s="8">
        <v>0</v>
      </c>
      <c r="C126" s="9">
        <v>0.21568627450980393</v>
      </c>
    </row>
    <row r="127" spans="1:3">
      <c r="A127" s="8">
        <v>222365.59139784944</v>
      </c>
      <c r="B127" s="8">
        <v>0</v>
      </c>
      <c r="C127" s="9">
        <v>0.21568627450980393</v>
      </c>
    </row>
    <row r="128" spans="1:3">
      <c r="A128" s="8">
        <v>223064.51612903224</v>
      </c>
      <c r="B128" s="8">
        <v>0</v>
      </c>
      <c r="C128" s="9">
        <v>0.21568627450980393</v>
      </c>
    </row>
    <row r="129" spans="1:3">
      <c r="A129" s="8">
        <v>223763.44086021505</v>
      </c>
      <c r="B129" s="8">
        <v>0</v>
      </c>
      <c r="C129" s="9">
        <v>0.21568627450980393</v>
      </c>
    </row>
    <row r="130" spans="1:3">
      <c r="A130" s="8">
        <v>224462.36559139786</v>
      </c>
      <c r="B130" s="8">
        <v>0</v>
      </c>
      <c r="C130" s="9">
        <v>0.21568627450980393</v>
      </c>
    </row>
    <row r="131" spans="1:3">
      <c r="A131" s="8">
        <v>225161.29032258064</v>
      </c>
      <c r="B131" s="8">
        <v>1</v>
      </c>
      <c r="C131" s="9">
        <v>0.23529411764705882</v>
      </c>
    </row>
    <row r="132" spans="1:3">
      <c r="A132" s="8">
        <v>225860.21505376342</v>
      </c>
      <c r="B132" s="8">
        <v>0</v>
      </c>
      <c r="C132" s="9">
        <v>0.23529411764705882</v>
      </c>
    </row>
    <row r="133" spans="1:3">
      <c r="A133" s="8">
        <v>226559.13978494622</v>
      </c>
      <c r="B133" s="8">
        <v>0</v>
      </c>
      <c r="C133" s="9">
        <v>0.23529411764705882</v>
      </c>
    </row>
    <row r="134" spans="1:3">
      <c r="A134" s="8">
        <v>227258.06451612903</v>
      </c>
      <c r="B134" s="8">
        <v>0</v>
      </c>
      <c r="C134" s="9">
        <v>0.23529411764705882</v>
      </c>
    </row>
    <row r="135" spans="1:3">
      <c r="A135" s="8">
        <v>227956.98924731184</v>
      </c>
      <c r="B135" s="8">
        <v>0</v>
      </c>
      <c r="C135" s="9">
        <v>0.23529411764705882</v>
      </c>
    </row>
    <row r="136" spans="1:3">
      <c r="A136" s="8">
        <v>228655.91397849462</v>
      </c>
      <c r="B136" s="8">
        <v>0</v>
      </c>
      <c r="C136" s="9">
        <v>0.23529411764705882</v>
      </c>
    </row>
    <row r="137" spans="1:3">
      <c r="A137" s="8">
        <v>229354.83870967739</v>
      </c>
      <c r="B137" s="8">
        <v>0</v>
      </c>
      <c r="C137" s="9">
        <v>0.23529411764705882</v>
      </c>
    </row>
    <row r="138" spans="1:3">
      <c r="A138" s="8">
        <v>230053.7634408602</v>
      </c>
      <c r="B138" s="8">
        <v>1</v>
      </c>
      <c r="C138" s="9">
        <v>0.25490196078431371</v>
      </c>
    </row>
    <row r="139" spans="1:3">
      <c r="A139" s="8">
        <v>230752.68817204301</v>
      </c>
      <c r="B139" s="8">
        <v>0</v>
      </c>
      <c r="C139" s="9">
        <v>0.25490196078431371</v>
      </c>
    </row>
    <row r="140" spans="1:3">
      <c r="A140" s="8">
        <v>231451.61290322582</v>
      </c>
      <c r="B140" s="8">
        <v>0</v>
      </c>
      <c r="C140" s="9">
        <v>0.25490196078431371</v>
      </c>
    </row>
    <row r="141" spans="1:3">
      <c r="A141" s="8">
        <v>232150.5376344086</v>
      </c>
      <c r="B141" s="8">
        <v>1</v>
      </c>
      <c r="C141" s="9">
        <v>0.27450980392156865</v>
      </c>
    </row>
    <row r="142" spans="1:3">
      <c r="A142" s="8">
        <v>232849.46236559137</v>
      </c>
      <c r="B142" s="8">
        <v>0</v>
      </c>
      <c r="C142" s="9">
        <v>0.27450980392156865</v>
      </c>
    </row>
    <row r="143" spans="1:3">
      <c r="A143" s="8">
        <v>233548.38709677418</v>
      </c>
      <c r="B143" s="8">
        <v>0</v>
      </c>
      <c r="C143" s="9">
        <v>0.27450980392156865</v>
      </c>
    </row>
    <row r="144" spans="1:3">
      <c r="A144" s="8">
        <v>234247.31182795699</v>
      </c>
      <c r="B144" s="8">
        <v>0</v>
      </c>
      <c r="C144" s="9">
        <v>0.27450980392156865</v>
      </c>
    </row>
    <row r="145" spans="1:3">
      <c r="A145" s="8">
        <v>234946.2365591398</v>
      </c>
      <c r="B145" s="8">
        <v>0</v>
      </c>
      <c r="C145" s="9">
        <v>0.27450980392156865</v>
      </c>
    </row>
    <row r="146" spans="1:3">
      <c r="A146" s="8">
        <v>235645.16129032258</v>
      </c>
      <c r="B146" s="8">
        <v>2</v>
      </c>
      <c r="C146" s="9">
        <v>0.31372549019607843</v>
      </c>
    </row>
    <row r="147" spans="1:3">
      <c r="A147" s="8">
        <v>236344.08602150535</v>
      </c>
      <c r="B147" s="8">
        <v>0</v>
      </c>
      <c r="C147" s="9">
        <v>0.31372549019607843</v>
      </c>
    </row>
    <row r="148" spans="1:3">
      <c r="A148" s="8">
        <v>237043.01075268816</v>
      </c>
      <c r="B148" s="8">
        <v>0</v>
      </c>
      <c r="C148" s="9">
        <v>0.31372549019607843</v>
      </c>
    </row>
    <row r="149" spans="1:3">
      <c r="A149" s="8">
        <v>237741.93548387097</v>
      </c>
      <c r="B149" s="8">
        <v>0</v>
      </c>
      <c r="C149" s="9">
        <v>0.31372549019607843</v>
      </c>
    </row>
    <row r="150" spans="1:3">
      <c r="A150" s="8">
        <v>238440.86021505378</v>
      </c>
      <c r="B150" s="8">
        <v>0</v>
      </c>
      <c r="C150" s="9">
        <v>0.31372549019607843</v>
      </c>
    </row>
    <row r="151" spans="1:3">
      <c r="A151" s="8">
        <v>239139.78494623656</v>
      </c>
      <c r="B151" s="8">
        <v>0</v>
      </c>
      <c r="C151" s="9">
        <v>0.31372549019607843</v>
      </c>
    </row>
    <row r="152" spans="1:3">
      <c r="A152" s="8">
        <v>239838.70967741933</v>
      </c>
      <c r="B152" s="8">
        <v>0</v>
      </c>
      <c r="C152" s="9">
        <v>0.31372549019607843</v>
      </c>
    </row>
    <row r="153" spans="1:3">
      <c r="A153" s="8">
        <v>240537.63440860214</v>
      </c>
      <c r="B153" s="8">
        <v>0</v>
      </c>
      <c r="C153" s="9">
        <v>0.31372549019607843</v>
      </c>
    </row>
    <row r="154" spans="1:3">
      <c r="A154" s="8">
        <v>241236.55913978495</v>
      </c>
      <c r="B154" s="8">
        <v>0</v>
      </c>
      <c r="C154" s="9">
        <v>0.31372549019607843</v>
      </c>
    </row>
    <row r="155" spans="1:3">
      <c r="A155" s="8">
        <v>241935.48387096773</v>
      </c>
      <c r="B155" s="8">
        <v>0</v>
      </c>
      <c r="C155" s="9">
        <v>0.31372549019607843</v>
      </c>
    </row>
    <row r="156" spans="1:3">
      <c r="A156" s="8">
        <v>242634.40860215054</v>
      </c>
      <c r="B156" s="8">
        <v>0</v>
      </c>
      <c r="C156" s="9">
        <v>0.31372549019607843</v>
      </c>
    </row>
    <row r="157" spans="1:3">
      <c r="A157" s="8">
        <v>243333.33333333331</v>
      </c>
      <c r="B157" s="8">
        <v>0</v>
      </c>
      <c r="C157" s="9">
        <v>0.31372549019607843</v>
      </c>
    </row>
    <row r="158" spans="1:3">
      <c r="A158" s="8">
        <v>244032.25806451612</v>
      </c>
      <c r="B158" s="8">
        <v>0</v>
      </c>
      <c r="C158" s="9">
        <v>0.31372549019607843</v>
      </c>
    </row>
    <row r="159" spans="1:3">
      <c r="A159" s="8">
        <v>244731.18279569893</v>
      </c>
      <c r="B159" s="8">
        <v>0</v>
      </c>
      <c r="C159" s="9">
        <v>0.31372549019607843</v>
      </c>
    </row>
    <row r="160" spans="1:3">
      <c r="A160" s="8">
        <v>245430.10752688171</v>
      </c>
      <c r="B160" s="8">
        <v>1</v>
      </c>
      <c r="C160" s="9">
        <v>0.33333333333333331</v>
      </c>
    </row>
    <row r="161" spans="1:3">
      <c r="A161" s="8">
        <v>246129.03225806452</v>
      </c>
      <c r="B161" s="8">
        <v>0</v>
      </c>
      <c r="C161" s="9">
        <v>0.33333333333333331</v>
      </c>
    </row>
    <row r="162" spans="1:3">
      <c r="A162" s="8">
        <v>246827.95698924729</v>
      </c>
      <c r="B162" s="8">
        <v>0</v>
      </c>
      <c r="C162" s="9">
        <v>0.33333333333333331</v>
      </c>
    </row>
    <row r="163" spans="1:3">
      <c r="A163" s="8">
        <v>247526.8817204301</v>
      </c>
      <c r="B163" s="8">
        <v>0</v>
      </c>
      <c r="C163" s="9">
        <v>0.33333333333333331</v>
      </c>
    </row>
    <row r="164" spans="1:3">
      <c r="A164" s="8">
        <v>248225.80645161291</v>
      </c>
      <c r="B164" s="8">
        <v>0</v>
      </c>
      <c r="C164" s="9">
        <v>0.33333333333333331</v>
      </c>
    </row>
    <row r="165" spans="1:3">
      <c r="A165" s="8">
        <v>248924.73118279569</v>
      </c>
      <c r="B165" s="8">
        <v>0</v>
      </c>
      <c r="C165" s="9">
        <v>0.33333333333333331</v>
      </c>
    </row>
    <row r="166" spans="1:3">
      <c r="A166" s="8">
        <v>249623.65591397847</v>
      </c>
      <c r="B166" s="8">
        <v>0</v>
      </c>
      <c r="C166" s="9">
        <v>0.33333333333333331</v>
      </c>
    </row>
    <row r="167" spans="1:3">
      <c r="A167" s="8">
        <v>250322.58064516127</v>
      </c>
      <c r="B167" s="8">
        <v>1</v>
      </c>
      <c r="C167" s="9">
        <v>0.35294117647058826</v>
      </c>
    </row>
    <row r="168" spans="1:3">
      <c r="A168" s="8">
        <v>251021.50537634408</v>
      </c>
      <c r="B168" s="8">
        <v>0</v>
      </c>
      <c r="C168" s="9">
        <v>0.35294117647058826</v>
      </c>
    </row>
    <row r="169" spans="1:3">
      <c r="A169" s="8">
        <v>251720.43010752689</v>
      </c>
      <c r="B169" s="8">
        <v>0</v>
      </c>
      <c r="C169" s="9">
        <v>0.35294117647058826</v>
      </c>
    </row>
    <row r="170" spans="1:3">
      <c r="A170" s="8">
        <v>252419.35483870967</v>
      </c>
      <c r="B170" s="8">
        <v>0</v>
      </c>
      <c r="C170" s="9">
        <v>0.35294117647058826</v>
      </c>
    </row>
    <row r="171" spans="1:3">
      <c r="A171" s="8">
        <v>253118.27956989245</v>
      </c>
      <c r="B171" s="8">
        <v>0</v>
      </c>
      <c r="C171" s="9">
        <v>0.35294117647058826</v>
      </c>
    </row>
    <row r="172" spans="1:3">
      <c r="A172" s="8">
        <v>253817.20430107525</v>
      </c>
      <c r="B172" s="8">
        <v>0</v>
      </c>
      <c r="C172" s="9">
        <v>0.35294117647058826</v>
      </c>
    </row>
    <row r="173" spans="1:3">
      <c r="A173" s="8">
        <v>254516.12903225806</v>
      </c>
      <c r="B173" s="8">
        <v>0</v>
      </c>
      <c r="C173" s="9">
        <v>0.35294117647058826</v>
      </c>
    </row>
    <row r="174" spans="1:3">
      <c r="A174" s="8">
        <v>255215.05376344087</v>
      </c>
      <c r="B174" s="8">
        <v>0</v>
      </c>
      <c r="C174" s="9">
        <v>0.35294117647058826</v>
      </c>
    </row>
    <row r="175" spans="1:3">
      <c r="A175" s="8">
        <v>255913.97849462365</v>
      </c>
      <c r="B175" s="8">
        <v>0</v>
      </c>
      <c r="C175" s="9">
        <v>0.35294117647058826</v>
      </c>
    </row>
    <row r="176" spans="1:3">
      <c r="A176" s="8">
        <v>256612.90322580643</v>
      </c>
      <c r="B176" s="8">
        <v>0</v>
      </c>
      <c r="C176" s="9">
        <v>0.35294117647058826</v>
      </c>
    </row>
    <row r="177" spans="1:3">
      <c r="A177" s="8">
        <v>257311.82795698923</v>
      </c>
      <c r="B177" s="8">
        <v>0</v>
      </c>
      <c r="C177" s="9">
        <v>0.35294117647058826</v>
      </c>
    </row>
    <row r="178" spans="1:3">
      <c r="A178" s="8">
        <v>258010.75268817204</v>
      </c>
      <c r="B178" s="8">
        <v>0</v>
      </c>
      <c r="C178" s="9">
        <v>0.35294117647058826</v>
      </c>
    </row>
    <row r="179" spans="1:3">
      <c r="A179" s="8">
        <v>258709.67741935485</v>
      </c>
      <c r="B179" s="8">
        <v>0</v>
      </c>
      <c r="C179" s="9">
        <v>0.35294117647058826</v>
      </c>
    </row>
    <row r="180" spans="1:3">
      <c r="A180" s="8">
        <v>259408.60215053763</v>
      </c>
      <c r="B180" s="8">
        <v>0</v>
      </c>
      <c r="C180" s="9">
        <v>0.35294117647058826</v>
      </c>
    </row>
    <row r="181" spans="1:3">
      <c r="A181" s="8">
        <v>260107.52688172041</v>
      </c>
      <c r="B181" s="8">
        <v>0</v>
      </c>
      <c r="C181" s="9">
        <v>0.35294117647058826</v>
      </c>
    </row>
    <row r="182" spans="1:3">
      <c r="A182" s="8">
        <v>260806.45161290321</v>
      </c>
      <c r="B182" s="8">
        <v>0</v>
      </c>
      <c r="C182" s="9">
        <v>0.35294117647058826</v>
      </c>
    </row>
    <row r="183" spans="1:3">
      <c r="A183" s="8">
        <v>261505.37634408602</v>
      </c>
      <c r="B183" s="8">
        <v>0</v>
      </c>
      <c r="C183" s="9">
        <v>0.35294117647058826</v>
      </c>
    </row>
    <row r="184" spans="1:3">
      <c r="A184" s="8">
        <v>262204.30107526883</v>
      </c>
      <c r="B184" s="8">
        <v>0</v>
      </c>
      <c r="C184" s="9">
        <v>0.35294117647058826</v>
      </c>
    </row>
    <row r="185" spans="1:3">
      <c r="A185" s="8">
        <v>262903.22580645164</v>
      </c>
      <c r="B185" s="8">
        <v>0</v>
      </c>
      <c r="C185" s="9">
        <v>0.35294117647058826</v>
      </c>
    </row>
    <row r="186" spans="1:3">
      <c r="A186" s="8">
        <v>263602.15053763438</v>
      </c>
      <c r="B186" s="8">
        <v>0</v>
      </c>
      <c r="C186" s="9">
        <v>0.35294117647058826</v>
      </c>
    </row>
    <row r="187" spans="1:3">
      <c r="A187" s="8">
        <v>264301.07526881719</v>
      </c>
      <c r="B187" s="8">
        <v>0</v>
      </c>
      <c r="C187" s="9">
        <v>0.35294117647058826</v>
      </c>
    </row>
    <row r="188" spans="1:3">
      <c r="A188" s="8">
        <v>265000</v>
      </c>
      <c r="B188" s="8">
        <v>0</v>
      </c>
      <c r="C188" s="9">
        <v>0.35294117647058826</v>
      </c>
    </row>
    <row r="189" spans="1:3">
      <c r="A189" s="8">
        <v>265698.92473118281</v>
      </c>
      <c r="B189" s="8">
        <v>0</v>
      </c>
      <c r="C189" s="9">
        <v>0.35294117647058826</v>
      </c>
    </row>
    <row r="190" spans="1:3">
      <c r="A190" s="8">
        <v>266397.84946236562</v>
      </c>
      <c r="B190" s="8">
        <v>0</v>
      </c>
      <c r="C190" s="9">
        <v>0.35294117647058826</v>
      </c>
    </row>
    <row r="191" spans="1:3">
      <c r="A191" s="8">
        <v>267096.77419354836</v>
      </c>
      <c r="B191" s="8">
        <v>0</v>
      </c>
      <c r="C191" s="9">
        <v>0.35294117647058826</v>
      </c>
    </row>
    <row r="192" spans="1:3">
      <c r="A192" s="8">
        <v>267795.69892473117</v>
      </c>
      <c r="B192" s="8">
        <v>0</v>
      </c>
      <c r="C192" s="9">
        <v>0.35294117647058826</v>
      </c>
    </row>
    <row r="193" spans="1:3">
      <c r="A193" s="8">
        <v>268494.62365591398</v>
      </c>
      <c r="B193" s="8">
        <v>0</v>
      </c>
      <c r="C193" s="9">
        <v>0.35294117647058826</v>
      </c>
    </row>
    <row r="194" spans="1:3">
      <c r="A194" s="8">
        <v>269193.54838709673</v>
      </c>
      <c r="B194" s="8">
        <v>0</v>
      </c>
      <c r="C194" s="9">
        <v>0.35294117647058826</v>
      </c>
    </row>
    <row r="195" spans="1:3">
      <c r="A195" s="8">
        <v>269892.47311827959</v>
      </c>
      <c r="B195" s="8">
        <v>0</v>
      </c>
      <c r="C195" s="9">
        <v>0.35294117647058826</v>
      </c>
    </row>
    <row r="196" spans="1:3">
      <c r="A196" s="8">
        <v>270591.39784946234</v>
      </c>
      <c r="B196" s="8">
        <v>2</v>
      </c>
      <c r="C196" s="9">
        <v>0.39215686274509803</v>
      </c>
    </row>
    <row r="197" spans="1:3">
      <c r="A197" s="8">
        <v>271290.32258064515</v>
      </c>
      <c r="B197" s="8">
        <v>0</v>
      </c>
      <c r="C197" s="9">
        <v>0.39215686274509803</v>
      </c>
    </row>
    <row r="198" spans="1:3">
      <c r="A198" s="8">
        <v>271989.24731182796</v>
      </c>
      <c r="B198" s="8">
        <v>0</v>
      </c>
      <c r="C198" s="9">
        <v>0.39215686274509803</v>
      </c>
    </row>
    <row r="199" spans="1:3">
      <c r="A199" s="8">
        <v>272688.17204301071</v>
      </c>
      <c r="B199" s="8">
        <v>0</v>
      </c>
      <c r="C199" s="9">
        <v>0.39215686274509803</v>
      </c>
    </row>
    <row r="200" spans="1:3">
      <c r="A200" s="8">
        <v>273387.09677419357</v>
      </c>
      <c r="B200" s="8">
        <v>0</v>
      </c>
      <c r="C200" s="9">
        <v>0.39215686274509803</v>
      </c>
    </row>
    <row r="201" spans="1:3">
      <c r="A201" s="8">
        <v>274086.02150537632</v>
      </c>
      <c r="B201" s="8">
        <v>0</v>
      </c>
      <c r="C201" s="9">
        <v>0.39215686274509803</v>
      </c>
    </row>
    <row r="202" spans="1:3">
      <c r="A202" s="8">
        <v>274784.94623655913</v>
      </c>
      <c r="B202" s="8">
        <v>0</v>
      </c>
      <c r="C202" s="9">
        <v>0.39215686274509803</v>
      </c>
    </row>
    <row r="203" spans="1:3">
      <c r="A203" s="8">
        <v>275483.87096774194</v>
      </c>
      <c r="B203" s="8">
        <v>1</v>
      </c>
      <c r="C203" s="9">
        <v>0.41176470588235292</v>
      </c>
    </row>
    <row r="204" spans="1:3">
      <c r="A204" s="8">
        <v>276182.79569892469</v>
      </c>
      <c r="B204" s="8">
        <v>0</v>
      </c>
      <c r="C204" s="9">
        <v>0.41176470588235292</v>
      </c>
    </row>
    <row r="205" spans="1:3">
      <c r="A205" s="8">
        <v>276881.72043010755</v>
      </c>
      <c r="B205" s="8">
        <v>0</v>
      </c>
      <c r="C205" s="9">
        <v>0.41176470588235292</v>
      </c>
    </row>
    <row r="206" spans="1:3">
      <c r="A206" s="8">
        <v>277580.6451612903</v>
      </c>
      <c r="B206" s="8">
        <v>0</v>
      </c>
      <c r="C206" s="9">
        <v>0.41176470588235292</v>
      </c>
    </row>
    <row r="207" spans="1:3">
      <c r="A207" s="8">
        <v>278279.56989247311</v>
      </c>
      <c r="B207" s="8">
        <v>0</v>
      </c>
      <c r="C207" s="9">
        <v>0.41176470588235292</v>
      </c>
    </row>
    <row r="208" spans="1:3">
      <c r="A208" s="8">
        <v>278978.49462365592</v>
      </c>
      <c r="B208" s="8">
        <v>0</v>
      </c>
      <c r="C208" s="9">
        <v>0.41176470588235292</v>
      </c>
    </row>
    <row r="209" spans="1:3">
      <c r="A209" s="8">
        <v>279677.41935483867</v>
      </c>
      <c r="B209" s="8">
        <v>0</v>
      </c>
      <c r="C209" s="9">
        <v>0.41176470588235292</v>
      </c>
    </row>
    <row r="210" spans="1:3">
      <c r="A210" s="8">
        <v>280376.34408602153</v>
      </c>
      <c r="B210" s="8">
        <v>0</v>
      </c>
      <c r="C210" s="9">
        <v>0.41176470588235292</v>
      </c>
    </row>
    <row r="211" spans="1:3">
      <c r="A211" s="8">
        <v>281075.26881720428</v>
      </c>
      <c r="B211" s="8">
        <v>0</v>
      </c>
      <c r="C211" s="9">
        <v>0.41176470588235292</v>
      </c>
    </row>
    <row r="212" spans="1:3">
      <c r="A212" s="8">
        <v>281774.19354838709</v>
      </c>
      <c r="B212" s="8">
        <v>0</v>
      </c>
      <c r="C212" s="9">
        <v>0.41176470588235292</v>
      </c>
    </row>
    <row r="213" spans="1:3">
      <c r="A213" s="8">
        <v>282473.1182795699</v>
      </c>
      <c r="B213" s="8">
        <v>0</v>
      </c>
      <c r="C213" s="9">
        <v>0.41176470588235292</v>
      </c>
    </row>
    <row r="214" spans="1:3">
      <c r="A214" s="8">
        <v>283172.04301075265</v>
      </c>
      <c r="B214" s="8">
        <v>0</v>
      </c>
      <c r="C214" s="9">
        <v>0.41176470588235292</v>
      </c>
    </row>
    <row r="215" spans="1:3">
      <c r="A215" s="8">
        <v>283870.96774193551</v>
      </c>
      <c r="B215" s="8">
        <v>0</v>
      </c>
      <c r="C215" s="9">
        <v>0.41176470588235292</v>
      </c>
    </row>
    <row r="216" spans="1:3">
      <c r="A216" s="8">
        <v>284569.89247311826</v>
      </c>
      <c r="B216" s="8">
        <v>0</v>
      </c>
      <c r="C216" s="9">
        <v>0.41176470588235292</v>
      </c>
    </row>
    <row r="217" spans="1:3">
      <c r="A217" s="8">
        <v>285268.81720430107</v>
      </c>
      <c r="B217" s="8">
        <v>1</v>
      </c>
      <c r="C217" s="9">
        <v>0.43137254901960786</v>
      </c>
    </row>
    <row r="218" spans="1:3">
      <c r="A218" s="8">
        <v>285967.74193548388</v>
      </c>
      <c r="B218" s="8">
        <v>0</v>
      </c>
      <c r="C218" s="9">
        <v>0.43137254901960786</v>
      </c>
    </row>
    <row r="219" spans="1:3">
      <c r="A219" s="8">
        <v>286666.66666666663</v>
      </c>
      <c r="B219" s="8">
        <v>0</v>
      </c>
      <c r="C219" s="9">
        <v>0.43137254901960786</v>
      </c>
    </row>
    <row r="220" spans="1:3">
      <c r="A220" s="8">
        <v>287365.59139784949</v>
      </c>
      <c r="B220" s="8">
        <v>0</v>
      </c>
      <c r="C220" s="9">
        <v>0.43137254901960786</v>
      </c>
    </row>
    <row r="221" spans="1:3">
      <c r="A221" s="8">
        <v>288064.51612903224</v>
      </c>
      <c r="B221" s="8">
        <v>1</v>
      </c>
      <c r="C221" s="9">
        <v>0.45098039215686275</v>
      </c>
    </row>
    <row r="222" spans="1:3">
      <c r="A222" s="8">
        <v>288763.44086021505</v>
      </c>
      <c r="B222" s="8">
        <v>0</v>
      </c>
      <c r="C222" s="9">
        <v>0.45098039215686275</v>
      </c>
    </row>
    <row r="223" spans="1:3">
      <c r="A223" s="8">
        <v>289462.36559139786</v>
      </c>
      <c r="B223" s="8">
        <v>0</v>
      </c>
      <c r="C223" s="9">
        <v>0.45098039215686275</v>
      </c>
    </row>
    <row r="224" spans="1:3">
      <c r="A224" s="8">
        <v>290161.29032258061</v>
      </c>
      <c r="B224" s="8">
        <v>0</v>
      </c>
      <c r="C224" s="9">
        <v>0.45098039215686275</v>
      </c>
    </row>
    <row r="225" spans="1:3">
      <c r="A225" s="8">
        <v>290860.21505376347</v>
      </c>
      <c r="B225" s="8">
        <v>0</v>
      </c>
      <c r="C225" s="9">
        <v>0.45098039215686275</v>
      </c>
    </row>
    <row r="226" spans="1:3">
      <c r="A226" s="8">
        <v>291559.13978494622</v>
      </c>
      <c r="B226" s="8">
        <v>0</v>
      </c>
      <c r="C226" s="9">
        <v>0.45098039215686275</v>
      </c>
    </row>
    <row r="227" spans="1:3">
      <c r="A227" s="8">
        <v>292258.06451612903</v>
      </c>
      <c r="B227" s="8">
        <v>0</v>
      </c>
      <c r="C227" s="9">
        <v>0.45098039215686275</v>
      </c>
    </row>
    <row r="228" spans="1:3">
      <c r="A228" s="8">
        <v>292956.98924731184</v>
      </c>
      <c r="B228" s="8">
        <v>0</v>
      </c>
      <c r="C228" s="9">
        <v>0.45098039215686275</v>
      </c>
    </row>
    <row r="229" spans="1:3">
      <c r="A229" s="8">
        <v>293655.91397849459</v>
      </c>
      <c r="B229" s="8">
        <v>0</v>
      </c>
      <c r="C229" s="9">
        <v>0.45098039215686275</v>
      </c>
    </row>
    <row r="230" spans="1:3">
      <c r="A230" s="8">
        <v>294354.83870967739</v>
      </c>
      <c r="B230" s="8">
        <v>0</v>
      </c>
      <c r="C230" s="9">
        <v>0.45098039215686275</v>
      </c>
    </row>
    <row r="231" spans="1:3">
      <c r="A231" s="8">
        <v>295053.7634408602</v>
      </c>
      <c r="B231" s="8">
        <v>1</v>
      </c>
      <c r="C231" s="9">
        <v>0.47058823529411764</v>
      </c>
    </row>
    <row r="232" spans="1:3">
      <c r="A232" s="8">
        <v>295752.68817204301</v>
      </c>
      <c r="B232" s="8">
        <v>0</v>
      </c>
      <c r="C232" s="9">
        <v>0.47058823529411764</v>
      </c>
    </row>
    <row r="233" spans="1:3">
      <c r="A233" s="8">
        <v>296451.61290322582</v>
      </c>
      <c r="B233" s="8">
        <v>0</v>
      </c>
      <c r="C233" s="9">
        <v>0.47058823529411764</v>
      </c>
    </row>
    <row r="234" spans="1:3">
      <c r="A234" s="8">
        <v>297150.53763440857</v>
      </c>
      <c r="B234" s="8">
        <v>0</v>
      </c>
      <c r="C234" s="9">
        <v>0.47058823529411764</v>
      </c>
    </row>
    <row r="235" spans="1:3">
      <c r="A235" s="8">
        <v>297849.46236559137</v>
      </c>
      <c r="B235" s="8">
        <v>0</v>
      </c>
      <c r="C235" s="9">
        <v>0.47058823529411764</v>
      </c>
    </row>
    <row r="236" spans="1:3">
      <c r="A236" s="8">
        <v>298548.38709677418</v>
      </c>
      <c r="B236" s="8">
        <v>0</v>
      </c>
      <c r="C236" s="9">
        <v>0.47058823529411764</v>
      </c>
    </row>
    <row r="237" spans="1:3">
      <c r="A237" s="8">
        <v>299247.31182795699</v>
      </c>
      <c r="B237" s="8">
        <v>0</v>
      </c>
      <c r="C237" s="9">
        <v>0.47058823529411764</v>
      </c>
    </row>
    <row r="238" spans="1:3">
      <c r="A238" s="8">
        <v>299946.2365591398</v>
      </c>
      <c r="B238" s="8">
        <v>0</v>
      </c>
      <c r="C238" s="9">
        <v>0.47058823529411764</v>
      </c>
    </row>
    <row r="239" spans="1:3">
      <c r="A239" s="8">
        <v>300645.16129032255</v>
      </c>
      <c r="B239" s="8">
        <v>1</v>
      </c>
      <c r="C239" s="9">
        <v>0.49019607843137253</v>
      </c>
    </row>
    <row r="240" spans="1:3">
      <c r="A240" s="8">
        <v>301344.08602150535</v>
      </c>
      <c r="B240" s="8">
        <v>0</v>
      </c>
      <c r="C240" s="9">
        <v>0.49019607843137253</v>
      </c>
    </row>
    <row r="241" spans="1:3">
      <c r="A241" s="8">
        <v>302043.01075268816</v>
      </c>
      <c r="B241" s="8">
        <v>0</v>
      </c>
      <c r="C241" s="9">
        <v>0.49019607843137253</v>
      </c>
    </row>
    <row r="242" spans="1:3">
      <c r="A242" s="8">
        <v>302741.93548387097</v>
      </c>
      <c r="B242" s="8">
        <v>0</v>
      </c>
      <c r="C242" s="9">
        <v>0.49019607843137253</v>
      </c>
    </row>
    <row r="243" spans="1:3">
      <c r="A243" s="8">
        <v>303440.86021505378</v>
      </c>
      <c r="B243" s="8">
        <v>0</v>
      </c>
      <c r="C243" s="9">
        <v>0.49019607843137253</v>
      </c>
    </row>
    <row r="244" spans="1:3">
      <c r="A244" s="8">
        <v>304139.78494623653</v>
      </c>
      <c r="B244" s="8">
        <v>0</v>
      </c>
      <c r="C244" s="9">
        <v>0.49019607843137253</v>
      </c>
    </row>
    <row r="245" spans="1:3">
      <c r="A245" s="8">
        <v>304838.70967741933</v>
      </c>
      <c r="B245" s="8">
        <v>0</v>
      </c>
      <c r="C245" s="9">
        <v>0.49019607843137253</v>
      </c>
    </row>
    <row r="246" spans="1:3">
      <c r="A246" s="8">
        <v>305537.63440860214</v>
      </c>
      <c r="B246" s="8">
        <v>0</v>
      </c>
      <c r="C246" s="9">
        <v>0.49019607843137253</v>
      </c>
    </row>
    <row r="247" spans="1:3">
      <c r="A247" s="8">
        <v>306236.55913978495</v>
      </c>
      <c r="B247" s="8">
        <v>0</v>
      </c>
      <c r="C247" s="9">
        <v>0.49019607843137253</v>
      </c>
    </row>
    <row r="248" spans="1:3">
      <c r="A248" s="8">
        <v>306935.48387096776</v>
      </c>
      <c r="B248" s="8">
        <v>0</v>
      </c>
      <c r="C248" s="9">
        <v>0.49019607843137253</v>
      </c>
    </row>
    <row r="249" spans="1:3">
      <c r="A249" s="8">
        <v>307634.40860215051</v>
      </c>
      <c r="B249" s="8">
        <v>0</v>
      </c>
      <c r="C249" s="9">
        <v>0.49019607843137253</v>
      </c>
    </row>
    <row r="250" spans="1:3">
      <c r="A250" s="8">
        <v>308333.33333333331</v>
      </c>
      <c r="B250" s="8">
        <v>0</v>
      </c>
      <c r="C250" s="9">
        <v>0.49019607843137253</v>
      </c>
    </row>
    <row r="251" spans="1:3">
      <c r="A251" s="8">
        <v>309032.25806451612</v>
      </c>
      <c r="B251" s="8">
        <v>0</v>
      </c>
      <c r="C251" s="9">
        <v>0.49019607843137253</v>
      </c>
    </row>
    <row r="252" spans="1:3">
      <c r="A252" s="8">
        <v>309731.18279569887</v>
      </c>
      <c r="B252" s="8">
        <v>0</v>
      </c>
      <c r="C252" s="9">
        <v>0.49019607843137253</v>
      </c>
    </row>
    <row r="253" spans="1:3">
      <c r="A253" s="8">
        <v>310430.10752688174</v>
      </c>
      <c r="B253" s="8">
        <v>0</v>
      </c>
      <c r="C253" s="9">
        <v>0.49019607843137253</v>
      </c>
    </row>
    <row r="254" spans="1:3">
      <c r="A254" s="8">
        <v>311129.03225806449</v>
      </c>
      <c r="B254" s="8">
        <v>0</v>
      </c>
      <c r="C254" s="9">
        <v>0.49019607843137253</v>
      </c>
    </row>
    <row r="255" spans="1:3">
      <c r="A255" s="8">
        <v>311827.95698924729</v>
      </c>
      <c r="B255" s="8">
        <v>0</v>
      </c>
      <c r="C255" s="9">
        <v>0.49019607843137253</v>
      </c>
    </row>
    <row r="256" spans="1:3">
      <c r="A256" s="8">
        <v>312526.8817204301</v>
      </c>
      <c r="B256" s="8">
        <v>0</v>
      </c>
      <c r="C256" s="9">
        <v>0.49019607843137253</v>
      </c>
    </row>
    <row r="257" spans="1:3">
      <c r="A257" s="8">
        <v>313225.80645161285</v>
      </c>
      <c r="B257" s="8">
        <v>0</v>
      </c>
      <c r="C257" s="9">
        <v>0.49019607843137253</v>
      </c>
    </row>
    <row r="258" spans="1:3">
      <c r="A258" s="8">
        <v>313924.73118279572</v>
      </c>
      <c r="B258" s="8">
        <v>0</v>
      </c>
      <c r="C258" s="9">
        <v>0.49019607843137253</v>
      </c>
    </row>
    <row r="259" spans="1:3">
      <c r="A259" s="8">
        <v>314623.65591397847</v>
      </c>
      <c r="B259" s="8">
        <v>0</v>
      </c>
      <c r="C259" s="9">
        <v>0.49019607843137253</v>
      </c>
    </row>
    <row r="260" spans="1:3">
      <c r="A260" s="8">
        <v>315322.58064516127</v>
      </c>
      <c r="B260" s="8">
        <v>0</v>
      </c>
      <c r="C260" s="9">
        <v>0.49019607843137253</v>
      </c>
    </row>
    <row r="261" spans="1:3">
      <c r="A261" s="8">
        <v>316021.50537634408</v>
      </c>
      <c r="B261" s="8">
        <v>0</v>
      </c>
      <c r="C261" s="9">
        <v>0.49019607843137253</v>
      </c>
    </row>
    <row r="262" spans="1:3">
      <c r="A262" s="8">
        <v>316720.43010752683</v>
      </c>
      <c r="B262" s="8">
        <v>0</v>
      </c>
      <c r="C262" s="9">
        <v>0.49019607843137253</v>
      </c>
    </row>
    <row r="263" spans="1:3">
      <c r="A263" s="8">
        <v>317419.3548387097</v>
      </c>
      <c r="B263" s="8">
        <v>0</v>
      </c>
      <c r="C263" s="9">
        <v>0.49019607843137253</v>
      </c>
    </row>
    <row r="264" spans="1:3">
      <c r="A264" s="8">
        <v>318118.27956989245</v>
      </c>
      <c r="B264" s="8">
        <v>0</v>
      </c>
      <c r="C264" s="9">
        <v>0.49019607843137253</v>
      </c>
    </row>
    <row r="265" spans="1:3">
      <c r="A265" s="8">
        <v>318817.20430107525</v>
      </c>
      <c r="B265" s="8">
        <v>0</v>
      </c>
      <c r="C265" s="9">
        <v>0.49019607843137253</v>
      </c>
    </row>
    <row r="266" spans="1:3">
      <c r="A266" s="8">
        <v>319516.12903225806</v>
      </c>
      <c r="B266" s="8">
        <v>1</v>
      </c>
      <c r="C266" s="9">
        <v>0.50980392156862742</v>
      </c>
    </row>
    <row r="267" spans="1:3">
      <c r="A267" s="8">
        <v>320215.05376344081</v>
      </c>
      <c r="B267" s="8">
        <v>0</v>
      </c>
      <c r="C267" s="9">
        <v>0.50980392156862742</v>
      </c>
    </row>
    <row r="268" spans="1:3">
      <c r="A268" s="8">
        <v>320913.97849462368</v>
      </c>
      <c r="B268" s="8">
        <v>0</v>
      </c>
      <c r="C268" s="9">
        <v>0.50980392156862742</v>
      </c>
    </row>
    <row r="269" spans="1:3">
      <c r="A269" s="8">
        <v>321612.90322580643</v>
      </c>
      <c r="B269" s="8">
        <v>0</v>
      </c>
      <c r="C269" s="9">
        <v>0.50980392156862742</v>
      </c>
    </row>
    <row r="270" spans="1:3">
      <c r="A270" s="8">
        <v>322311.82795698923</v>
      </c>
      <c r="B270" s="8">
        <v>0</v>
      </c>
      <c r="C270" s="9">
        <v>0.50980392156862742</v>
      </c>
    </row>
    <row r="271" spans="1:3">
      <c r="A271" s="8">
        <v>323010.75268817204</v>
      </c>
      <c r="B271" s="8">
        <v>0</v>
      </c>
      <c r="C271" s="9">
        <v>0.50980392156862742</v>
      </c>
    </row>
    <row r="272" spans="1:3">
      <c r="A272" s="8">
        <v>323709.67741935479</v>
      </c>
      <c r="B272" s="8">
        <v>0</v>
      </c>
      <c r="C272" s="9">
        <v>0.50980392156862742</v>
      </c>
    </row>
    <row r="273" spans="1:3">
      <c r="A273" s="8">
        <v>324408.60215053766</v>
      </c>
      <c r="B273" s="8">
        <v>0</v>
      </c>
      <c r="C273" s="9">
        <v>0.50980392156862742</v>
      </c>
    </row>
    <row r="274" spans="1:3">
      <c r="A274" s="8">
        <v>325107.52688172041</v>
      </c>
      <c r="B274" s="8">
        <v>1</v>
      </c>
      <c r="C274" s="9">
        <v>0.52941176470588236</v>
      </c>
    </row>
    <row r="275" spans="1:3">
      <c r="A275" s="8">
        <v>325806.45161290321</v>
      </c>
      <c r="B275" s="8">
        <v>0</v>
      </c>
      <c r="C275" s="9">
        <v>0.52941176470588236</v>
      </c>
    </row>
    <row r="276" spans="1:3">
      <c r="A276" s="8">
        <v>326505.37634408602</v>
      </c>
      <c r="B276" s="8">
        <v>0</v>
      </c>
      <c r="C276" s="9">
        <v>0.52941176470588236</v>
      </c>
    </row>
    <row r="277" spans="1:3">
      <c r="A277" s="8">
        <v>327204.30107526877</v>
      </c>
      <c r="B277" s="8">
        <v>0</v>
      </c>
      <c r="C277" s="9">
        <v>0.52941176470588236</v>
      </c>
    </row>
    <row r="278" spans="1:3">
      <c r="A278" s="8">
        <v>327903.22580645164</v>
      </c>
      <c r="B278" s="8">
        <v>0</v>
      </c>
      <c r="C278" s="9">
        <v>0.52941176470588236</v>
      </c>
    </row>
    <row r="279" spans="1:3">
      <c r="A279" s="8">
        <v>328602.15053763438</v>
      </c>
      <c r="B279" s="8">
        <v>0</v>
      </c>
      <c r="C279" s="9">
        <v>0.52941176470588236</v>
      </c>
    </row>
    <row r="280" spans="1:3">
      <c r="A280" s="8">
        <v>329301.07526881719</v>
      </c>
      <c r="B280" s="8">
        <v>0</v>
      </c>
      <c r="C280" s="9">
        <v>0.52941176470588236</v>
      </c>
    </row>
    <row r="281" spans="1:3">
      <c r="A281" s="8">
        <v>330000</v>
      </c>
      <c r="B281" s="8">
        <v>1</v>
      </c>
      <c r="C281" s="9">
        <v>0.5490196078431373</v>
      </c>
    </row>
    <row r="282" spans="1:3">
      <c r="A282" s="8">
        <v>330698.92473118275</v>
      </c>
      <c r="B282" s="8">
        <v>0</v>
      </c>
      <c r="C282" s="9">
        <v>0.5490196078431373</v>
      </c>
    </row>
    <row r="283" spans="1:3">
      <c r="A283" s="8">
        <v>331397.84946236562</v>
      </c>
      <c r="B283" s="8">
        <v>0</v>
      </c>
      <c r="C283" s="9">
        <v>0.5490196078431373</v>
      </c>
    </row>
    <row r="284" spans="1:3">
      <c r="A284" s="8">
        <v>332096.77419354836</v>
      </c>
      <c r="B284" s="8">
        <v>0</v>
      </c>
      <c r="C284" s="9">
        <v>0.5490196078431373</v>
      </c>
    </row>
    <row r="285" spans="1:3">
      <c r="A285" s="8">
        <v>332795.69892473117</v>
      </c>
      <c r="B285" s="8">
        <v>0</v>
      </c>
      <c r="C285" s="9">
        <v>0.5490196078431373</v>
      </c>
    </row>
    <row r="286" spans="1:3">
      <c r="A286" s="8">
        <v>333494.62365591398</v>
      </c>
      <c r="B286" s="8">
        <v>0</v>
      </c>
      <c r="C286" s="9">
        <v>0.5490196078431373</v>
      </c>
    </row>
    <row r="287" spans="1:3">
      <c r="A287" s="8">
        <v>334193.54838709673</v>
      </c>
      <c r="B287" s="8">
        <v>0</v>
      </c>
      <c r="C287" s="9">
        <v>0.5490196078431373</v>
      </c>
    </row>
    <row r="288" spans="1:3">
      <c r="A288" s="8">
        <v>334892.47311827959</v>
      </c>
      <c r="B288" s="8">
        <v>0</v>
      </c>
      <c r="C288" s="9">
        <v>0.5490196078431373</v>
      </c>
    </row>
    <row r="289" spans="1:3">
      <c r="A289" s="8">
        <v>335591.39784946234</v>
      </c>
      <c r="B289" s="8">
        <v>0</v>
      </c>
      <c r="C289" s="9">
        <v>0.5490196078431373</v>
      </c>
    </row>
    <row r="290" spans="1:3">
      <c r="A290" s="8">
        <v>336290.32258064515</v>
      </c>
      <c r="B290" s="8">
        <v>0</v>
      </c>
      <c r="C290" s="9">
        <v>0.5490196078431373</v>
      </c>
    </row>
    <row r="291" spans="1:3">
      <c r="A291" s="8">
        <v>336989.24731182796</v>
      </c>
      <c r="B291" s="8">
        <v>0</v>
      </c>
      <c r="C291" s="9">
        <v>0.5490196078431373</v>
      </c>
    </row>
    <row r="292" spans="1:3">
      <c r="A292" s="8">
        <v>337688.17204301071</v>
      </c>
      <c r="B292" s="8">
        <v>0</v>
      </c>
      <c r="C292" s="9">
        <v>0.5490196078431373</v>
      </c>
    </row>
    <row r="293" spans="1:3">
      <c r="A293" s="8">
        <v>338387.09677419357</v>
      </c>
      <c r="B293" s="8">
        <v>0</v>
      </c>
      <c r="C293" s="9">
        <v>0.5490196078431373</v>
      </c>
    </row>
    <row r="294" spans="1:3">
      <c r="A294" s="8">
        <v>339086.02150537632</v>
      </c>
      <c r="B294" s="8">
        <v>0</v>
      </c>
      <c r="C294" s="9">
        <v>0.5490196078431373</v>
      </c>
    </row>
    <row r="295" spans="1:3">
      <c r="A295" s="8">
        <v>339784.94623655913</v>
      </c>
      <c r="B295" s="8">
        <v>0</v>
      </c>
      <c r="C295" s="9">
        <v>0.5490196078431373</v>
      </c>
    </row>
    <row r="296" spans="1:3">
      <c r="A296" s="8">
        <v>340483.87096774194</v>
      </c>
      <c r="B296" s="8">
        <v>0</v>
      </c>
      <c r="C296" s="9">
        <v>0.5490196078431373</v>
      </c>
    </row>
    <row r="297" spans="1:3">
      <c r="A297" s="8">
        <v>341182.79569892469</v>
      </c>
      <c r="B297" s="8">
        <v>0</v>
      </c>
      <c r="C297" s="9">
        <v>0.5490196078431373</v>
      </c>
    </row>
    <row r="298" spans="1:3">
      <c r="A298" s="8">
        <v>341881.72043010755</v>
      </c>
      <c r="B298" s="8">
        <v>0</v>
      </c>
      <c r="C298" s="9">
        <v>0.5490196078431373</v>
      </c>
    </row>
    <row r="299" spans="1:3">
      <c r="A299" s="8">
        <v>342580.6451612903</v>
      </c>
      <c r="B299" s="8">
        <v>0</v>
      </c>
      <c r="C299" s="9">
        <v>0.5490196078431373</v>
      </c>
    </row>
    <row r="300" spans="1:3">
      <c r="A300" s="8">
        <v>343279.56989247311</v>
      </c>
      <c r="B300" s="8">
        <v>1</v>
      </c>
      <c r="C300" s="9">
        <v>0.56862745098039214</v>
      </c>
    </row>
    <row r="301" spans="1:3">
      <c r="A301" s="8">
        <v>343978.49462365592</v>
      </c>
      <c r="B301" s="8">
        <v>0</v>
      </c>
      <c r="C301" s="9">
        <v>0.56862745098039214</v>
      </c>
    </row>
    <row r="302" spans="1:3">
      <c r="A302" s="8">
        <v>344677.41935483867</v>
      </c>
      <c r="B302" s="8">
        <v>0</v>
      </c>
      <c r="C302" s="9">
        <v>0.56862745098039214</v>
      </c>
    </row>
    <row r="303" spans="1:3">
      <c r="A303" s="8">
        <v>345376.34408602153</v>
      </c>
      <c r="B303" s="8">
        <v>0</v>
      </c>
      <c r="C303" s="9">
        <v>0.56862745098039214</v>
      </c>
    </row>
    <row r="304" spans="1:3">
      <c r="A304" s="8">
        <v>346075.26881720428</v>
      </c>
      <c r="B304" s="8">
        <v>0</v>
      </c>
      <c r="C304" s="9">
        <v>0.56862745098039214</v>
      </c>
    </row>
    <row r="305" spans="1:3">
      <c r="A305" s="8">
        <v>346774.19354838709</v>
      </c>
      <c r="B305" s="8">
        <v>0</v>
      </c>
      <c r="C305" s="9">
        <v>0.56862745098039214</v>
      </c>
    </row>
    <row r="306" spans="1:3">
      <c r="A306" s="8">
        <v>347473.1182795699</v>
      </c>
      <c r="B306" s="8">
        <v>0</v>
      </c>
      <c r="C306" s="9">
        <v>0.56862745098039214</v>
      </c>
    </row>
    <row r="307" spans="1:3">
      <c r="A307" s="8">
        <v>348172.04301075265</v>
      </c>
      <c r="B307" s="8">
        <v>0</v>
      </c>
      <c r="C307" s="9">
        <v>0.56862745098039214</v>
      </c>
    </row>
    <row r="308" spans="1:3">
      <c r="A308" s="8">
        <v>348870.96774193546</v>
      </c>
      <c r="B308" s="8">
        <v>0</v>
      </c>
      <c r="C308" s="9">
        <v>0.56862745098039214</v>
      </c>
    </row>
    <row r="309" spans="1:3">
      <c r="A309" s="8">
        <v>349569.89247311826</v>
      </c>
      <c r="B309" s="8">
        <v>0</v>
      </c>
      <c r="C309" s="9">
        <v>0.56862745098039214</v>
      </c>
    </row>
    <row r="310" spans="1:3">
      <c r="A310" s="8">
        <v>350268.81720430107</v>
      </c>
      <c r="B310" s="8">
        <v>2</v>
      </c>
      <c r="C310" s="9">
        <v>0.60784313725490191</v>
      </c>
    </row>
    <row r="311" spans="1:3">
      <c r="A311" s="8">
        <v>350967.74193548388</v>
      </c>
      <c r="B311" s="8">
        <v>0</v>
      </c>
      <c r="C311" s="9">
        <v>0.60784313725490191</v>
      </c>
    </row>
    <row r="312" spans="1:3">
      <c r="A312" s="8">
        <v>351666.66666666663</v>
      </c>
      <c r="B312" s="8">
        <v>0</v>
      </c>
      <c r="C312" s="9">
        <v>0.60784313725490191</v>
      </c>
    </row>
    <row r="313" spans="1:3">
      <c r="A313" s="8">
        <v>352365.59139784944</v>
      </c>
      <c r="B313" s="8">
        <v>0</v>
      </c>
      <c r="C313" s="9">
        <v>0.60784313725490191</v>
      </c>
    </row>
    <row r="314" spans="1:3">
      <c r="A314" s="8">
        <v>353064.51612903224</v>
      </c>
      <c r="B314" s="8">
        <v>0</v>
      </c>
      <c r="C314" s="9">
        <v>0.60784313725490191</v>
      </c>
    </row>
    <row r="315" spans="1:3">
      <c r="A315" s="8">
        <v>353763.44086021505</v>
      </c>
      <c r="B315" s="8">
        <v>0</v>
      </c>
      <c r="C315" s="9">
        <v>0.60784313725490191</v>
      </c>
    </row>
    <row r="316" spans="1:3">
      <c r="A316" s="8">
        <v>354462.36559139786</v>
      </c>
      <c r="B316" s="8">
        <v>0</v>
      </c>
      <c r="C316" s="9">
        <v>0.60784313725490191</v>
      </c>
    </row>
    <row r="317" spans="1:3">
      <c r="A317" s="8">
        <v>355161.29032258061</v>
      </c>
      <c r="B317" s="8">
        <v>0</v>
      </c>
      <c r="C317" s="9">
        <v>0.60784313725490191</v>
      </c>
    </row>
    <row r="318" spans="1:3">
      <c r="A318" s="8">
        <v>355860.21505376342</v>
      </c>
      <c r="B318" s="8">
        <v>0</v>
      </c>
      <c r="C318" s="9">
        <v>0.60784313725490191</v>
      </c>
    </row>
    <row r="319" spans="1:3">
      <c r="A319" s="8">
        <v>356559.13978494622</v>
      </c>
      <c r="B319" s="8">
        <v>0</v>
      </c>
      <c r="C319" s="9">
        <v>0.60784313725490191</v>
      </c>
    </row>
    <row r="320" spans="1:3">
      <c r="A320" s="8">
        <v>357258.06451612903</v>
      </c>
      <c r="B320" s="8">
        <v>0</v>
      </c>
      <c r="C320" s="9">
        <v>0.60784313725490191</v>
      </c>
    </row>
    <row r="321" spans="1:3">
      <c r="A321" s="8">
        <v>357956.98924731184</v>
      </c>
      <c r="B321" s="8">
        <v>0</v>
      </c>
      <c r="C321" s="9">
        <v>0.60784313725490191</v>
      </c>
    </row>
    <row r="322" spans="1:3">
      <c r="A322" s="8">
        <v>358655.91397849459</v>
      </c>
      <c r="B322" s="8">
        <v>0</v>
      </c>
      <c r="C322" s="9">
        <v>0.60784313725490191</v>
      </c>
    </row>
    <row r="323" spans="1:3">
      <c r="A323" s="8">
        <v>359354.83870967739</v>
      </c>
      <c r="B323" s="8">
        <v>0</v>
      </c>
      <c r="C323" s="9">
        <v>0.60784313725490191</v>
      </c>
    </row>
    <row r="324" spans="1:3">
      <c r="A324" s="8">
        <v>360053.7634408602</v>
      </c>
      <c r="B324" s="8">
        <v>0</v>
      </c>
      <c r="C324" s="9">
        <v>0.60784313725490191</v>
      </c>
    </row>
    <row r="325" spans="1:3">
      <c r="A325" s="8">
        <v>360752.68817204301</v>
      </c>
      <c r="B325" s="8">
        <v>0</v>
      </c>
      <c r="C325" s="9">
        <v>0.60784313725490191</v>
      </c>
    </row>
    <row r="326" spans="1:3">
      <c r="A326" s="8">
        <v>361451.61290322582</v>
      </c>
      <c r="B326" s="8">
        <v>0</v>
      </c>
      <c r="C326" s="9">
        <v>0.60784313725490191</v>
      </c>
    </row>
    <row r="327" spans="1:3">
      <c r="A327" s="8">
        <v>362150.53763440857</v>
      </c>
      <c r="B327" s="8">
        <v>0</v>
      </c>
      <c r="C327" s="9">
        <v>0.60784313725490191</v>
      </c>
    </row>
    <row r="328" spans="1:3">
      <c r="A328" s="8">
        <v>362849.46236559137</v>
      </c>
      <c r="B328" s="8">
        <v>0</v>
      </c>
      <c r="C328" s="9">
        <v>0.60784313725490191</v>
      </c>
    </row>
    <row r="329" spans="1:3">
      <c r="A329" s="8">
        <v>363548.38709677418</v>
      </c>
      <c r="B329" s="8">
        <v>0</v>
      </c>
      <c r="C329" s="9">
        <v>0.60784313725490191</v>
      </c>
    </row>
    <row r="330" spans="1:3">
      <c r="A330" s="8">
        <v>364247.31182795693</v>
      </c>
      <c r="B330" s="8">
        <v>0</v>
      </c>
      <c r="C330" s="9">
        <v>0.60784313725490191</v>
      </c>
    </row>
    <row r="331" spans="1:3">
      <c r="A331" s="8">
        <v>364946.2365591398</v>
      </c>
      <c r="B331" s="8">
        <v>0</v>
      </c>
      <c r="C331" s="9">
        <v>0.60784313725490191</v>
      </c>
    </row>
    <row r="332" spans="1:3">
      <c r="A332" s="8">
        <v>365645.16129032255</v>
      </c>
      <c r="B332" s="8">
        <v>0</v>
      </c>
      <c r="C332" s="9">
        <v>0.60784313725490191</v>
      </c>
    </row>
    <row r="333" spans="1:3">
      <c r="A333" s="8">
        <v>366344.08602150535</v>
      </c>
      <c r="B333" s="8">
        <v>0</v>
      </c>
      <c r="C333" s="9">
        <v>0.60784313725490191</v>
      </c>
    </row>
    <row r="334" spans="1:3">
      <c r="A334" s="8">
        <v>367043.01075268816</v>
      </c>
      <c r="B334" s="8">
        <v>0</v>
      </c>
      <c r="C334" s="9">
        <v>0.60784313725490191</v>
      </c>
    </row>
    <row r="335" spans="1:3">
      <c r="A335" s="8">
        <v>367741.93548387091</v>
      </c>
      <c r="B335" s="8">
        <v>0</v>
      </c>
      <c r="C335" s="9">
        <v>0.60784313725490191</v>
      </c>
    </row>
    <row r="336" spans="1:3">
      <c r="A336" s="8">
        <v>368440.86021505378</v>
      </c>
      <c r="B336" s="8">
        <v>0</v>
      </c>
      <c r="C336" s="9">
        <v>0.60784313725490191</v>
      </c>
    </row>
    <row r="337" spans="1:3">
      <c r="A337" s="8">
        <v>369139.78494623653</v>
      </c>
      <c r="B337" s="8">
        <v>0</v>
      </c>
      <c r="C337" s="9">
        <v>0.60784313725490191</v>
      </c>
    </row>
    <row r="338" spans="1:3">
      <c r="A338" s="8">
        <v>369838.70967741933</v>
      </c>
      <c r="B338" s="8">
        <v>0</v>
      </c>
      <c r="C338" s="9">
        <v>0.60784313725490191</v>
      </c>
    </row>
    <row r="339" spans="1:3">
      <c r="A339" s="8">
        <v>370537.63440860214</v>
      </c>
      <c r="B339" s="8">
        <v>1</v>
      </c>
      <c r="C339" s="9">
        <v>0.62745098039215685</v>
      </c>
    </row>
    <row r="340" spans="1:3">
      <c r="A340" s="8">
        <v>371236.55913978489</v>
      </c>
      <c r="B340" s="8">
        <v>0</v>
      </c>
      <c r="C340" s="9">
        <v>0.62745098039215685</v>
      </c>
    </row>
    <row r="341" spans="1:3">
      <c r="A341" s="8">
        <v>371935.48387096776</v>
      </c>
      <c r="B341" s="8">
        <v>0</v>
      </c>
      <c r="C341" s="9">
        <v>0.62745098039215685</v>
      </c>
    </row>
    <row r="342" spans="1:3">
      <c r="A342" s="8">
        <v>372634.40860215051</v>
      </c>
      <c r="B342" s="8">
        <v>0</v>
      </c>
      <c r="C342" s="9">
        <v>0.62745098039215685</v>
      </c>
    </row>
    <row r="343" spans="1:3">
      <c r="A343" s="8">
        <v>373333.33333333331</v>
      </c>
      <c r="B343" s="8">
        <v>0</v>
      </c>
      <c r="C343" s="9">
        <v>0.62745098039215685</v>
      </c>
    </row>
    <row r="344" spans="1:3">
      <c r="A344" s="8">
        <v>374032.25806451612</v>
      </c>
      <c r="B344" s="8">
        <v>0</v>
      </c>
      <c r="C344" s="9">
        <v>0.62745098039215685</v>
      </c>
    </row>
    <row r="345" spans="1:3">
      <c r="A345" s="8">
        <v>374731.18279569887</v>
      </c>
      <c r="B345" s="8">
        <v>0</v>
      </c>
      <c r="C345" s="9">
        <v>0.62745098039215685</v>
      </c>
    </row>
    <row r="346" spans="1:3">
      <c r="A346" s="8">
        <v>375430.10752688174</v>
      </c>
      <c r="B346" s="8">
        <v>3</v>
      </c>
      <c r="C346" s="9">
        <v>0.68627450980392157</v>
      </c>
    </row>
    <row r="347" spans="1:3">
      <c r="A347" s="8">
        <v>376129.03225806449</v>
      </c>
      <c r="B347" s="8">
        <v>0</v>
      </c>
      <c r="C347" s="9">
        <v>0.68627450980392157</v>
      </c>
    </row>
    <row r="348" spans="1:3">
      <c r="A348" s="8">
        <v>376827.95698924729</v>
      </c>
      <c r="B348" s="8">
        <v>0</v>
      </c>
      <c r="C348" s="9">
        <v>0.68627450980392157</v>
      </c>
    </row>
    <row r="349" spans="1:3">
      <c r="A349" s="8">
        <v>377526.8817204301</v>
      </c>
      <c r="B349" s="8">
        <v>0</v>
      </c>
      <c r="C349" s="9">
        <v>0.68627450980392157</v>
      </c>
    </row>
    <row r="350" spans="1:3">
      <c r="A350" s="8">
        <v>378225.80645161285</v>
      </c>
      <c r="B350" s="8">
        <v>0</v>
      </c>
      <c r="C350" s="9">
        <v>0.68627450980392157</v>
      </c>
    </row>
    <row r="351" spans="1:3">
      <c r="A351" s="8">
        <v>378924.73118279572</v>
      </c>
      <c r="B351" s="8">
        <v>0</v>
      </c>
      <c r="C351" s="9">
        <v>0.68627450980392157</v>
      </c>
    </row>
    <row r="352" spans="1:3">
      <c r="A352" s="8">
        <v>379623.65591397847</v>
      </c>
      <c r="B352" s="8">
        <v>0</v>
      </c>
      <c r="C352" s="9">
        <v>0.68627450980392157</v>
      </c>
    </row>
    <row r="353" spans="1:3">
      <c r="A353" s="8">
        <v>380322.58064516127</v>
      </c>
      <c r="B353" s="8">
        <v>0</v>
      </c>
      <c r="C353" s="9">
        <v>0.68627450980392157</v>
      </c>
    </row>
    <row r="354" spans="1:3">
      <c r="A354" s="8">
        <v>381021.50537634408</v>
      </c>
      <c r="B354" s="8">
        <v>0</v>
      </c>
      <c r="C354" s="9">
        <v>0.68627450980392157</v>
      </c>
    </row>
    <row r="355" spans="1:3">
      <c r="A355" s="8">
        <v>381720.43010752683</v>
      </c>
      <c r="B355" s="8">
        <v>0</v>
      </c>
      <c r="C355" s="9">
        <v>0.68627450980392157</v>
      </c>
    </row>
    <row r="356" spans="1:3">
      <c r="A356" s="8">
        <v>382419.3548387097</v>
      </c>
      <c r="B356" s="8">
        <v>0</v>
      </c>
      <c r="C356" s="9">
        <v>0.68627450980392157</v>
      </c>
    </row>
    <row r="357" spans="1:3">
      <c r="A357" s="8">
        <v>383118.27956989245</v>
      </c>
      <c r="B357" s="8">
        <v>0</v>
      </c>
      <c r="C357" s="9">
        <v>0.68627450980392157</v>
      </c>
    </row>
    <row r="358" spans="1:3">
      <c r="A358" s="8">
        <v>383817.20430107525</v>
      </c>
      <c r="B358" s="8">
        <v>0</v>
      </c>
      <c r="C358" s="9">
        <v>0.68627450980392157</v>
      </c>
    </row>
    <row r="359" spans="1:3">
      <c r="A359" s="8">
        <v>384516.12903225806</v>
      </c>
      <c r="B359" s="8">
        <v>0</v>
      </c>
      <c r="C359" s="9">
        <v>0.68627450980392157</v>
      </c>
    </row>
    <row r="360" spans="1:3">
      <c r="A360" s="8">
        <v>385215.05376344081</v>
      </c>
      <c r="B360" s="8">
        <v>0</v>
      </c>
      <c r="C360" s="9">
        <v>0.68627450980392157</v>
      </c>
    </row>
    <row r="361" spans="1:3">
      <c r="A361" s="8">
        <v>385913.97849462368</v>
      </c>
      <c r="B361" s="8">
        <v>0</v>
      </c>
      <c r="C361" s="9">
        <v>0.68627450980392157</v>
      </c>
    </row>
    <row r="362" spans="1:3">
      <c r="A362" s="8">
        <v>386612.90322580643</v>
      </c>
      <c r="B362" s="8">
        <v>0</v>
      </c>
      <c r="C362" s="9">
        <v>0.68627450980392157</v>
      </c>
    </row>
    <row r="363" spans="1:3">
      <c r="A363" s="8">
        <v>387311.82795698923</v>
      </c>
      <c r="B363" s="8">
        <v>0</v>
      </c>
      <c r="C363" s="9">
        <v>0.68627450980392157</v>
      </c>
    </row>
    <row r="364" spans="1:3">
      <c r="A364" s="8">
        <v>388010.75268817204</v>
      </c>
      <c r="B364" s="8">
        <v>0</v>
      </c>
      <c r="C364" s="9">
        <v>0.68627450980392157</v>
      </c>
    </row>
    <row r="365" spans="1:3">
      <c r="A365" s="8">
        <v>388709.67741935479</v>
      </c>
      <c r="B365" s="8">
        <v>0</v>
      </c>
      <c r="C365" s="9">
        <v>0.68627450980392157</v>
      </c>
    </row>
    <row r="366" spans="1:3">
      <c r="A366" s="8">
        <v>389408.60215053766</v>
      </c>
      <c r="B366" s="8">
        <v>0</v>
      </c>
      <c r="C366" s="9">
        <v>0.68627450980392157</v>
      </c>
    </row>
    <row r="367" spans="1:3">
      <c r="A367" s="8">
        <v>390107.52688172041</v>
      </c>
      <c r="B367" s="8">
        <v>0</v>
      </c>
      <c r="C367" s="9">
        <v>0.68627450980392157</v>
      </c>
    </row>
    <row r="368" spans="1:3">
      <c r="A368" s="8">
        <v>390806.45161290321</v>
      </c>
      <c r="B368" s="8">
        <v>0</v>
      </c>
      <c r="C368" s="9">
        <v>0.68627450980392157</v>
      </c>
    </row>
    <row r="369" spans="1:3">
      <c r="A369" s="8">
        <v>391505.37634408602</v>
      </c>
      <c r="B369" s="8">
        <v>0</v>
      </c>
      <c r="C369" s="9">
        <v>0.68627450980392157</v>
      </c>
    </row>
    <row r="370" spans="1:3">
      <c r="A370" s="8">
        <v>392204.30107526877</v>
      </c>
      <c r="B370" s="8">
        <v>1</v>
      </c>
      <c r="C370" s="9">
        <v>0.70588235294117652</v>
      </c>
    </row>
    <row r="371" spans="1:3">
      <c r="A371" s="8">
        <v>392903.22580645164</v>
      </c>
      <c r="B371" s="8">
        <v>0</v>
      </c>
      <c r="C371" s="9">
        <v>0.70588235294117652</v>
      </c>
    </row>
    <row r="372" spans="1:3">
      <c r="A372" s="8">
        <v>393602.15053763438</v>
      </c>
      <c r="B372" s="8">
        <v>0</v>
      </c>
      <c r="C372" s="9">
        <v>0.70588235294117652</v>
      </c>
    </row>
    <row r="373" spans="1:3">
      <c r="A373" s="8">
        <v>394301.07526881719</v>
      </c>
      <c r="B373" s="8">
        <v>0</v>
      </c>
      <c r="C373" s="9">
        <v>0.70588235294117652</v>
      </c>
    </row>
    <row r="374" spans="1:3">
      <c r="A374" s="8">
        <v>395000</v>
      </c>
      <c r="B374" s="8">
        <v>0</v>
      </c>
      <c r="C374" s="9">
        <v>0.70588235294117652</v>
      </c>
    </row>
    <row r="375" spans="1:3">
      <c r="A375" s="8">
        <v>395698.92473118275</v>
      </c>
      <c r="B375" s="8">
        <v>0</v>
      </c>
      <c r="C375" s="9">
        <v>0.70588235294117652</v>
      </c>
    </row>
    <row r="376" spans="1:3">
      <c r="A376" s="8">
        <v>396397.84946236562</v>
      </c>
      <c r="B376" s="8">
        <v>0</v>
      </c>
      <c r="C376" s="9">
        <v>0.70588235294117652</v>
      </c>
    </row>
    <row r="377" spans="1:3">
      <c r="A377" s="8">
        <v>397096.77419354836</v>
      </c>
      <c r="B377" s="8">
        <v>0</v>
      </c>
      <c r="C377" s="9">
        <v>0.70588235294117652</v>
      </c>
    </row>
    <row r="378" spans="1:3">
      <c r="A378" s="8">
        <v>397795.69892473117</v>
      </c>
      <c r="B378" s="8">
        <v>0</v>
      </c>
      <c r="C378" s="9">
        <v>0.70588235294117652</v>
      </c>
    </row>
    <row r="379" spans="1:3">
      <c r="A379" s="8">
        <v>398494.62365591398</v>
      </c>
      <c r="B379" s="8">
        <v>0</v>
      </c>
      <c r="C379" s="9">
        <v>0.70588235294117652</v>
      </c>
    </row>
    <row r="380" spans="1:3">
      <c r="A380" s="8">
        <v>399193.54838709673</v>
      </c>
      <c r="B380" s="8">
        <v>0</v>
      </c>
      <c r="C380" s="9">
        <v>0.70588235294117652</v>
      </c>
    </row>
    <row r="381" spans="1:3">
      <c r="A381" s="8">
        <v>399892.47311827954</v>
      </c>
      <c r="B381" s="8">
        <v>0</v>
      </c>
      <c r="C381" s="9">
        <v>0.70588235294117652</v>
      </c>
    </row>
    <row r="382" spans="1:3">
      <c r="A382" s="8">
        <v>400591.39784946234</v>
      </c>
      <c r="B382" s="8">
        <v>1</v>
      </c>
      <c r="C382" s="9">
        <v>0.72549019607843135</v>
      </c>
    </row>
    <row r="383" spans="1:3">
      <c r="A383" s="8">
        <v>401290.32258064515</v>
      </c>
      <c r="B383" s="8">
        <v>0</v>
      </c>
      <c r="C383" s="9">
        <v>0.72549019607843135</v>
      </c>
    </row>
    <row r="384" spans="1:3">
      <c r="A384" s="8">
        <v>401989.24731182796</v>
      </c>
      <c r="B384" s="8">
        <v>0</v>
      </c>
      <c r="C384" s="9">
        <v>0.72549019607843135</v>
      </c>
    </row>
    <row r="385" spans="1:3">
      <c r="A385" s="8">
        <v>402688.17204301071</v>
      </c>
      <c r="B385" s="8">
        <v>0</v>
      </c>
      <c r="C385" s="9">
        <v>0.72549019607843135</v>
      </c>
    </row>
    <row r="386" spans="1:3">
      <c r="A386" s="8">
        <v>403387.09677419352</v>
      </c>
      <c r="B386" s="8">
        <v>0</v>
      </c>
      <c r="C386" s="9">
        <v>0.72549019607843135</v>
      </c>
    </row>
    <row r="387" spans="1:3">
      <c r="A387" s="8">
        <v>404086.02150537632</v>
      </c>
      <c r="B387" s="8">
        <v>0</v>
      </c>
      <c r="C387" s="9">
        <v>0.72549019607843135</v>
      </c>
    </row>
    <row r="388" spans="1:3">
      <c r="A388" s="8">
        <v>404784.94623655913</v>
      </c>
      <c r="B388" s="8">
        <v>0</v>
      </c>
      <c r="C388" s="9">
        <v>0.72549019607843135</v>
      </c>
    </row>
    <row r="389" spans="1:3">
      <c r="A389" s="8">
        <v>405483.87096774194</v>
      </c>
      <c r="B389" s="8">
        <v>0</v>
      </c>
      <c r="C389" s="9">
        <v>0.72549019607843135</v>
      </c>
    </row>
    <row r="390" spans="1:3">
      <c r="A390" s="8">
        <v>406182.79569892469</v>
      </c>
      <c r="B390" s="8">
        <v>0</v>
      </c>
      <c r="C390" s="9">
        <v>0.72549019607843135</v>
      </c>
    </row>
    <row r="391" spans="1:3">
      <c r="A391" s="8">
        <v>406881.7204301075</v>
      </c>
      <c r="B391" s="8">
        <v>0</v>
      </c>
      <c r="C391" s="9">
        <v>0.72549019607843135</v>
      </c>
    </row>
    <row r="392" spans="1:3">
      <c r="A392" s="8">
        <v>407580.6451612903</v>
      </c>
      <c r="B392" s="8">
        <v>0</v>
      </c>
      <c r="C392" s="9">
        <v>0.72549019607843135</v>
      </c>
    </row>
    <row r="393" spans="1:3">
      <c r="A393" s="8">
        <v>408279.56989247311</v>
      </c>
      <c r="B393" s="8">
        <v>0</v>
      </c>
      <c r="C393" s="9">
        <v>0.72549019607843135</v>
      </c>
    </row>
    <row r="394" spans="1:3">
      <c r="A394" s="8">
        <v>408978.49462365592</v>
      </c>
      <c r="B394" s="8">
        <v>0</v>
      </c>
      <c r="C394" s="9">
        <v>0.72549019607843135</v>
      </c>
    </row>
    <row r="395" spans="1:3">
      <c r="A395" s="8">
        <v>409677.41935483867</v>
      </c>
      <c r="B395" s="8">
        <v>0</v>
      </c>
      <c r="C395" s="9">
        <v>0.72549019607843135</v>
      </c>
    </row>
    <row r="396" spans="1:3">
      <c r="A396" s="8">
        <v>410376.34408602148</v>
      </c>
      <c r="B396" s="8">
        <v>0</v>
      </c>
      <c r="C396" s="9">
        <v>0.72549019607843135</v>
      </c>
    </row>
    <row r="397" spans="1:3">
      <c r="A397" s="8">
        <v>411075.26881720428</v>
      </c>
      <c r="B397" s="8">
        <v>0</v>
      </c>
      <c r="C397" s="9">
        <v>0.72549019607843135</v>
      </c>
    </row>
    <row r="398" spans="1:3">
      <c r="A398" s="8">
        <v>411774.19354838709</v>
      </c>
      <c r="B398" s="8">
        <v>0</v>
      </c>
      <c r="C398" s="9">
        <v>0.72549019607843135</v>
      </c>
    </row>
    <row r="399" spans="1:3">
      <c r="A399" s="8">
        <v>412473.1182795699</v>
      </c>
      <c r="B399" s="8">
        <v>0</v>
      </c>
      <c r="C399" s="9">
        <v>0.72549019607843135</v>
      </c>
    </row>
    <row r="400" spans="1:3">
      <c r="A400" s="8">
        <v>413172.04301075265</v>
      </c>
      <c r="B400" s="8">
        <v>0</v>
      </c>
      <c r="C400" s="9">
        <v>0.72549019607843135</v>
      </c>
    </row>
    <row r="401" spans="1:3">
      <c r="A401" s="8">
        <v>413870.96774193546</v>
      </c>
      <c r="B401" s="8">
        <v>0</v>
      </c>
      <c r="C401" s="9">
        <v>0.72549019607843135</v>
      </c>
    </row>
    <row r="402" spans="1:3">
      <c r="A402" s="8">
        <v>414569.89247311826</v>
      </c>
      <c r="B402" s="8">
        <v>0</v>
      </c>
      <c r="C402" s="9">
        <v>0.72549019607843135</v>
      </c>
    </row>
    <row r="403" spans="1:3">
      <c r="A403" s="8">
        <v>415268.81720430107</v>
      </c>
      <c r="B403" s="8">
        <v>0</v>
      </c>
      <c r="C403" s="9">
        <v>0.72549019607843135</v>
      </c>
    </row>
    <row r="404" spans="1:3">
      <c r="A404" s="8">
        <v>415967.74193548388</v>
      </c>
      <c r="B404" s="8">
        <v>0</v>
      </c>
      <c r="C404" s="9">
        <v>0.72549019607843135</v>
      </c>
    </row>
    <row r="405" spans="1:3">
      <c r="A405" s="8">
        <v>416666.66666666663</v>
      </c>
      <c r="B405" s="8">
        <v>0</v>
      </c>
      <c r="C405" s="9">
        <v>0.72549019607843135</v>
      </c>
    </row>
    <row r="406" spans="1:3">
      <c r="A406" s="8">
        <v>417365.59139784944</v>
      </c>
      <c r="B406" s="8">
        <v>0</v>
      </c>
      <c r="C406" s="9">
        <v>0.72549019607843135</v>
      </c>
    </row>
    <row r="407" spans="1:3">
      <c r="A407" s="8">
        <v>418064.51612903224</v>
      </c>
      <c r="B407" s="8">
        <v>0</v>
      </c>
      <c r="C407" s="9">
        <v>0.72549019607843135</v>
      </c>
    </row>
    <row r="408" spans="1:3">
      <c r="A408" s="8">
        <v>418763.44086021505</v>
      </c>
      <c r="B408" s="8">
        <v>0</v>
      </c>
      <c r="C408" s="9">
        <v>0.72549019607843135</v>
      </c>
    </row>
    <row r="409" spans="1:3">
      <c r="A409" s="8">
        <v>419462.36559139786</v>
      </c>
      <c r="B409" s="8">
        <v>0</v>
      </c>
      <c r="C409" s="9">
        <v>0.72549019607843135</v>
      </c>
    </row>
    <row r="410" spans="1:3">
      <c r="A410" s="8">
        <v>420161.29032258061</v>
      </c>
      <c r="B410" s="8">
        <v>0</v>
      </c>
      <c r="C410" s="9">
        <v>0.72549019607843135</v>
      </c>
    </row>
    <row r="411" spans="1:3">
      <c r="A411" s="8">
        <v>420860.21505376342</v>
      </c>
      <c r="B411" s="8">
        <v>0</v>
      </c>
      <c r="C411" s="9">
        <v>0.72549019607843135</v>
      </c>
    </row>
    <row r="412" spans="1:3">
      <c r="A412" s="8">
        <v>421559.13978494622</v>
      </c>
      <c r="B412" s="8">
        <v>0</v>
      </c>
      <c r="C412" s="9">
        <v>0.72549019607843135</v>
      </c>
    </row>
    <row r="413" spans="1:3">
      <c r="A413" s="8">
        <v>422258.06451612903</v>
      </c>
      <c r="B413" s="8">
        <v>0</v>
      </c>
      <c r="C413" s="9">
        <v>0.72549019607843135</v>
      </c>
    </row>
    <row r="414" spans="1:3">
      <c r="A414" s="8">
        <v>422956.98924731184</v>
      </c>
      <c r="B414" s="8">
        <v>0</v>
      </c>
      <c r="C414" s="9">
        <v>0.72549019607843135</v>
      </c>
    </row>
    <row r="415" spans="1:3">
      <c r="A415" s="8">
        <v>423655.91397849459</v>
      </c>
      <c r="B415" s="8">
        <v>0</v>
      </c>
      <c r="C415" s="9">
        <v>0.72549019607843135</v>
      </c>
    </row>
    <row r="416" spans="1:3">
      <c r="A416" s="8">
        <v>424354.83870967739</v>
      </c>
      <c r="B416" s="8">
        <v>0</v>
      </c>
      <c r="C416" s="9">
        <v>0.72549019607843135</v>
      </c>
    </row>
    <row r="417" spans="1:3">
      <c r="A417" s="8">
        <v>425053.7634408602</v>
      </c>
      <c r="B417" s="8">
        <v>1</v>
      </c>
      <c r="C417" s="9">
        <v>0.74509803921568629</v>
      </c>
    </row>
    <row r="418" spans="1:3">
      <c r="A418" s="8">
        <v>425752.68817204301</v>
      </c>
      <c r="B418" s="8">
        <v>0</v>
      </c>
      <c r="C418" s="9">
        <v>0.74509803921568629</v>
      </c>
    </row>
    <row r="419" spans="1:3">
      <c r="A419" s="8">
        <v>426451.61290322576</v>
      </c>
      <c r="B419" s="8">
        <v>0</v>
      </c>
      <c r="C419" s="9">
        <v>0.74509803921568629</v>
      </c>
    </row>
    <row r="420" spans="1:3">
      <c r="A420" s="8">
        <v>427150.53763440857</v>
      </c>
      <c r="B420" s="8">
        <v>0</v>
      </c>
      <c r="C420" s="9">
        <v>0.74509803921568629</v>
      </c>
    </row>
    <row r="421" spans="1:3">
      <c r="A421" s="8">
        <v>427849.46236559137</v>
      </c>
      <c r="B421" s="8">
        <v>0</v>
      </c>
      <c r="C421" s="9">
        <v>0.74509803921568629</v>
      </c>
    </row>
    <row r="422" spans="1:3">
      <c r="A422" s="8">
        <v>428548.38709677418</v>
      </c>
      <c r="B422" s="8">
        <v>0</v>
      </c>
      <c r="C422" s="9">
        <v>0.74509803921568629</v>
      </c>
    </row>
    <row r="423" spans="1:3">
      <c r="A423" s="8">
        <v>429247.31182795699</v>
      </c>
      <c r="B423" s="8">
        <v>0</v>
      </c>
      <c r="C423" s="9">
        <v>0.74509803921568629</v>
      </c>
    </row>
    <row r="424" spans="1:3">
      <c r="A424" s="8">
        <v>429946.23655913974</v>
      </c>
      <c r="B424" s="8">
        <v>0</v>
      </c>
      <c r="C424" s="9">
        <v>0.74509803921568629</v>
      </c>
    </row>
    <row r="425" spans="1:3">
      <c r="A425" s="8">
        <v>430645.16129032255</v>
      </c>
      <c r="B425" s="8">
        <v>0</v>
      </c>
      <c r="C425" s="9">
        <v>0.74509803921568629</v>
      </c>
    </row>
    <row r="426" spans="1:3">
      <c r="A426" s="8">
        <v>431344.08602150535</v>
      </c>
      <c r="B426" s="8">
        <v>0</v>
      </c>
      <c r="C426" s="9">
        <v>0.74509803921568629</v>
      </c>
    </row>
    <row r="427" spans="1:3">
      <c r="A427" s="8">
        <v>432043.01075268816</v>
      </c>
      <c r="B427" s="8">
        <v>0</v>
      </c>
      <c r="C427" s="9">
        <v>0.74509803921568629</v>
      </c>
    </row>
    <row r="428" spans="1:3">
      <c r="A428" s="8">
        <v>432741.93548387097</v>
      </c>
      <c r="B428" s="8">
        <v>0</v>
      </c>
      <c r="C428" s="9">
        <v>0.74509803921568629</v>
      </c>
    </row>
    <row r="429" spans="1:3">
      <c r="A429" s="8">
        <v>433440.86021505372</v>
      </c>
      <c r="B429" s="8">
        <v>0</v>
      </c>
      <c r="C429" s="9">
        <v>0.74509803921568629</v>
      </c>
    </row>
    <row r="430" spans="1:3">
      <c r="A430" s="8">
        <v>434139.78494623653</v>
      </c>
      <c r="B430" s="8">
        <v>0</v>
      </c>
      <c r="C430" s="9">
        <v>0.74509803921568629</v>
      </c>
    </row>
    <row r="431" spans="1:3">
      <c r="A431" s="8">
        <v>434838.70967741933</v>
      </c>
      <c r="B431" s="8">
        <v>0</v>
      </c>
      <c r="C431" s="9">
        <v>0.74509803921568629</v>
      </c>
    </row>
    <row r="432" spans="1:3">
      <c r="A432" s="8">
        <v>435537.63440860214</v>
      </c>
      <c r="B432" s="8">
        <v>0</v>
      </c>
      <c r="C432" s="9">
        <v>0.74509803921568629</v>
      </c>
    </row>
    <row r="433" spans="1:3">
      <c r="A433" s="8">
        <v>436236.55913978495</v>
      </c>
      <c r="B433" s="8">
        <v>0</v>
      </c>
      <c r="C433" s="9">
        <v>0.74509803921568629</v>
      </c>
    </row>
    <row r="434" spans="1:3">
      <c r="A434" s="8">
        <v>436935.4838709677</v>
      </c>
      <c r="B434" s="8">
        <v>0</v>
      </c>
      <c r="C434" s="9">
        <v>0.74509803921568629</v>
      </c>
    </row>
    <row r="435" spans="1:3">
      <c r="A435" s="8">
        <v>437634.40860215051</v>
      </c>
      <c r="B435" s="8">
        <v>0</v>
      </c>
      <c r="C435" s="9">
        <v>0.74509803921568629</v>
      </c>
    </row>
    <row r="436" spans="1:3">
      <c r="A436" s="8">
        <v>438333.33333333331</v>
      </c>
      <c r="B436" s="8">
        <v>0</v>
      </c>
      <c r="C436" s="9">
        <v>0.74509803921568629</v>
      </c>
    </row>
    <row r="437" spans="1:3">
      <c r="A437" s="8">
        <v>439032.25806451612</v>
      </c>
      <c r="B437" s="8">
        <v>0</v>
      </c>
      <c r="C437" s="9">
        <v>0.74509803921568629</v>
      </c>
    </row>
    <row r="438" spans="1:3">
      <c r="A438" s="8">
        <v>439731.18279569893</v>
      </c>
      <c r="B438" s="8">
        <v>0</v>
      </c>
      <c r="C438" s="9">
        <v>0.74509803921568629</v>
      </c>
    </row>
    <row r="439" spans="1:3">
      <c r="A439" s="8">
        <v>440430.10752688168</v>
      </c>
      <c r="B439" s="8">
        <v>0</v>
      </c>
      <c r="C439" s="9">
        <v>0.74509803921568629</v>
      </c>
    </row>
    <row r="440" spans="1:3">
      <c r="A440" s="8">
        <v>441129.03225806449</v>
      </c>
      <c r="B440" s="8">
        <v>0</v>
      </c>
      <c r="C440" s="9">
        <v>0.74509803921568629</v>
      </c>
    </row>
    <row r="441" spans="1:3">
      <c r="A441" s="8">
        <v>441827.95698924729</v>
      </c>
      <c r="B441" s="8">
        <v>0</v>
      </c>
      <c r="C441" s="9">
        <v>0.74509803921568629</v>
      </c>
    </row>
    <row r="442" spans="1:3">
      <c r="A442" s="8">
        <v>442526.8817204301</v>
      </c>
      <c r="B442" s="8">
        <v>0</v>
      </c>
      <c r="C442" s="9">
        <v>0.74509803921568629</v>
      </c>
    </row>
    <row r="443" spans="1:3">
      <c r="A443" s="8">
        <v>443225.80645161291</v>
      </c>
      <c r="B443" s="8">
        <v>0</v>
      </c>
      <c r="C443" s="9">
        <v>0.74509803921568629</v>
      </c>
    </row>
    <row r="444" spans="1:3">
      <c r="A444" s="8">
        <v>443924.73118279566</v>
      </c>
      <c r="B444" s="8">
        <v>0</v>
      </c>
      <c r="C444" s="9">
        <v>0.74509803921568629</v>
      </c>
    </row>
    <row r="445" spans="1:3">
      <c r="A445" s="8">
        <v>444623.65591397847</v>
      </c>
      <c r="B445" s="8">
        <v>0</v>
      </c>
      <c r="C445" s="9">
        <v>0.74509803921568629</v>
      </c>
    </row>
    <row r="446" spans="1:3">
      <c r="A446" s="8">
        <v>445322.58064516127</v>
      </c>
      <c r="B446" s="8">
        <v>0</v>
      </c>
      <c r="C446" s="9">
        <v>0.74509803921568629</v>
      </c>
    </row>
    <row r="447" spans="1:3">
      <c r="A447" s="8">
        <v>446021.50537634408</v>
      </c>
      <c r="B447" s="8">
        <v>0</v>
      </c>
      <c r="C447" s="9">
        <v>0.74509803921568629</v>
      </c>
    </row>
    <row r="448" spans="1:3">
      <c r="A448" s="8">
        <v>446720.43010752689</v>
      </c>
      <c r="B448" s="8">
        <v>0</v>
      </c>
      <c r="C448" s="9">
        <v>0.74509803921568629</v>
      </c>
    </row>
    <row r="449" spans="1:3">
      <c r="A449" s="8">
        <v>447419.35483870964</v>
      </c>
      <c r="B449" s="8">
        <v>0</v>
      </c>
      <c r="C449" s="9">
        <v>0.74509803921568629</v>
      </c>
    </row>
    <row r="450" spans="1:3">
      <c r="A450" s="8">
        <v>448118.27956989245</v>
      </c>
      <c r="B450" s="8">
        <v>0</v>
      </c>
      <c r="C450" s="9">
        <v>0.74509803921568629</v>
      </c>
    </row>
    <row r="451" spans="1:3">
      <c r="A451" s="8">
        <v>448817.20430107525</v>
      </c>
      <c r="B451" s="8">
        <v>0</v>
      </c>
      <c r="C451" s="9">
        <v>0.74509803921568629</v>
      </c>
    </row>
    <row r="452" spans="1:3">
      <c r="A452" s="8">
        <v>449516.12903225806</v>
      </c>
      <c r="B452" s="8">
        <v>1</v>
      </c>
      <c r="C452" s="9">
        <v>0.76470588235294112</v>
      </c>
    </row>
    <row r="453" spans="1:3">
      <c r="A453" s="8">
        <v>450215.05376344087</v>
      </c>
      <c r="B453" s="8">
        <v>3</v>
      </c>
      <c r="C453" s="9">
        <v>0.82352941176470584</v>
      </c>
    </row>
    <row r="454" spans="1:3">
      <c r="A454" s="8">
        <v>450913.97849462362</v>
      </c>
      <c r="B454" s="8">
        <v>0</v>
      </c>
      <c r="C454" s="9">
        <v>0.82352941176470584</v>
      </c>
    </row>
    <row r="455" spans="1:3">
      <c r="A455" s="8">
        <v>451612.90322580643</v>
      </c>
      <c r="B455" s="8">
        <v>0</v>
      </c>
      <c r="C455" s="9">
        <v>0.82352941176470584</v>
      </c>
    </row>
    <row r="456" spans="1:3">
      <c r="A456" s="8">
        <v>452311.82795698923</v>
      </c>
      <c r="B456" s="8">
        <v>0</v>
      </c>
      <c r="C456" s="9">
        <v>0.82352941176470584</v>
      </c>
    </row>
    <row r="457" spans="1:3">
      <c r="A457" s="8">
        <v>453010.75268817204</v>
      </c>
      <c r="B457" s="8">
        <v>0</v>
      </c>
      <c r="C457" s="9">
        <v>0.82352941176470584</v>
      </c>
    </row>
    <row r="458" spans="1:3">
      <c r="A458" s="8">
        <v>453709.67741935479</v>
      </c>
      <c r="B458" s="8">
        <v>0</v>
      </c>
      <c r="C458" s="9">
        <v>0.82352941176470584</v>
      </c>
    </row>
    <row r="459" spans="1:3">
      <c r="A459" s="8">
        <v>454408.6021505376</v>
      </c>
      <c r="B459" s="8">
        <v>0</v>
      </c>
      <c r="C459" s="9">
        <v>0.82352941176470584</v>
      </c>
    </row>
    <row r="460" spans="1:3">
      <c r="A460" s="8">
        <v>455107.52688172041</v>
      </c>
      <c r="B460" s="8">
        <v>0</v>
      </c>
      <c r="C460" s="9">
        <v>0.82352941176470584</v>
      </c>
    </row>
    <row r="461" spans="1:3">
      <c r="A461" s="8">
        <v>455806.45161290321</v>
      </c>
      <c r="B461" s="8">
        <v>0</v>
      </c>
      <c r="C461" s="9">
        <v>0.82352941176470584</v>
      </c>
    </row>
    <row r="462" spans="1:3">
      <c r="A462" s="8">
        <v>456505.37634408602</v>
      </c>
      <c r="B462" s="8">
        <v>0</v>
      </c>
      <c r="C462" s="9">
        <v>0.82352941176470584</v>
      </c>
    </row>
    <row r="463" spans="1:3">
      <c r="A463" s="8">
        <v>457204.30107526877</v>
      </c>
      <c r="B463" s="8">
        <v>0</v>
      </c>
      <c r="C463" s="9">
        <v>0.82352941176470584</v>
      </c>
    </row>
    <row r="464" spans="1:3">
      <c r="A464" s="8">
        <v>457903.22580645158</v>
      </c>
      <c r="B464" s="8">
        <v>0</v>
      </c>
      <c r="C464" s="9">
        <v>0.82352941176470584</v>
      </c>
    </row>
    <row r="465" spans="1:3">
      <c r="A465" s="8">
        <v>458602.15053763438</v>
      </c>
      <c r="B465" s="8">
        <v>0</v>
      </c>
      <c r="C465" s="9">
        <v>0.82352941176470584</v>
      </c>
    </row>
    <row r="466" spans="1:3">
      <c r="A466" s="8">
        <v>459301.07526881719</v>
      </c>
      <c r="B466" s="8">
        <v>0</v>
      </c>
      <c r="C466" s="9">
        <v>0.82352941176470584</v>
      </c>
    </row>
    <row r="467" spans="1:3">
      <c r="A467" s="8">
        <v>460000</v>
      </c>
      <c r="B467" s="8">
        <v>0</v>
      </c>
      <c r="C467" s="9">
        <v>0.82352941176470584</v>
      </c>
    </row>
    <row r="468" spans="1:3">
      <c r="A468" s="8">
        <v>460698.92473118275</v>
      </c>
      <c r="B468" s="8">
        <v>0</v>
      </c>
      <c r="C468" s="9">
        <v>0.82352941176470584</v>
      </c>
    </row>
    <row r="469" spans="1:3">
      <c r="A469" s="8">
        <v>461397.84946236556</v>
      </c>
      <c r="B469" s="8">
        <v>0</v>
      </c>
      <c r="C469" s="9">
        <v>0.82352941176470584</v>
      </c>
    </row>
    <row r="470" spans="1:3">
      <c r="A470" s="8">
        <v>462096.77419354836</v>
      </c>
      <c r="B470" s="8">
        <v>0</v>
      </c>
      <c r="C470" s="9">
        <v>0.82352941176470584</v>
      </c>
    </row>
    <row r="471" spans="1:3">
      <c r="A471" s="8">
        <v>462795.69892473117</v>
      </c>
      <c r="B471" s="8">
        <v>0</v>
      </c>
      <c r="C471" s="9">
        <v>0.82352941176470584</v>
      </c>
    </row>
    <row r="472" spans="1:3">
      <c r="A472" s="8">
        <v>463494.62365591398</v>
      </c>
      <c r="B472" s="8">
        <v>0</v>
      </c>
      <c r="C472" s="9">
        <v>0.82352941176470584</v>
      </c>
    </row>
    <row r="473" spans="1:3">
      <c r="A473" s="8">
        <v>464193.54838709673</v>
      </c>
      <c r="B473" s="8">
        <v>0</v>
      </c>
      <c r="C473" s="9">
        <v>0.82352941176470584</v>
      </c>
    </row>
    <row r="474" spans="1:3">
      <c r="A474" s="8">
        <v>464892.47311827954</v>
      </c>
      <c r="B474" s="8">
        <v>0</v>
      </c>
      <c r="C474" s="9">
        <v>0.82352941176470584</v>
      </c>
    </row>
    <row r="475" spans="1:3">
      <c r="A475" s="8">
        <v>465591.39784946234</v>
      </c>
      <c r="B475" s="8">
        <v>1</v>
      </c>
      <c r="C475" s="9">
        <v>0.84313725490196079</v>
      </c>
    </row>
    <row r="476" spans="1:3">
      <c r="A476" s="8">
        <v>466290.32258064515</v>
      </c>
      <c r="B476" s="8">
        <v>0</v>
      </c>
      <c r="C476" s="9">
        <v>0.84313725490196079</v>
      </c>
    </row>
    <row r="477" spans="1:3">
      <c r="A477" s="8">
        <v>466989.24731182796</v>
      </c>
      <c r="B477" s="8">
        <v>0</v>
      </c>
      <c r="C477" s="9">
        <v>0.84313725490196079</v>
      </c>
    </row>
    <row r="478" spans="1:3">
      <c r="A478" s="8">
        <v>467688.17204301071</v>
      </c>
      <c r="B478" s="8">
        <v>0</v>
      </c>
      <c r="C478" s="9">
        <v>0.84313725490196079</v>
      </c>
    </row>
    <row r="479" spans="1:3">
      <c r="A479" s="8">
        <v>468387.09677419352</v>
      </c>
      <c r="B479" s="8">
        <v>0</v>
      </c>
      <c r="C479" s="9">
        <v>0.84313725490196079</v>
      </c>
    </row>
    <row r="480" spans="1:3">
      <c r="A480" s="8">
        <v>469086.02150537632</v>
      </c>
      <c r="B480" s="8">
        <v>0</v>
      </c>
      <c r="C480" s="9">
        <v>0.84313725490196079</v>
      </c>
    </row>
    <row r="481" spans="1:3">
      <c r="A481" s="8">
        <v>469784.94623655913</v>
      </c>
      <c r="B481" s="8">
        <v>0</v>
      </c>
      <c r="C481" s="9">
        <v>0.84313725490196079</v>
      </c>
    </row>
    <row r="482" spans="1:3">
      <c r="A482" s="8">
        <v>470483.87096774194</v>
      </c>
      <c r="B482" s="8">
        <v>0</v>
      </c>
      <c r="C482" s="9">
        <v>0.84313725490196079</v>
      </c>
    </row>
    <row r="483" spans="1:3">
      <c r="A483" s="8">
        <v>471182.79569892469</v>
      </c>
      <c r="B483" s="8">
        <v>0</v>
      </c>
      <c r="C483" s="9">
        <v>0.84313725490196079</v>
      </c>
    </row>
    <row r="484" spans="1:3">
      <c r="A484" s="8">
        <v>471881.7204301075</v>
      </c>
      <c r="B484" s="8">
        <v>0</v>
      </c>
      <c r="C484" s="9">
        <v>0.84313725490196079</v>
      </c>
    </row>
    <row r="485" spans="1:3">
      <c r="A485" s="8">
        <v>472580.6451612903</v>
      </c>
      <c r="B485" s="8">
        <v>0</v>
      </c>
      <c r="C485" s="9">
        <v>0.84313725490196079</v>
      </c>
    </row>
    <row r="486" spans="1:3">
      <c r="A486" s="8">
        <v>473279.56989247311</v>
      </c>
      <c r="B486" s="8">
        <v>0</v>
      </c>
      <c r="C486" s="9">
        <v>0.84313725490196079</v>
      </c>
    </row>
    <row r="487" spans="1:3">
      <c r="A487" s="8">
        <v>473978.49462365592</v>
      </c>
      <c r="B487" s="8">
        <v>0</v>
      </c>
      <c r="C487" s="9">
        <v>0.84313725490196079</v>
      </c>
    </row>
    <row r="488" spans="1:3">
      <c r="A488" s="8">
        <v>474677.41935483867</v>
      </c>
      <c r="B488" s="8">
        <v>0</v>
      </c>
      <c r="C488" s="9">
        <v>0.84313725490196079</v>
      </c>
    </row>
    <row r="489" spans="1:3">
      <c r="A489" s="8">
        <v>475376.34408602148</v>
      </c>
      <c r="B489" s="8">
        <v>1</v>
      </c>
      <c r="C489" s="9">
        <v>0.86274509803921573</v>
      </c>
    </row>
    <row r="490" spans="1:3">
      <c r="A490" s="8">
        <v>476075.26881720428</v>
      </c>
      <c r="B490" s="8">
        <v>0</v>
      </c>
      <c r="C490" s="9">
        <v>0.86274509803921573</v>
      </c>
    </row>
    <row r="491" spans="1:3">
      <c r="A491" s="8">
        <v>476774.19354838709</v>
      </c>
      <c r="B491" s="8">
        <v>0</v>
      </c>
      <c r="C491" s="9">
        <v>0.86274509803921573</v>
      </c>
    </row>
    <row r="492" spans="1:3">
      <c r="A492" s="8">
        <v>477473.1182795699</v>
      </c>
      <c r="B492" s="8">
        <v>0</v>
      </c>
      <c r="C492" s="9">
        <v>0.86274509803921573</v>
      </c>
    </row>
    <row r="493" spans="1:3">
      <c r="A493" s="8">
        <v>478172.04301075265</v>
      </c>
      <c r="B493" s="8">
        <v>0</v>
      </c>
      <c r="C493" s="9">
        <v>0.86274509803921573</v>
      </c>
    </row>
    <row r="494" spans="1:3">
      <c r="A494" s="8">
        <v>478870.96774193546</v>
      </c>
      <c r="B494" s="8">
        <v>0</v>
      </c>
      <c r="C494" s="9">
        <v>0.86274509803921573</v>
      </c>
    </row>
    <row r="495" spans="1:3">
      <c r="A495" s="8">
        <v>479569.89247311826</v>
      </c>
      <c r="B495" s="8">
        <v>0</v>
      </c>
      <c r="C495" s="9">
        <v>0.86274509803921573</v>
      </c>
    </row>
    <row r="496" spans="1:3">
      <c r="A496" s="8">
        <v>480268.81720430107</v>
      </c>
      <c r="B496" s="8">
        <v>0</v>
      </c>
      <c r="C496" s="9">
        <v>0.86274509803921573</v>
      </c>
    </row>
    <row r="497" spans="1:3">
      <c r="A497" s="8">
        <v>480967.74193548382</v>
      </c>
      <c r="B497" s="8">
        <v>0</v>
      </c>
      <c r="C497" s="9">
        <v>0.86274509803921573</v>
      </c>
    </row>
    <row r="498" spans="1:3">
      <c r="A498" s="8">
        <v>481666.66666666663</v>
      </c>
      <c r="B498" s="8">
        <v>0</v>
      </c>
      <c r="C498" s="9">
        <v>0.86274509803921573</v>
      </c>
    </row>
    <row r="499" spans="1:3">
      <c r="A499" s="8">
        <v>482365.59139784944</v>
      </c>
      <c r="B499" s="8">
        <v>0</v>
      </c>
      <c r="C499" s="9">
        <v>0.86274509803921573</v>
      </c>
    </row>
    <row r="500" spans="1:3">
      <c r="A500" s="8">
        <v>483064.51612903224</v>
      </c>
      <c r="B500" s="8">
        <v>0</v>
      </c>
      <c r="C500" s="9">
        <v>0.86274509803921573</v>
      </c>
    </row>
    <row r="501" spans="1:3">
      <c r="A501" s="8">
        <v>483763.44086021505</v>
      </c>
      <c r="B501" s="8">
        <v>0</v>
      </c>
      <c r="C501" s="9">
        <v>0.86274509803921573</v>
      </c>
    </row>
    <row r="502" spans="1:3">
      <c r="A502" s="8">
        <v>484462.3655913978</v>
      </c>
      <c r="B502" s="8">
        <v>0</v>
      </c>
      <c r="C502" s="9">
        <v>0.86274509803921573</v>
      </c>
    </row>
    <row r="503" spans="1:3">
      <c r="A503" s="8">
        <v>485161.29032258061</v>
      </c>
      <c r="B503" s="8">
        <v>0</v>
      </c>
      <c r="C503" s="9">
        <v>0.86274509803921573</v>
      </c>
    </row>
    <row r="504" spans="1:3">
      <c r="A504" s="8">
        <v>485860.21505376342</v>
      </c>
      <c r="B504" s="8">
        <v>0</v>
      </c>
      <c r="C504" s="9">
        <v>0.86274509803921573</v>
      </c>
    </row>
    <row r="505" spans="1:3">
      <c r="A505" s="8">
        <v>486559.13978494622</v>
      </c>
      <c r="B505" s="8">
        <v>0</v>
      </c>
      <c r="C505" s="9">
        <v>0.86274509803921573</v>
      </c>
    </row>
    <row r="506" spans="1:3">
      <c r="A506" s="8">
        <v>487258.06451612903</v>
      </c>
      <c r="B506" s="8">
        <v>0</v>
      </c>
      <c r="C506" s="9">
        <v>0.86274509803921573</v>
      </c>
    </row>
    <row r="507" spans="1:3">
      <c r="A507" s="8">
        <v>487956.98924731178</v>
      </c>
      <c r="B507" s="8">
        <v>0</v>
      </c>
      <c r="C507" s="9">
        <v>0.86274509803921573</v>
      </c>
    </row>
    <row r="508" spans="1:3">
      <c r="A508" s="8">
        <v>488655.91397849459</v>
      </c>
      <c r="B508" s="8">
        <v>0</v>
      </c>
      <c r="C508" s="9">
        <v>0.86274509803921573</v>
      </c>
    </row>
    <row r="509" spans="1:3">
      <c r="A509" s="8">
        <v>489354.83870967739</v>
      </c>
      <c r="B509" s="8">
        <v>0</v>
      </c>
      <c r="C509" s="9">
        <v>0.86274509803921573</v>
      </c>
    </row>
    <row r="510" spans="1:3">
      <c r="A510" s="8">
        <v>490053.7634408602</v>
      </c>
      <c r="B510" s="8">
        <v>0</v>
      </c>
      <c r="C510" s="9">
        <v>0.86274509803921573</v>
      </c>
    </row>
    <row r="511" spans="1:3">
      <c r="A511" s="8">
        <v>490752.68817204301</v>
      </c>
      <c r="B511" s="8">
        <v>0</v>
      </c>
      <c r="C511" s="9">
        <v>0.86274509803921573</v>
      </c>
    </row>
    <row r="512" spans="1:3">
      <c r="A512" s="8">
        <v>491451.61290322576</v>
      </c>
      <c r="B512" s="8">
        <v>0</v>
      </c>
      <c r="C512" s="9">
        <v>0.86274509803921573</v>
      </c>
    </row>
    <row r="513" spans="1:3">
      <c r="A513" s="8">
        <v>492150.53763440857</v>
      </c>
      <c r="B513" s="8">
        <v>0</v>
      </c>
      <c r="C513" s="9">
        <v>0.86274509803921573</v>
      </c>
    </row>
    <row r="514" spans="1:3">
      <c r="A514" s="8">
        <v>492849.46236559137</v>
      </c>
      <c r="B514" s="8">
        <v>0</v>
      </c>
      <c r="C514" s="9">
        <v>0.86274509803921573</v>
      </c>
    </row>
    <row r="515" spans="1:3">
      <c r="A515" s="8">
        <v>493548.38709677418</v>
      </c>
      <c r="B515" s="8">
        <v>0</v>
      </c>
      <c r="C515" s="9">
        <v>0.86274509803921573</v>
      </c>
    </row>
    <row r="516" spans="1:3">
      <c r="A516" s="8">
        <v>494247.31182795699</v>
      </c>
      <c r="B516" s="8">
        <v>0</v>
      </c>
      <c r="C516" s="9">
        <v>0.86274509803921573</v>
      </c>
    </row>
    <row r="517" spans="1:3">
      <c r="A517" s="8">
        <v>494946.23655913974</v>
      </c>
      <c r="B517" s="8">
        <v>0</v>
      </c>
      <c r="C517" s="9">
        <v>0.86274509803921573</v>
      </c>
    </row>
    <row r="518" spans="1:3">
      <c r="A518" s="8">
        <v>495645.16129032255</v>
      </c>
      <c r="B518" s="8">
        <v>1</v>
      </c>
      <c r="C518" s="9">
        <v>0.88235294117647056</v>
      </c>
    </row>
    <row r="519" spans="1:3">
      <c r="A519" s="8">
        <v>496344.08602150535</v>
      </c>
      <c r="B519" s="8">
        <v>0</v>
      </c>
      <c r="C519" s="9">
        <v>0.88235294117647056</v>
      </c>
    </row>
    <row r="520" spans="1:3">
      <c r="A520" s="8">
        <v>497043.01075268816</v>
      </c>
      <c r="B520" s="8">
        <v>0</v>
      </c>
      <c r="C520" s="9">
        <v>0.88235294117647056</v>
      </c>
    </row>
    <row r="521" spans="1:3">
      <c r="A521" s="8">
        <v>497741.93548387097</v>
      </c>
      <c r="B521" s="8">
        <v>0</v>
      </c>
      <c r="C521" s="9">
        <v>0.88235294117647056</v>
      </c>
    </row>
    <row r="522" spans="1:3">
      <c r="A522" s="8">
        <v>498440.86021505372</v>
      </c>
      <c r="B522" s="8">
        <v>0</v>
      </c>
      <c r="C522" s="9">
        <v>0.88235294117647056</v>
      </c>
    </row>
    <row r="523" spans="1:3">
      <c r="A523" s="8">
        <v>499139.78494623653</v>
      </c>
      <c r="B523" s="8">
        <v>0</v>
      </c>
      <c r="C523" s="9">
        <v>0.88235294117647056</v>
      </c>
    </row>
    <row r="524" spans="1:3">
      <c r="A524" s="8">
        <v>499838.70967741933</v>
      </c>
      <c r="B524" s="8">
        <v>0</v>
      </c>
      <c r="C524" s="9">
        <v>0.88235294117647056</v>
      </c>
    </row>
    <row r="525" spans="1:3">
      <c r="A525" s="8">
        <v>500537.63440860214</v>
      </c>
      <c r="B525" s="8">
        <v>0</v>
      </c>
      <c r="C525" s="9">
        <v>0.88235294117647056</v>
      </c>
    </row>
    <row r="526" spans="1:3">
      <c r="A526" s="8">
        <v>501236.55913978495</v>
      </c>
      <c r="B526" s="8">
        <v>0</v>
      </c>
      <c r="C526" s="9">
        <v>0.88235294117647056</v>
      </c>
    </row>
    <row r="527" spans="1:3">
      <c r="A527" s="8">
        <v>501935.4838709677</v>
      </c>
      <c r="B527" s="8">
        <v>0</v>
      </c>
      <c r="C527" s="9">
        <v>0.88235294117647056</v>
      </c>
    </row>
    <row r="528" spans="1:3">
      <c r="A528" s="8">
        <v>502634.40860215051</v>
      </c>
      <c r="B528" s="8">
        <v>0</v>
      </c>
      <c r="C528" s="9">
        <v>0.88235294117647056</v>
      </c>
    </row>
    <row r="529" spans="1:3">
      <c r="A529" s="8">
        <v>503333.33333333331</v>
      </c>
      <c r="B529" s="8">
        <v>0</v>
      </c>
      <c r="C529" s="9">
        <v>0.88235294117647056</v>
      </c>
    </row>
    <row r="530" spans="1:3">
      <c r="A530" s="8">
        <v>504032.25806451612</v>
      </c>
      <c r="B530" s="8">
        <v>0</v>
      </c>
      <c r="C530" s="9">
        <v>0.88235294117647056</v>
      </c>
    </row>
    <row r="531" spans="1:3">
      <c r="A531" s="8">
        <v>504731.18279569893</v>
      </c>
      <c r="B531" s="8">
        <v>0</v>
      </c>
      <c r="C531" s="9">
        <v>0.88235294117647056</v>
      </c>
    </row>
    <row r="532" spans="1:3">
      <c r="A532" s="8">
        <v>505430.10752688168</v>
      </c>
      <c r="B532" s="8">
        <v>0</v>
      </c>
      <c r="C532" s="9">
        <v>0.88235294117647056</v>
      </c>
    </row>
    <row r="533" spans="1:3">
      <c r="A533" s="8">
        <v>506129.03225806449</v>
      </c>
      <c r="B533" s="8">
        <v>0</v>
      </c>
      <c r="C533" s="9">
        <v>0.88235294117647056</v>
      </c>
    </row>
    <row r="534" spans="1:3">
      <c r="A534" s="8">
        <v>506827.95698924729</v>
      </c>
      <c r="B534" s="8">
        <v>0</v>
      </c>
      <c r="C534" s="9">
        <v>0.88235294117647056</v>
      </c>
    </row>
    <row r="535" spans="1:3">
      <c r="A535" s="8">
        <v>507526.8817204301</v>
      </c>
      <c r="B535" s="8">
        <v>0</v>
      </c>
      <c r="C535" s="9">
        <v>0.88235294117647056</v>
      </c>
    </row>
    <row r="536" spans="1:3">
      <c r="A536" s="8">
        <v>508225.80645161285</v>
      </c>
      <c r="B536" s="8">
        <v>0</v>
      </c>
      <c r="C536" s="9">
        <v>0.88235294117647056</v>
      </c>
    </row>
    <row r="537" spans="1:3">
      <c r="A537" s="8">
        <v>508924.73118279566</v>
      </c>
      <c r="B537" s="8">
        <v>0</v>
      </c>
      <c r="C537" s="9">
        <v>0.88235294117647056</v>
      </c>
    </row>
    <row r="538" spans="1:3">
      <c r="A538" s="8">
        <v>509623.65591397847</v>
      </c>
      <c r="B538" s="8">
        <v>0</v>
      </c>
      <c r="C538" s="9">
        <v>0.88235294117647056</v>
      </c>
    </row>
    <row r="539" spans="1:3">
      <c r="A539" s="8">
        <v>510322.58064516127</v>
      </c>
      <c r="B539" s="8">
        <v>0</v>
      </c>
      <c r="C539" s="9">
        <v>0.88235294117647056</v>
      </c>
    </row>
    <row r="540" spans="1:3">
      <c r="A540" s="8">
        <v>511021.50537634408</v>
      </c>
      <c r="B540" s="8">
        <v>0</v>
      </c>
      <c r="C540" s="9">
        <v>0.88235294117647056</v>
      </c>
    </row>
    <row r="541" spans="1:3">
      <c r="A541" s="8">
        <v>511720.43010752683</v>
      </c>
      <c r="B541" s="8">
        <v>0</v>
      </c>
      <c r="C541" s="9">
        <v>0.88235294117647056</v>
      </c>
    </row>
    <row r="542" spans="1:3">
      <c r="A542" s="8">
        <v>512419.35483870964</v>
      </c>
      <c r="B542" s="8">
        <v>0</v>
      </c>
      <c r="C542" s="9">
        <v>0.88235294117647056</v>
      </c>
    </row>
    <row r="543" spans="1:3">
      <c r="A543" s="8">
        <v>513118.27956989245</v>
      </c>
      <c r="B543" s="8">
        <v>0</v>
      </c>
      <c r="C543" s="9">
        <v>0.88235294117647056</v>
      </c>
    </row>
    <row r="544" spans="1:3">
      <c r="A544" s="8">
        <v>513817.20430107525</v>
      </c>
      <c r="B544" s="8">
        <v>0</v>
      </c>
      <c r="C544" s="9">
        <v>0.88235294117647056</v>
      </c>
    </row>
    <row r="545" spans="1:3">
      <c r="A545" s="8">
        <v>514516.12903225806</v>
      </c>
      <c r="B545" s="8">
        <v>0</v>
      </c>
      <c r="C545" s="9">
        <v>0.88235294117647056</v>
      </c>
    </row>
    <row r="546" spans="1:3">
      <c r="A546" s="8">
        <v>515215.05376344081</v>
      </c>
      <c r="B546" s="8">
        <v>0</v>
      </c>
      <c r="C546" s="9">
        <v>0.88235294117647056</v>
      </c>
    </row>
    <row r="547" spans="1:3">
      <c r="A547" s="8">
        <v>515913.97849462362</v>
      </c>
      <c r="B547" s="8">
        <v>0</v>
      </c>
      <c r="C547" s="9">
        <v>0.88235294117647056</v>
      </c>
    </row>
    <row r="548" spans="1:3">
      <c r="A548" s="8">
        <v>516612.90322580643</v>
      </c>
      <c r="B548" s="8">
        <v>0</v>
      </c>
      <c r="C548" s="9">
        <v>0.88235294117647056</v>
      </c>
    </row>
    <row r="549" spans="1:3">
      <c r="A549" s="8">
        <v>517311.82795698923</v>
      </c>
      <c r="B549" s="8">
        <v>0</v>
      </c>
      <c r="C549" s="9">
        <v>0.88235294117647056</v>
      </c>
    </row>
    <row r="550" spans="1:3">
      <c r="A550" s="8">
        <v>518010.75268817204</v>
      </c>
      <c r="B550" s="8">
        <v>0</v>
      </c>
      <c r="C550" s="9">
        <v>0.88235294117647056</v>
      </c>
    </row>
    <row r="551" spans="1:3">
      <c r="A551" s="8">
        <v>518709.67741935479</v>
      </c>
      <c r="B551" s="8">
        <v>0</v>
      </c>
      <c r="C551" s="9">
        <v>0.88235294117647056</v>
      </c>
    </row>
    <row r="552" spans="1:3">
      <c r="A552" s="8">
        <v>519408.6021505376</v>
      </c>
      <c r="B552" s="8">
        <v>0</v>
      </c>
      <c r="C552" s="9">
        <v>0.88235294117647056</v>
      </c>
    </row>
    <row r="553" spans="1:3">
      <c r="A553" s="8">
        <v>520107.52688172041</v>
      </c>
      <c r="B553" s="8">
        <v>0</v>
      </c>
      <c r="C553" s="9">
        <v>0.88235294117647056</v>
      </c>
    </row>
    <row r="554" spans="1:3">
      <c r="A554" s="8">
        <v>520806.45161290321</v>
      </c>
      <c r="B554" s="8">
        <v>0</v>
      </c>
      <c r="C554" s="9">
        <v>0.88235294117647056</v>
      </c>
    </row>
    <row r="555" spans="1:3">
      <c r="A555" s="8">
        <v>521505.37634408602</v>
      </c>
      <c r="B555" s="8">
        <v>0</v>
      </c>
      <c r="C555" s="9">
        <v>0.88235294117647056</v>
      </c>
    </row>
    <row r="556" spans="1:3">
      <c r="A556" s="8">
        <v>522204.30107526877</v>
      </c>
      <c r="B556" s="8">
        <v>0</v>
      </c>
      <c r="C556" s="9">
        <v>0.88235294117647056</v>
      </c>
    </row>
    <row r="557" spans="1:3">
      <c r="A557" s="8">
        <v>522903.22580645158</v>
      </c>
      <c r="B557" s="8">
        <v>0</v>
      </c>
      <c r="C557" s="9">
        <v>0.88235294117647056</v>
      </c>
    </row>
    <row r="558" spans="1:3">
      <c r="A558" s="8">
        <v>523602.15053763438</v>
      </c>
      <c r="B558" s="8">
        <v>0</v>
      </c>
      <c r="C558" s="9">
        <v>0.88235294117647056</v>
      </c>
    </row>
    <row r="559" spans="1:3">
      <c r="A559" s="8">
        <v>524301.07526881713</v>
      </c>
      <c r="B559" s="8">
        <v>0</v>
      </c>
      <c r="C559" s="9">
        <v>0.88235294117647056</v>
      </c>
    </row>
    <row r="560" spans="1:3">
      <c r="A560" s="8">
        <v>525000</v>
      </c>
      <c r="B560" s="8">
        <v>1</v>
      </c>
      <c r="C560" s="9">
        <v>0.90196078431372551</v>
      </c>
    </row>
    <row r="561" spans="1:3">
      <c r="A561" s="8">
        <v>525698.92473118275</v>
      </c>
      <c r="B561" s="8">
        <v>0</v>
      </c>
      <c r="C561" s="9">
        <v>0.90196078431372551</v>
      </c>
    </row>
    <row r="562" spans="1:3">
      <c r="A562" s="8">
        <v>526397.8494623655</v>
      </c>
      <c r="B562" s="8">
        <v>0</v>
      </c>
      <c r="C562" s="9">
        <v>0.90196078431372551</v>
      </c>
    </row>
    <row r="563" spans="1:3">
      <c r="A563" s="8">
        <v>527096.77419354836</v>
      </c>
      <c r="B563" s="8">
        <v>0</v>
      </c>
      <c r="C563" s="9">
        <v>0.90196078431372551</v>
      </c>
    </row>
    <row r="564" spans="1:3">
      <c r="A564" s="8">
        <v>527795.69892473123</v>
      </c>
      <c r="B564" s="8">
        <v>0</v>
      </c>
      <c r="C564" s="9">
        <v>0.90196078431372551</v>
      </c>
    </row>
    <row r="565" spans="1:3">
      <c r="A565" s="8">
        <v>528494.62365591398</v>
      </c>
      <c r="B565" s="8">
        <v>0</v>
      </c>
      <c r="C565" s="9">
        <v>0.90196078431372551</v>
      </c>
    </row>
    <row r="566" spans="1:3">
      <c r="A566" s="8">
        <v>529193.54838709673</v>
      </c>
      <c r="B566" s="8">
        <v>0</v>
      </c>
      <c r="C566" s="9">
        <v>0.90196078431372551</v>
      </c>
    </row>
    <row r="567" spans="1:3">
      <c r="A567" s="8">
        <v>529892.47311827959</v>
      </c>
      <c r="B567" s="8">
        <v>0</v>
      </c>
      <c r="C567" s="9">
        <v>0.90196078431372551</v>
      </c>
    </row>
    <row r="568" spans="1:3">
      <c r="A568" s="8">
        <v>530591.39784946234</v>
      </c>
      <c r="B568" s="8">
        <v>0</v>
      </c>
      <c r="C568" s="9">
        <v>0.90196078431372551</v>
      </c>
    </row>
    <row r="569" spans="1:3">
      <c r="A569" s="8">
        <v>531290.32258064509</v>
      </c>
      <c r="B569" s="8">
        <v>0</v>
      </c>
      <c r="C569" s="9">
        <v>0.90196078431372551</v>
      </c>
    </row>
    <row r="570" spans="1:3">
      <c r="A570" s="8">
        <v>531989.24731182796</v>
      </c>
      <c r="B570" s="8">
        <v>0</v>
      </c>
      <c r="C570" s="9">
        <v>0.90196078431372551</v>
      </c>
    </row>
    <row r="571" spans="1:3">
      <c r="A571" s="8">
        <v>532688.17204301071</v>
      </c>
      <c r="B571" s="8">
        <v>0</v>
      </c>
      <c r="C571" s="9">
        <v>0.90196078431372551</v>
      </c>
    </row>
    <row r="572" spans="1:3">
      <c r="A572" s="8">
        <v>533387.09677419346</v>
      </c>
      <c r="B572" s="8">
        <v>0</v>
      </c>
      <c r="C572" s="9">
        <v>0.90196078431372551</v>
      </c>
    </row>
    <row r="573" spans="1:3">
      <c r="A573" s="8">
        <v>534086.02150537632</v>
      </c>
      <c r="B573" s="8">
        <v>0</v>
      </c>
      <c r="C573" s="9">
        <v>0.90196078431372551</v>
      </c>
    </row>
    <row r="574" spans="1:3">
      <c r="A574" s="8">
        <v>534784.94623655919</v>
      </c>
      <c r="B574" s="8">
        <v>0</v>
      </c>
      <c r="C574" s="9">
        <v>0.90196078431372551</v>
      </c>
    </row>
    <row r="575" spans="1:3">
      <c r="A575" s="8">
        <v>535483.87096774182</v>
      </c>
      <c r="B575" s="8">
        <v>0</v>
      </c>
      <c r="C575" s="9">
        <v>0.90196078431372551</v>
      </c>
    </row>
    <row r="576" spans="1:3">
      <c r="A576" s="8">
        <v>536182.79569892469</v>
      </c>
      <c r="B576" s="8">
        <v>0</v>
      </c>
      <c r="C576" s="9">
        <v>0.90196078431372551</v>
      </c>
    </row>
    <row r="577" spans="1:3">
      <c r="A577" s="8">
        <v>536881.72043010755</v>
      </c>
      <c r="B577" s="8">
        <v>0</v>
      </c>
      <c r="C577" s="9">
        <v>0.90196078431372551</v>
      </c>
    </row>
    <row r="578" spans="1:3">
      <c r="A578" s="8">
        <v>537580.6451612903</v>
      </c>
      <c r="B578" s="8">
        <v>0</v>
      </c>
      <c r="C578" s="9">
        <v>0.90196078431372551</v>
      </c>
    </row>
    <row r="579" spans="1:3">
      <c r="A579" s="8">
        <v>538279.56989247305</v>
      </c>
      <c r="B579" s="8">
        <v>0</v>
      </c>
      <c r="C579" s="9">
        <v>0.90196078431372551</v>
      </c>
    </row>
    <row r="580" spans="1:3">
      <c r="A580" s="8">
        <v>538978.49462365592</v>
      </c>
      <c r="B580" s="8">
        <v>0</v>
      </c>
      <c r="C580" s="9">
        <v>0.90196078431372551</v>
      </c>
    </row>
    <row r="581" spans="1:3">
      <c r="A581" s="8">
        <v>539677.41935483867</v>
      </c>
      <c r="B581" s="8">
        <v>0</v>
      </c>
      <c r="C581" s="9">
        <v>0.90196078431372551</v>
      </c>
    </row>
    <row r="582" spans="1:3">
      <c r="A582" s="8">
        <v>540376.34408602142</v>
      </c>
      <c r="B582" s="8">
        <v>0</v>
      </c>
      <c r="C582" s="9">
        <v>0.90196078431372551</v>
      </c>
    </row>
    <row r="583" spans="1:3">
      <c r="A583" s="8">
        <v>541075.26881720428</v>
      </c>
      <c r="B583" s="8">
        <v>0</v>
      </c>
      <c r="C583" s="9">
        <v>0.90196078431372551</v>
      </c>
    </row>
    <row r="584" spans="1:3">
      <c r="A584" s="8">
        <v>541774.19354838715</v>
      </c>
      <c r="B584" s="8">
        <v>0</v>
      </c>
      <c r="C584" s="9">
        <v>0.90196078431372551</v>
      </c>
    </row>
    <row r="585" spans="1:3">
      <c r="A585" s="8">
        <v>542473.11827956978</v>
      </c>
      <c r="B585" s="8">
        <v>0</v>
      </c>
      <c r="C585" s="9">
        <v>0.90196078431372551</v>
      </c>
    </row>
    <row r="586" spans="1:3">
      <c r="A586" s="8">
        <v>543172.04301075265</v>
      </c>
      <c r="B586" s="8">
        <v>0</v>
      </c>
      <c r="C586" s="9">
        <v>0.90196078431372551</v>
      </c>
    </row>
    <row r="587" spans="1:3">
      <c r="A587" s="8">
        <v>543870.96774193551</v>
      </c>
      <c r="B587" s="8">
        <v>0</v>
      </c>
      <c r="C587" s="9">
        <v>0.90196078431372551</v>
      </c>
    </row>
    <row r="588" spans="1:3">
      <c r="A588" s="8">
        <v>544569.89247311826</v>
      </c>
      <c r="B588" s="8">
        <v>0</v>
      </c>
      <c r="C588" s="9">
        <v>0.90196078431372551</v>
      </c>
    </row>
    <row r="589" spans="1:3">
      <c r="A589" s="8">
        <v>545268.81720430101</v>
      </c>
      <c r="B589" s="8">
        <v>1</v>
      </c>
      <c r="C589" s="9">
        <v>0.92156862745098034</v>
      </c>
    </row>
    <row r="590" spans="1:3">
      <c r="A590" s="8">
        <v>545967.74193548388</v>
      </c>
      <c r="B590" s="8">
        <v>0</v>
      </c>
      <c r="C590" s="9">
        <v>0.92156862745098034</v>
      </c>
    </row>
    <row r="591" spans="1:3">
      <c r="A591" s="8">
        <v>546666.66666666663</v>
      </c>
      <c r="B591" s="8">
        <v>0</v>
      </c>
      <c r="C591" s="9">
        <v>0.92156862745098034</v>
      </c>
    </row>
    <row r="592" spans="1:3">
      <c r="A592" s="8">
        <v>547365.59139784938</v>
      </c>
      <c r="B592" s="8">
        <v>0</v>
      </c>
      <c r="C592" s="9">
        <v>0.92156862745098034</v>
      </c>
    </row>
    <row r="593" spans="1:3">
      <c r="A593" s="8">
        <v>548064.51612903224</v>
      </c>
      <c r="B593" s="8">
        <v>0</v>
      </c>
      <c r="C593" s="9">
        <v>0.92156862745098034</v>
      </c>
    </row>
    <row r="594" spans="1:3">
      <c r="A594" s="8">
        <v>548763.44086021511</v>
      </c>
      <c r="B594" s="8">
        <v>0</v>
      </c>
      <c r="C594" s="9">
        <v>0.92156862745098034</v>
      </c>
    </row>
    <row r="595" spans="1:3">
      <c r="A595" s="8">
        <v>549462.36559139774</v>
      </c>
      <c r="B595" s="8">
        <v>0</v>
      </c>
      <c r="C595" s="9">
        <v>0.92156862745098034</v>
      </c>
    </row>
    <row r="596" spans="1:3">
      <c r="A596" s="8">
        <v>550161.29032258061</v>
      </c>
      <c r="B596" s="8">
        <v>0</v>
      </c>
      <c r="C596" s="9">
        <v>0.92156862745098034</v>
      </c>
    </row>
    <row r="597" spans="1:3">
      <c r="A597" s="8">
        <v>550860.21505376347</v>
      </c>
      <c r="B597" s="8">
        <v>0</v>
      </c>
      <c r="C597" s="9">
        <v>0.92156862745098034</v>
      </c>
    </row>
    <row r="598" spans="1:3">
      <c r="A598" s="8">
        <v>551559.13978494622</v>
      </c>
      <c r="B598" s="8">
        <v>0</v>
      </c>
      <c r="C598" s="9">
        <v>0.92156862745098034</v>
      </c>
    </row>
    <row r="599" spans="1:3">
      <c r="A599" s="8">
        <v>552258.06451612897</v>
      </c>
      <c r="B599" s="8">
        <v>0</v>
      </c>
      <c r="C599" s="9">
        <v>0.92156862745098034</v>
      </c>
    </row>
    <row r="600" spans="1:3">
      <c r="A600" s="8">
        <v>552956.98924731184</v>
      </c>
      <c r="B600" s="8">
        <v>0</v>
      </c>
      <c r="C600" s="9">
        <v>0.92156862745098034</v>
      </c>
    </row>
    <row r="601" spans="1:3">
      <c r="A601" s="8">
        <v>553655.91397849459</v>
      </c>
      <c r="B601" s="8">
        <v>0</v>
      </c>
      <c r="C601" s="9">
        <v>0.92156862745098034</v>
      </c>
    </row>
    <row r="602" spans="1:3">
      <c r="A602" s="8">
        <v>554354.83870967734</v>
      </c>
      <c r="B602" s="8">
        <v>0</v>
      </c>
      <c r="C602" s="9">
        <v>0.92156862745098034</v>
      </c>
    </row>
    <row r="603" spans="1:3">
      <c r="A603" s="8">
        <v>555053.7634408602</v>
      </c>
      <c r="B603" s="8">
        <v>0</v>
      </c>
      <c r="C603" s="9">
        <v>0.92156862745098034</v>
      </c>
    </row>
    <row r="604" spans="1:3">
      <c r="A604" s="8">
        <v>555752.68817204307</v>
      </c>
      <c r="B604" s="8">
        <v>0</v>
      </c>
      <c r="C604" s="9">
        <v>0.92156862745098034</v>
      </c>
    </row>
    <row r="605" spans="1:3">
      <c r="A605" s="8">
        <v>556451.6129032257</v>
      </c>
      <c r="B605" s="8">
        <v>0</v>
      </c>
      <c r="C605" s="9">
        <v>0.92156862745098034</v>
      </c>
    </row>
    <row r="606" spans="1:3">
      <c r="A606" s="8">
        <v>557150.53763440857</v>
      </c>
      <c r="B606" s="8">
        <v>0</v>
      </c>
      <c r="C606" s="9">
        <v>0.92156862745098034</v>
      </c>
    </row>
    <row r="607" spans="1:3">
      <c r="A607" s="8">
        <v>557849.46236559143</v>
      </c>
      <c r="B607" s="8">
        <v>0</v>
      </c>
      <c r="C607" s="9">
        <v>0.92156862745098034</v>
      </c>
    </row>
    <row r="608" spans="1:3">
      <c r="A608" s="8">
        <v>558548.38709677418</v>
      </c>
      <c r="B608" s="8">
        <v>0</v>
      </c>
      <c r="C608" s="9">
        <v>0.92156862745098034</v>
      </c>
    </row>
    <row r="609" spans="1:3">
      <c r="A609" s="8">
        <v>559247.31182795693</v>
      </c>
      <c r="B609" s="8">
        <v>0</v>
      </c>
      <c r="C609" s="9">
        <v>0.92156862745098034</v>
      </c>
    </row>
    <row r="610" spans="1:3">
      <c r="A610" s="8">
        <v>559946.2365591398</v>
      </c>
      <c r="B610" s="8">
        <v>0</v>
      </c>
      <c r="C610" s="9">
        <v>0.92156862745098034</v>
      </c>
    </row>
    <row r="611" spans="1:3">
      <c r="A611" s="8">
        <v>560645.16129032255</v>
      </c>
      <c r="B611" s="8">
        <v>0</v>
      </c>
      <c r="C611" s="9">
        <v>0.92156862745098034</v>
      </c>
    </row>
    <row r="612" spans="1:3">
      <c r="A612" s="8">
        <v>561344.0860215053</v>
      </c>
      <c r="B612" s="8">
        <v>0</v>
      </c>
      <c r="C612" s="9">
        <v>0.92156862745098034</v>
      </c>
    </row>
    <row r="613" spans="1:3">
      <c r="A613" s="8">
        <v>562043.01075268816</v>
      </c>
      <c r="B613" s="8">
        <v>0</v>
      </c>
      <c r="C613" s="9">
        <v>0.92156862745098034</v>
      </c>
    </row>
    <row r="614" spans="1:3">
      <c r="A614" s="8">
        <v>562741.93548387091</v>
      </c>
      <c r="B614" s="8">
        <v>0</v>
      </c>
      <c r="C614" s="9">
        <v>0.92156862745098034</v>
      </c>
    </row>
    <row r="615" spans="1:3">
      <c r="A615" s="8">
        <v>563440.86021505366</v>
      </c>
      <c r="B615" s="8">
        <v>0</v>
      </c>
      <c r="C615" s="9">
        <v>0.92156862745098034</v>
      </c>
    </row>
    <row r="616" spans="1:3">
      <c r="A616" s="8">
        <v>564139.78494623653</v>
      </c>
      <c r="B616" s="8">
        <v>0</v>
      </c>
      <c r="C616" s="9">
        <v>0.92156862745098034</v>
      </c>
    </row>
    <row r="617" spans="1:3">
      <c r="A617" s="8">
        <v>564838.70967741939</v>
      </c>
      <c r="B617" s="8">
        <v>0</v>
      </c>
      <c r="C617" s="9">
        <v>0.92156862745098034</v>
      </c>
    </row>
    <row r="618" spans="1:3">
      <c r="A618" s="8">
        <v>565537.63440860214</v>
      </c>
      <c r="B618" s="8">
        <v>0</v>
      </c>
      <c r="C618" s="9">
        <v>0.92156862745098034</v>
      </c>
    </row>
    <row r="619" spans="1:3">
      <c r="A619" s="8">
        <v>566236.55913978489</v>
      </c>
      <c r="B619" s="8">
        <v>0</v>
      </c>
      <c r="C619" s="9">
        <v>0.92156862745098034</v>
      </c>
    </row>
    <row r="620" spans="1:3">
      <c r="A620" s="8">
        <v>566935.48387096776</v>
      </c>
      <c r="B620" s="8">
        <v>0</v>
      </c>
      <c r="C620" s="9">
        <v>0.92156862745098034</v>
      </c>
    </row>
    <row r="621" spans="1:3">
      <c r="A621" s="8">
        <v>567634.40860215051</v>
      </c>
      <c r="B621" s="8">
        <v>0</v>
      </c>
      <c r="C621" s="9">
        <v>0.92156862745098034</v>
      </c>
    </row>
    <row r="622" spans="1:3">
      <c r="A622" s="8">
        <v>568333.33333333326</v>
      </c>
      <c r="B622" s="8">
        <v>0</v>
      </c>
      <c r="C622" s="9">
        <v>0.92156862745098034</v>
      </c>
    </row>
    <row r="623" spans="1:3">
      <c r="A623" s="8">
        <v>569032.25806451612</v>
      </c>
      <c r="B623" s="8">
        <v>0</v>
      </c>
      <c r="C623" s="9">
        <v>0.92156862745098034</v>
      </c>
    </row>
    <row r="624" spans="1:3">
      <c r="A624" s="8">
        <v>569731.18279569887</v>
      </c>
      <c r="B624" s="8">
        <v>0</v>
      </c>
      <c r="C624" s="9">
        <v>0.92156862745098034</v>
      </c>
    </row>
    <row r="625" spans="1:3">
      <c r="A625" s="8">
        <v>570430.10752688162</v>
      </c>
      <c r="B625" s="8">
        <v>0</v>
      </c>
      <c r="C625" s="9">
        <v>0.92156862745098034</v>
      </c>
    </row>
    <row r="626" spans="1:3">
      <c r="A626" s="8">
        <v>571129.03225806449</v>
      </c>
      <c r="B626" s="8">
        <v>0</v>
      </c>
      <c r="C626" s="9">
        <v>0.92156862745098034</v>
      </c>
    </row>
    <row r="627" spans="1:3">
      <c r="A627" s="8">
        <v>571827.95698924735</v>
      </c>
      <c r="B627" s="8">
        <v>0</v>
      </c>
      <c r="C627" s="9">
        <v>0.92156862745098034</v>
      </c>
    </row>
    <row r="628" spans="1:3">
      <c r="A628" s="8">
        <v>572526.8817204301</v>
      </c>
      <c r="B628" s="8">
        <v>0</v>
      </c>
      <c r="C628" s="9">
        <v>0.92156862745098034</v>
      </c>
    </row>
    <row r="629" spans="1:3">
      <c r="A629" s="8">
        <v>573225.80645161285</v>
      </c>
      <c r="B629" s="8">
        <v>0</v>
      </c>
      <c r="C629" s="9">
        <v>0.92156862745098034</v>
      </c>
    </row>
    <row r="630" spans="1:3">
      <c r="A630" s="8">
        <v>573924.73118279572</v>
      </c>
      <c r="B630" s="8">
        <v>0</v>
      </c>
      <c r="C630" s="9">
        <v>0.92156862745098034</v>
      </c>
    </row>
    <row r="631" spans="1:3">
      <c r="A631" s="8">
        <v>574623.65591397847</v>
      </c>
      <c r="B631" s="8">
        <v>0</v>
      </c>
      <c r="C631" s="9">
        <v>0.92156862745098034</v>
      </c>
    </row>
    <row r="632" spans="1:3">
      <c r="A632" s="8">
        <v>575322.58064516122</v>
      </c>
      <c r="B632" s="8">
        <v>0</v>
      </c>
      <c r="C632" s="9">
        <v>0.92156862745098034</v>
      </c>
    </row>
    <row r="633" spans="1:3">
      <c r="A633" s="8">
        <v>576021.50537634408</v>
      </c>
      <c r="B633" s="8">
        <v>0</v>
      </c>
      <c r="C633" s="9">
        <v>0.92156862745098034</v>
      </c>
    </row>
    <row r="634" spans="1:3">
      <c r="A634" s="8">
        <v>576720.43010752683</v>
      </c>
      <c r="B634" s="8">
        <v>0</v>
      </c>
      <c r="C634" s="9">
        <v>0.92156862745098034</v>
      </c>
    </row>
    <row r="635" spans="1:3">
      <c r="A635" s="8">
        <v>577419.35483870958</v>
      </c>
      <c r="B635" s="8">
        <v>0</v>
      </c>
      <c r="C635" s="9">
        <v>0.92156862745098034</v>
      </c>
    </row>
    <row r="636" spans="1:3">
      <c r="A636" s="8">
        <v>578118.27956989245</v>
      </c>
      <c r="B636" s="8">
        <v>0</v>
      </c>
      <c r="C636" s="9">
        <v>0.92156862745098034</v>
      </c>
    </row>
    <row r="637" spans="1:3">
      <c r="A637" s="8">
        <v>578817.20430107531</v>
      </c>
      <c r="B637" s="8">
        <v>0</v>
      </c>
      <c r="C637" s="9">
        <v>0.92156862745098034</v>
      </c>
    </row>
    <row r="638" spans="1:3">
      <c r="A638" s="8">
        <v>579516.12903225806</v>
      </c>
      <c r="B638" s="8">
        <v>0</v>
      </c>
      <c r="C638" s="9">
        <v>0.92156862745098034</v>
      </c>
    </row>
    <row r="639" spans="1:3">
      <c r="A639" s="8">
        <v>580215.05376344081</v>
      </c>
      <c r="B639" s="8">
        <v>1</v>
      </c>
      <c r="C639" s="9">
        <v>0.94117647058823528</v>
      </c>
    </row>
    <row r="640" spans="1:3">
      <c r="A640" s="8">
        <v>580913.97849462368</v>
      </c>
      <c r="B640" s="8">
        <v>0</v>
      </c>
      <c r="C640" s="9">
        <v>0.94117647058823528</v>
      </c>
    </row>
    <row r="641" spans="1:3">
      <c r="A641" s="8">
        <v>581612.90322580643</v>
      </c>
      <c r="B641" s="8">
        <v>0</v>
      </c>
      <c r="C641" s="9">
        <v>0.94117647058823528</v>
      </c>
    </row>
    <row r="642" spans="1:3">
      <c r="A642" s="8">
        <v>582311.82795698917</v>
      </c>
      <c r="B642" s="8">
        <v>0</v>
      </c>
      <c r="C642" s="9">
        <v>0.94117647058823528</v>
      </c>
    </row>
    <row r="643" spans="1:3">
      <c r="A643" s="8">
        <v>583010.75268817204</v>
      </c>
      <c r="B643" s="8">
        <v>0</v>
      </c>
      <c r="C643" s="9">
        <v>0.94117647058823528</v>
      </c>
    </row>
    <row r="644" spans="1:3">
      <c r="A644" s="8">
        <v>583709.67741935479</v>
      </c>
      <c r="B644" s="8">
        <v>0</v>
      </c>
      <c r="C644" s="9">
        <v>0.94117647058823528</v>
      </c>
    </row>
    <row r="645" spans="1:3">
      <c r="A645" s="8">
        <v>584408.60215053754</v>
      </c>
      <c r="B645" s="8">
        <v>0</v>
      </c>
      <c r="C645" s="9">
        <v>0.94117647058823528</v>
      </c>
    </row>
    <row r="646" spans="1:3">
      <c r="A646" s="8">
        <v>585107.52688172041</v>
      </c>
      <c r="B646" s="8">
        <v>0</v>
      </c>
      <c r="C646" s="9">
        <v>0.94117647058823528</v>
      </c>
    </row>
    <row r="647" spans="1:3">
      <c r="A647" s="8">
        <v>585806.45161290327</v>
      </c>
      <c r="B647" s="8">
        <v>0</v>
      </c>
      <c r="C647" s="9">
        <v>0.94117647058823528</v>
      </c>
    </row>
    <row r="648" spans="1:3">
      <c r="A648" s="8">
        <v>586505.37634408602</v>
      </c>
      <c r="B648" s="8">
        <v>0</v>
      </c>
      <c r="C648" s="9">
        <v>0.94117647058823528</v>
      </c>
    </row>
    <row r="649" spans="1:3">
      <c r="A649" s="8">
        <v>587204.30107526877</v>
      </c>
      <c r="B649" s="8">
        <v>0</v>
      </c>
      <c r="C649" s="9">
        <v>0.94117647058823528</v>
      </c>
    </row>
    <row r="650" spans="1:3">
      <c r="A650" s="8">
        <v>587903.22580645164</v>
      </c>
      <c r="B650" s="8">
        <v>0</v>
      </c>
      <c r="C650" s="9">
        <v>0.94117647058823528</v>
      </c>
    </row>
    <row r="651" spans="1:3">
      <c r="A651" s="8">
        <v>588602.15053763438</v>
      </c>
      <c r="B651" s="8">
        <v>0</v>
      </c>
      <c r="C651" s="9">
        <v>0.94117647058823528</v>
      </c>
    </row>
    <row r="652" spans="1:3">
      <c r="A652" s="8">
        <v>589301.07526881713</v>
      </c>
      <c r="B652" s="8">
        <v>0</v>
      </c>
      <c r="C652" s="9">
        <v>0.94117647058823528</v>
      </c>
    </row>
    <row r="653" spans="1:3">
      <c r="A653" s="8">
        <v>590000</v>
      </c>
      <c r="B653" s="8">
        <v>0</v>
      </c>
      <c r="C653" s="9">
        <v>0.94117647058823528</v>
      </c>
    </row>
    <row r="654" spans="1:3">
      <c r="A654" s="8">
        <v>590698.92473118275</v>
      </c>
      <c r="B654" s="8">
        <v>0</v>
      </c>
      <c r="C654" s="9">
        <v>0.94117647058823528</v>
      </c>
    </row>
    <row r="655" spans="1:3">
      <c r="A655" s="8">
        <v>591397.8494623655</v>
      </c>
      <c r="B655" s="8">
        <v>0</v>
      </c>
      <c r="C655" s="9">
        <v>0.94117647058823528</v>
      </c>
    </row>
    <row r="656" spans="1:3">
      <c r="A656" s="8">
        <v>592096.77419354836</v>
      </c>
      <c r="B656" s="8">
        <v>0</v>
      </c>
      <c r="C656" s="9">
        <v>0.94117647058823528</v>
      </c>
    </row>
    <row r="657" spans="1:3">
      <c r="A657" s="8">
        <v>592795.69892473123</v>
      </c>
      <c r="B657" s="8">
        <v>0</v>
      </c>
      <c r="C657" s="9">
        <v>0.94117647058823528</v>
      </c>
    </row>
    <row r="658" spans="1:3">
      <c r="A658" s="8">
        <v>593494.62365591386</v>
      </c>
      <c r="B658" s="8">
        <v>0</v>
      </c>
      <c r="C658" s="9">
        <v>0.94117647058823528</v>
      </c>
    </row>
    <row r="659" spans="1:3">
      <c r="A659" s="8">
        <v>594193.54838709673</v>
      </c>
      <c r="B659" s="8">
        <v>0</v>
      </c>
      <c r="C659" s="9">
        <v>0.94117647058823528</v>
      </c>
    </row>
    <row r="660" spans="1:3">
      <c r="A660" s="8">
        <v>594892.47311827959</v>
      </c>
      <c r="B660" s="8">
        <v>0</v>
      </c>
      <c r="C660" s="9">
        <v>0.94117647058823528</v>
      </c>
    </row>
    <row r="661" spans="1:3">
      <c r="A661" s="8">
        <v>595591.39784946234</v>
      </c>
      <c r="B661" s="8">
        <v>0</v>
      </c>
      <c r="C661" s="9">
        <v>0.94117647058823528</v>
      </c>
    </row>
    <row r="662" spans="1:3">
      <c r="A662" s="8">
        <v>596290.32258064509</v>
      </c>
      <c r="B662" s="8">
        <v>0</v>
      </c>
      <c r="C662" s="9">
        <v>0.94117647058823528</v>
      </c>
    </row>
    <row r="663" spans="1:3">
      <c r="A663" s="8">
        <v>596989.24731182796</v>
      </c>
      <c r="B663" s="8">
        <v>0</v>
      </c>
      <c r="C663" s="9">
        <v>0.94117647058823528</v>
      </c>
    </row>
    <row r="664" spans="1:3">
      <c r="A664" s="8">
        <v>597688.17204301071</v>
      </c>
      <c r="B664" s="8">
        <v>0</v>
      </c>
      <c r="C664" s="9">
        <v>0.94117647058823528</v>
      </c>
    </row>
    <row r="665" spans="1:3">
      <c r="A665" s="8">
        <v>598387.09677419346</v>
      </c>
      <c r="B665" s="8">
        <v>0</v>
      </c>
      <c r="C665" s="9">
        <v>0.94117647058823528</v>
      </c>
    </row>
    <row r="666" spans="1:3">
      <c r="A666" s="8">
        <v>599086.02150537632</v>
      </c>
      <c r="B666" s="8">
        <v>0</v>
      </c>
      <c r="C666" s="9">
        <v>0.94117647058823528</v>
      </c>
    </row>
    <row r="667" spans="1:3">
      <c r="A667" s="8">
        <v>599784.94623655919</v>
      </c>
      <c r="B667" s="8">
        <v>0</v>
      </c>
      <c r="C667" s="9">
        <v>0.94117647058823528</v>
      </c>
    </row>
    <row r="668" spans="1:3">
      <c r="A668" s="8">
        <v>600483.87096774182</v>
      </c>
      <c r="B668" s="8">
        <v>0</v>
      </c>
      <c r="C668" s="9">
        <v>0.94117647058823528</v>
      </c>
    </row>
    <row r="669" spans="1:3">
      <c r="A669" s="8">
        <v>601182.79569892469</v>
      </c>
      <c r="B669" s="8">
        <v>0</v>
      </c>
      <c r="C669" s="9">
        <v>0.94117647058823528</v>
      </c>
    </row>
    <row r="670" spans="1:3">
      <c r="A670" s="8">
        <v>601881.72043010755</v>
      </c>
      <c r="B670" s="8">
        <v>0</v>
      </c>
      <c r="C670" s="9">
        <v>0.94117647058823528</v>
      </c>
    </row>
    <row r="671" spans="1:3">
      <c r="A671" s="8">
        <v>602580.6451612903</v>
      </c>
      <c r="B671" s="8">
        <v>0</v>
      </c>
      <c r="C671" s="9">
        <v>0.94117647058823528</v>
      </c>
    </row>
    <row r="672" spans="1:3">
      <c r="A672" s="8">
        <v>603279.56989247305</v>
      </c>
      <c r="B672" s="8">
        <v>0</v>
      </c>
      <c r="C672" s="9">
        <v>0.94117647058823528</v>
      </c>
    </row>
    <row r="673" spans="1:3">
      <c r="A673" s="8">
        <v>603978.49462365592</v>
      </c>
      <c r="B673" s="8">
        <v>0</v>
      </c>
      <c r="C673" s="9">
        <v>0.94117647058823528</v>
      </c>
    </row>
    <row r="674" spans="1:3">
      <c r="A674" s="8">
        <v>604677.41935483867</v>
      </c>
      <c r="B674" s="8">
        <v>0</v>
      </c>
      <c r="C674" s="9">
        <v>0.94117647058823528</v>
      </c>
    </row>
    <row r="675" spans="1:3">
      <c r="A675" s="8">
        <v>605376.34408602142</v>
      </c>
      <c r="B675" s="8">
        <v>0</v>
      </c>
      <c r="C675" s="9">
        <v>0.94117647058823528</v>
      </c>
    </row>
    <row r="676" spans="1:3">
      <c r="A676" s="8">
        <v>606075.26881720428</v>
      </c>
      <c r="B676" s="8">
        <v>0</v>
      </c>
      <c r="C676" s="9">
        <v>0.94117647058823528</v>
      </c>
    </row>
    <row r="677" spans="1:3">
      <c r="A677" s="8">
        <v>606774.19354838715</v>
      </c>
      <c r="B677" s="8">
        <v>0</v>
      </c>
      <c r="C677" s="9">
        <v>0.94117647058823528</v>
      </c>
    </row>
    <row r="678" spans="1:3">
      <c r="A678" s="8">
        <v>607473.11827956978</v>
      </c>
      <c r="B678" s="8">
        <v>0</v>
      </c>
      <c r="C678" s="9">
        <v>0.94117647058823528</v>
      </c>
    </row>
    <row r="679" spans="1:3">
      <c r="A679" s="8">
        <v>608172.04301075265</v>
      </c>
      <c r="B679" s="8">
        <v>0</v>
      </c>
      <c r="C679" s="9">
        <v>0.94117647058823528</v>
      </c>
    </row>
    <row r="680" spans="1:3">
      <c r="A680" s="8">
        <v>608870.96774193551</v>
      </c>
      <c r="B680" s="8">
        <v>0</v>
      </c>
      <c r="C680" s="9">
        <v>0.94117647058823528</v>
      </c>
    </row>
    <row r="681" spans="1:3">
      <c r="A681" s="8">
        <v>609569.89247311826</v>
      </c>
      <c r="B681" s="8">
        <v>0</v>
      </c>
      <c r="C681" s="9">
        <v>0.94117647058823528</v>
      </c>
    </row>
    <row r="682" spans="1:3">
      <c r="A682" s="8">
        <v>610268.81720430101</v>
      </c>
      <c r="B682" s="8">
        <v>0</v>
      </c>
      <c r="C682" s="9">
        <v>0.94117647058823528</v>
      </c>
    </row>
    <row r="683" spans="1:3">
      <c r="A683" s="8">
        <v>610967.74193548388</v>
      </c>
      <c r="B683" s="8">
        <v>0</v>
      </c>
      <c r="C683" s="9">
        <v>0.94117647058823528</v>
      </c>
    </row>
    <row r="684" spans="1:3">
      <c r="A684" s="8">
        <v>611666.66666666663</v>
      </c>
      <c r="B684" s="8">
        <v>0</v>
      </c>
      <c r="C684" s="9">
        <v>0.94117647058823528</v>
      </c>
    </row>
    <row r="685" spans="1:3">
      <c r="A685" s="8">
        <v>612365.59139784938</v>
      </c>
      <c r="B685" s="8">
        <v>0</v>
      </c>
      <c r="C685" s="9">
        <v>0.94117647058823528</v>
      </c>
    </row>
    <row r="686" spans="1:3">
      <c r="A686" s="8">
        <v>613064.51612903224</v>
      </c>
      <c r="B686" s="8">
        <v>0</v>
      </c>
      <c r="C686" s="9">
        <v>0.94117647058823528</v>
      </c>
    </row>
    <row r="687" spans="1:3">
      <c r="A687" s="8">
        <v>613763.44086021511</v>
      </c>
      <c r="B687" s="8">
        <v>0</v>
      </c>
      <c r="C687" s="9">
        <v>0.94117647058823528</v>
      </c>
    </row>
    <row r="688" spans="1:3">
      <c r="A688" s="8">
        <v>614462.36559139774</v>
      </c>
      <c r="B688" s="8">
        <v>0</v>
      </c>
      <c r="C688" s="9">
        <v>0.94117647058823528</v>
      </c>
    </row>
    <row r="689" spans="1:3">
      <c r="A689" s="8">
        <v>615161.29032258061</v>
      </c>
      <c r="B689" s="8">
        <v>0</v>
      </c>
      <c r="C689" s="9">
        <v>0.94117647058823528</v>
      </c>
    </row>
    <row r="690" spans="1:3">
      <c r="A690" s="8">
        <v>615860.21505376347</v>
      </c>
      <c r="B690" s="8">
        <v>0</v>
      </c>
      <c r="C690" s="9">
        <v>0.94117647058823528</v>
      </c>
    </row>
    <row r="691" spans="1:3">
      <c r="A691" s="8">
        <v>616559.13978494622</v>
      </c>
      <c r="B691" s="8">
        <v>0</v>
      </c>
      <c r="C691" s="9">
        <v>0.94117647058823528</v>
      </c>
    </row>
    <row r="692" spans="1:3">
      <c r="A692" s="8">
        <v>617258.06451612897</v>
      </c>
      <c r="B692" s="8">
        <v>0</v>
      </c>
      <c r="C692" s="9">
        <v>0.94117647058823528</v>
      </c>
    </row>
    <row r="693" spans="1:3">
      <c r="A693" s="8">
        <v>617956.98924731184</v>
      </c>
      <c r="B693" s="8">
        <v>0</v>
      </c>
      <c r="C693" s="9">
        <v>0.94117647058823528</v>
      </c>
    </row>
    <row r="694" spans="1:3">
      <c r="A694" s="8">
        <v>618655.91397849459</v>
      </c>
      <c r="B694" s="8">
        <v>0</v>
      </c>
      <c r="C694" s="9">
        <v>0.94117647058823528</v>
      </c>
    </row>
    <row r="695" spans="1:3">
      <c r="A695" s="8">
        <v>619354.83870967734</v>
      </c>
      <c r="B695" s="8">
        <v>0</v>
      </c>
      <c r="C695" s="9">
        <v>0.94117647058823528</v>
      </c>
    </row>
    <row r="696" spans="1:3">
      <c r="A696" s="8">
        <v>620053.7634408602</v>
      </c>
      <c r="B696" s="8">
        <v>0</v>
      </c>
      <c r="C696" s="9">
        <v>0.94117647058823528</v>
      </c>
    </row>
    <row r="697" spans="1:3">
      <c r="A697" s="8">
        <v>620752.68817204295</v>
      </c>
      <c r="B697" s="8">
        <v>0</v>
      </c>
      <c r="C697" s="9">
        <v>0.94117647058823528</v>
      </c>
    </row>
    <row r="698" spans="1:3">
      <c r="A698" s="8">
        <v>621451.6129032257</v>
      </c>
      <c r="B698" s="8">
        <v>0</v>
      </c>
      <c r="C698" s="9">
        <v>0.94117647058823528</v>
      </c>
    </row>
    <row r="699" spans="1:3">
      <c r="A699" s="8">
        <v>622150.53763440857</v>
      </c>
      <c r="B699" s="8">
        <v>0</v>
      </c>
      <c r="C699" s="9">
        <v>0.94117647058823528</v>
      </c>
    </row>
    <row r="700" spans="1:3">
      <c r="A700" s="8">
        <v>622849.46236559143</v>
      </c>
      <c r="B700" s="8">
        <v>0</v>
      </c>
      <c r="C700" s="9">
        <v>0.94117647058823528</v>
      </c>
    </row>
    <row r="701" spans="1:3">
      <c r="A701" s="8">
        <v>623548.38709677418</v>
      </c>
      <c r="B701" s="8">
        <v>0</v>
      </c>
      <c r="C701" s="9">
        <v>0.94117647058823528</v>
      </c>
    </row>
    <row r="702" spans="1:3">
      <c r="A702" s="8">
        <v>624247.31182795693</v>
      </c>
      <c r="B702" s="8">
        <v>0</v>
      </c>
      <c r="C702" s="9">
        <v>0.94117647058823528</v>
      </c>
    </row>
    <row r="703" spans="1:3">
      <c r="A703" s="8">
        <v>624946.2365591398</v>
      </c>
      <c r="B703" s="8">
        <v>0</v>
      </c>
      <c r="C703" s="9">
        <v>0.94117647058823528</v>
      </c>
    </row>
    <row r="704" spans="1:3">
      <c r="A704" s="8">
        <v>625645.16129032255</v>
      </c>
      <c r="B704" s="8">
        <v>1</v>
      </c>
      <c r="C704" s="9">
        <v>0.96078431372549022</v>
      </c>
    </row>
    <row r="705" spans="1:3">
      <c r="A705" s="8">
        <v>626344.0860215053</v>
      </c>
      <c r="B705" s="8">
        <v>0</v>
      </c>
      <c r="C705" s="9">
        <v>0.96078431372549022</v>
      </c>
    </row>
    <row r="706" spans="1:3">
      <c r="A706" s="8">
        <v>627043.01075268816</v>
      </c>
      <c r="B706" s="8">
        <v>0</v>
      </c>
      <c r="C706" s="9">
        <v>0.96078431372549022</v>
      </c>
    </row>
    <row r="707" spans="1:3">
      <c r="A707" s="8">
        <v>627741.93548387091</v>
      </c>
      <c r="B707" s="8">
        <v>0</v>
      </c>
      <c r="C707" s="9">
        <v>0.96078431372549022</v>
      </c>
    </row>
    <row r="708" spans="1:3">
      <c r="A708" s="8">
        <v>628440.86021505366</v>
      </c>
      <c r="B708" s="8">
        <v>0</v>
      </c>
      <c r="C708" s="9">
        <v>0.96078431372549022</v>
      </c>
    </row>
    <row r="709" spans="1:3">
      <c r="A709" s="8">
        <v>629139.78494623653</v>
      </c>
      <c r="B709" s="8">
        <v>0</v>
      </c>
      <c r="C709" s="9">
        <v>0.96078431372549022</v>
      </c>
    </row>
    <row r="710" spans="1:3">
      <c r="A710" s="8">
        <v>629838.70967741939</v>
      </c>
      <c r="B710" s="8">
        <v>0</v>
      </c>
      <c r="C710" s="9">
        <v>0.96078431372549022</v>
      </c>
    </row>
    <row r="711" spans="1:3">
      <c r="A711" s="8">
        <v>630537.63440860214</v>
      </c>
      <c r="B711" s="8">
        <v>0</v>
      </c>
      <c r="C711" s="9">
        <v>0.96078431372549022</v>
      </c>
    </row>
    <row r="712" spans="1:3">
      <c r="A712" s="8">
        <v>631236.55913978489</v>
      </c>
      <c r="B712" s="8">
        <v>0</v>
      </c>
      <c r="C712" s="9">
        <v>0.96078431372549022</v>
      </c>
    </row>
    <row r="713" spans="1:3">
      <c r="A713" s="8">
        <v>631935.48387096776</v>
      </c>
      <c r="B713" s="8">
        <v>0</v>
      </c>
      <c r="C713" s="9">
        <v>0.96078431372549022</v>
      </c>
    </row>
    <row r="714" spans="1:3">
      <c r="A714" s="8">
        <v>632634.40860215051</v>
      </c>
      <c r="B714" s="8">
        <v>0</v>
      </c>
      <c r="C714" s="9">
        <v>0.96078431372549022</v>
      </c>
    </row>
    <row r="715" spans="1:3">
      <c r="A715" s="8">
        <v>633333.33333333326</v>
      </c>
      <c r="B715" s="8">
        <v>0</v>
      </c>
      <c r="C715" s="9">
        <v>0.96078431372549022</v>
      </c>
    </row>
    <row r="716" spans="1:3">
      <c r="A716" s="8">
        <v>634032.25806451612</v>
      </c>
      <c r="B716" s="8">
        <v>0</v>
      </c>
      <c r="C716" s="9">
        <v>0.96078431372549022</v>
      </c>
    </row>
    <row r="717" spans="1:3">
      <c r="A717" s="8">
        <v>634731.18279569887</v>
      </c>
      <c r="B717" s="8">
        <v>0</v>
      </c>
      <c r="C717" s="9">
        <v>0.96078431372549022</v>
      </c>
    </row>
    <row r="718" spans="1:3">
      <c r="A718" s="8">
        <v>635430.10752688162</v>
      </c>
      <c r="B718" s="8">
        <v>0</v>
      </c>
      <c r="C718" s="9">
        <v>0.96078431372549022</v>
      </c>
    </row>
    <row r="719" spans="1:3">
      <c r="A719" s="8">
        <v>636129.03225806449</v>
      </c>
      <c r="B719" s="8">
        <v>0</v>
      </c>
      <c r="C719" s="9">
        <v>0.96078431372549022</v>
      </c>
    </row>
    <row r="720" spans="1:3">
      <c r="A720" s="8">
        <v>636827.95698924735</v>
      </c>
      <c r="B720" s="8">
        <v>0</v>
      </c>
      <c r="C720" s="9">
        <v>0.96078431372549022</v>
      </c>
    </row>
    <row r="721" spans="1:3">
      <c r="A721" s="8">
        <v>637526.8817204301</v>
      </c>
      <c r="B721" s="8">
        <v>0</v>
      </c>
      <c r="C721" s="9">
        <v>0.96078431372549022</v>
      </c>
    </row>
    <row r="722" spans="1:3">
      <c r="A722" s="8">
        <v>638225.80645161285</v>
      </c>
      <c r="B722" s="8">
        <v>0</v>
      </c>
      <c r="C722" s="9">
        <v>0.96078431372549022</v>
      </c>
    </row>
    <row r="723" spans="1:3">
      <c r="A723" s="8">
        <v>638924.73118279572</v>
      </c>
      <c r="B723" s="8">
        <v>0</v>
      </c>
      <c r="C723" s="9">
        <v>0.96078431372549022</v>
      </c>
    </row>
    <row r="724" spans="1:3">
      <c r="A724" s="8">
        <v>639623.65591397847</v>
      </c>
      <c r="B724" s="8">
        <v>0</v>
      </c>
      <c r="C724" s="9">
        <v>0.96078431372549022</v>
      </c>
    </row>
    <row r="725" spans="1:3">
      <c r="A725" s="8">
        <v>640322.58064516122</v>
      </c>
      <c r="B725" s="8">
        <v>0</v>
      </c>
      <c r="C725" s="9">
        <v>0.96078431372549022</v>
      </c>
    </row>
    <row r="726" spans="1:3">
      <c r="A726" s="8">
        <v>641021.50537634408</v>
      </c>
      <c r="B726" s="8">
        <v>0</v>
      </c>
      <c r="C726" s="9">
        <v>0.96078431372549022</v>
      </c>
    </row>
    <row r="727" spans="1:3">
      <c r="A727" s="8">
        <v>641720.43010752683</v>
      </c>
      <c r="B727" s="8">
        <v>0</v>
      </c>
      <c r="C727" s="9">
        <v>0.96078431372549022</v>
      </c>
    </row>
    <row r="728" spans="1:3">
      <c r="A728" s="8">
        <v>642419.35483870958</v>
      </c>
      <c r="B728" s="8">
        <v>0</v>
      </c>
      <c r="C728" s="9">
        <v>0.96078431372549022</v>
      </c>
    </row>
    <row r="729" spans="1:3">
      <c r="A729" s="8">
        <v>643118.27956989245</v>
      </c>
      <c r="B729" s="8">
        <v>0</v>
      </c>
      <c r="C729" s="9">
        <v>0.96078431372549022</v>
      </c>
    </row>
    <row r="730" spans="1:3">
      <c r="A730" s="8">
        <v>643817.20430107531</v>
      </c>
      <c r="B730" s="8">
        <v>0</v>
      </c>
      <c r="C730" s="9">
        <v>0.96078431372549022</v>
      </c>
    </row>
    <row r="731" spans="1:3">
      <c r="A731" s="8">
        <v>644516.12903225794</v>
      </c>
      <c r="B731" s="8">
        <v>0</v>
      </c>
      <c r="C731" s="9">
        <v>0.96078431372549022</v>
      </c>
    </row>
    <row r="732" spans="1:3">
      <c r="A732" s="8">
        <v>645215.05376344081</v>
      </c>
      <c r="B732" s="8">
        <v>0</v>
      </c>
      <c r="C732" s="9">
        <v>0.96078431372549022</v>
      </c>
    </row>
    <row r="733" spans="1:3">
      <c r="A733" s="8">
        <v>645913.97849462368</v>
      </c>
      <c r="B733" s="8">
        <v>0</v>
      </c>
      <c r="C733" s="9">
        <v>0.96078431372549022</v>
      </c>
    </row>
    <row r="734" spans="1:3">
      <c r="A734" s="8">
        <v>646612.90322580643</v>
      </c>
      <c r="B734" s="8">
        <v>0</v>
      </c>
      <c r="C734" s="9">
        <v>0.96078431372549022</v>
      </c>
    </row>
    <row r="735" spans="1:3">
      <c r="A735" s="8">
        <v>647311.82795698917</v>
      </c>
      <c r="B735" s="8">
        <v>0</v>
      </c>
      <c r="C735" s="9">
        <v>0.96078431372549022</v>
      </c>
    </row>
    <row r="736" spans="1:3">
      <c r="A736" s="8">
        <v>648010.75268817204</v>
      </c>
      <c r="B736" s="8">
        <v>0</v>
      </c>
      <c r="C736" s="9">
        <v>0.96078431372549022</v>
      </c>
    </row>
    <row r="737" spans="1:3">
      <c r="A737" s="8">
        <v>648709.67741935479</v>
      </c>
      <c r="B737" s="8">
        <v>0</v>
      </c>
      <c r="C737" s="9">
        <v>0.96078431372549022</v>
      </c>
    </row>
    <row r="738" spans="1:3">
      <c r="A738" s="8">
        <v>649408.60215053754</v>
      </c>
      <c r="B738" s="8">
        <v>0</v>
      </c>
      <c r="C738" s="9">
        <v>0.96078431372549022</v>
      </c>
    </row>
    <row r="739" spans="1:3">
      <c r="A739" s="8">
        <v>650107.52688172041</v>
      </c>
      <c r="B739" s="8">
        <v>0</v>
      </c>
      <c r="C739" s="9">
        <v>0.96078431372549022</v>
      </c>
    </row>
    <row r="740" spans="1:3">
      <c r="A740" s="8">
        <v>650806.45161290327</v>
      </c>
      <c r="B740" s="8">
        <v>0</v>
      </c>
      <c r="C740" s="9">
        <v>0.96078431372549022</v>
      </c>
    </row>
    <row r="741" spans="1:3">
      <c r="A741" s="8">
        <v>651505.3763440859</v>
      </c>
      <c r="B741" s="8">
        <v>0</v>
      </c>
      <c r="C741" s="9">
        <v>0.96078431372549022</v>
      </c>
    </row>
    <row r="742" spans="1:3">
      <c r="A742" s="8">
        <v>652204.30107526877</v>
      </c>
      <c r="B742" s="8">
        <v>0</v>
      </c>
      <c r="C742" s="9">
        <v>0.96078431372549022</v>
      </c>
    </row>
    <row r="743" spans="1:3">
      <c r="A743" s="8">
        <v>652903.22580645164</v>
      </c>
      <c r="B743" s="8">
        <v>0</v>
      </c>
      <c r="C743" s="9">
        <v>0.96078431372549022</v>
      </c>
    </row>
    <row r="744" spans="1:3">
      <c r="A744" s="8">
        <v>653602.15053763438</v>
      </c>
      <c r="B744" s="8">
        <v>0</v>
      </c>
      <c r="C744" s="9">
        <v>0.96078431372549022</v>
      </c>
    </row>
    <row r="745" spans="1:3">
      <c r="A745" s="8">
        <v>654301.07526881713</v>
      </c>
      <c r="B745" s="8">
        <v>0</v>
      </c>
      <c r="C745" s="9">
        <v>0.96078431372549022</v>
      </c>
    </row>
    <row r="746" spans="1:3">
      <c r="A746" s="8">
        <v>655000</v>
      </c>
      <c r="B746" s="8">
        <v>0</v>
      </c>
      <c r="C746" s="9">
        <v>0.96078431372549022</v>
      </c>
    </row>
    <row r="747" spans="1:3">
      <c r="A747" s="8">
        <v>655698.92473118275</v>
      </c>
      <c r="B747" s="8">
        <v>0</v>
      </c>
      <c r="C747" s="9">
        <v>0.96078431372549022</v>
      </c>
    </row>
    <row r="748" spans="1:3">
      <c r="A748" s="8">
        <v>656397.8494623655</v>
      </c>
      <c r="B748" s="8">
        <v>0</v>
      </c>
      <c r="C748" s="9">
        <v>0.96078431372549022</v>
      </c>
    </row>
    <row r="749" spans="1:3">
      <c r="A749" s="8">
        <v>657096.77419354836</v>
      </c>
      <c r="B749" s="8">
        <v>0</v>
      </c>
      <c r="C749" s="9">
        <v>0.96078431372549022</v>
      </c>
    </row>
    <row r="750" spans="1:3">
      <c r="A750" s="8">
        <v>657795.69892473123</v>
      </c>
      <c r="B750" s="8">
        <v>0</v>
      </c>
      <c r="C750" s="9">
        <v>0.96078431372549022</v>
      </c>
    </row>
    <row r="751" spans="1:3">
      <c r="A751" s="8">
        <v>658494.62365591386</v>
      </c>
      <c r="B751" s="8">
        <v>0</v>
      </c>
      <c r="C751" s="9">
        <v>0.96078431372549022</v>
      </c>
    </row>
    <row r="752" spans="1:3">
      <c r="A752" s="8">
        <v>659193.54838709673</v>
      </c>
      <c r="B752" s="8">
        <v>0</v>
      </c>
      <c r="C752" s="9">
        <v>0.96078431372549022</v>
      </c>
    </row>
    <row r="753" spans="1:3">
      <c r="A753" s="8">
        <v>659892.47311827948</v>
      </c>
      <c r="B753" s="8">
        <v>0</v>
      </c>
      <c r="C753" s="9">
        <v>0.96078431372549022</v>
      </c>
    </row>
    <row r="754" spans="1:3">
      <c r="A754" s="8">
        <v>660591.39784946234</v>
      </c>
      <c r="B754" s="8">
        <v>0</v>
      </c>
      <c r="C754" s="9">
        <v>0.96078431372549022</v>
      </c>
    </row>
    <row r="755" spans="1:3">
      <c r="A755" s="8">
        <v>661290.32258064509</v>
      </c>
      <c r="B755" s="8">
        <v>0</v>
      </c>
      <c r="C755" s="9">
        <v>0.96078431372549022</v>
      </c>
    </row>
    <row r="756" spans="1:3">
      <c r="A756" s="8">
        <v>661989.24731182796</v>
      </c>
      <c r="B756" s="8">
        <v>0</v>
      </c>
      <c r="C756" s="9">
        <v>0.96078431372549022</v>
      </c>
    </row>
    <row r="757" spans="1:3">
      <c r="A757" s="8">
        <v>662688.17204301071</v>
      </c>
      <c r="B757" s="8">
        <v>0</v>
      </c>
      <c r="C757" s="9">
        <v>0.96078431372549022</v>
      </c>
    </row>
    <row r="758" spans="1:3">
      <c r="A758" s="8">
        <v>663387.09677419346</v>
      </c>
      <c r="B758" s="8">
        <v>0</v>
      </c>
      <c r="C758" s="9">
        <v>0.96078431372549022</v>
      </c>
    </row>
    <row r="759" spans="1:3">
      <c r="A759" s="8">
        <v>664086.02150537632</v>
      </c>
      <c r="B759" s="8">
        <v>0</v>
      </c>
      <c r="C759" s="9">
        <v>0.96078431372549022</v>
      </c>
    </row>
    <row r="760" spans="1:3">
      <c r="A760" s="8">
        <v>664784.94623655907</v>
      </c>
      <c r="B760" s="8">
        <v>0</v>
      </c>
      <c r="C760" s="9">
        <v>0.96078431372549022</v>
      </c>
    </row>
    <row r="761" spans="1:3">
      <c r="A761" s="8">
        <v>665483.87096774194</v>
      </c>
      <c r="B761" s="8">
        <v>0</v>
      </c>
      <c r="C761" s="9">
        <v>0.96078431372549022</v>
      </c>
    </row>
    <row r="762" spans="1:3">
      <c r="A762" s="8">
        <v>666182.79569892469</v>
      </c>
      <c r="B762" s="8">
        <v>0</v>
      </c>
      <c r="C762" s="9">
        <v>0.96078431372549022</v>
      </c>
    </row>
    <row r="763" spans="1:3">
      <c r="A763" s="8">
        <v>666881.72043010744</v>
      </c>
      <c r="B763" s="8">
        <v>0</v>
      </c>
      <c r="C763" s="9">
        <v>0.96078431372549022</v>
      </c>
    </row>
    <row r="764" spans="1:3">
      <c r="A764" s="8">
        <v>667580.6451612903</v>
      </c>
      <c r="B764" s="8">
        <v>0</v>
      </c>
      <c r="C764" s="9">
        <v>0.96078431372549022</v>
      </c>
    </row>
    <row r="765" spans="1:3">
      <c r="A765" s="8">
        <v>668279.56989247305</v>
      </c>
      <c r="B765" s="8">
        <v>0</v>
      </c>
      <c r="C765" s="9">
        <v>0.96078431372549022</v>
      </c>
    </row>
    <row r="766" spans="1:3">
      <c r="A766" s="8">
        <v>668978.49462365592</v>
      </c>
      <c r="B766" s="8">
        <v>0</v>
      </c>
      <c r="C766" s="9">
        <v>0.96078431372549022</v>
      </c>
    </row>
    <row r="767" spans="1:3">
      <c r="A767" s="8">
        <v>669677.41935483867</v>
      </c>
      <c r="B767" s="8">
        <v>0</v>
      </c>
      <c r="C767" s="9">
        <v>0.96078431372549022</v>
      </c>
    </row>
    <row r="768" spans="1:3">
      <c r="A768" s="8">
        <v>670376.34408602142</v>
      </c>
      <c r="B768" s="8">
        <v>0</v>
      </c>
      <c r="C768" s="9">
        <v>0.96078431372549022</v>
      </c>
    </row>
    <row r="769" spans="1:3">
      <c r="A769" s="8">
        <v>671075.26881720428</v>
      </c>
      <c r="B769" s="8">
        <v>0</v>
      </c>
      <c r="C769" s="9">
        <v>0.96078431372549022</v>
      </c>
    </row>
    <row r="770" spans="1:3">
      <c r="A770" s="8">
        <v>671774.19354838703</v>
      </c>
      <c r="B770" s="8">
        <v>0</v>
      </c>
      <c r="C770" s="9">
        <v>0.96078431372549022</v>
      </c>
    </row>
    <row r="771" spans="1:3">
      <c r="A771" s="8">
        <v>672473.1182795699</v>
      </c>
      <c r="B771" s="8">
        <v>0</v>
      </c>
      <c r="C771" s="9">
        <v>0.96078431372549022</v>
      </c>
    </row>
    <row r="772" spans="1:3">
      <c r="A772" s="8">
        <v>673172.04301075265</v>
      </c>
      <c r="B772" s="8">
        <v>0</v>
      </c>
      <c r="C772" s="9">
        <v>0.96078431372549022</v>
      </c>
    </row>
    <row r="773" spans="1:3">
      <c r="A773" s="8">
        <v>673870.9677419354</v>
      </c>
      <c r="B773" s="8">
        <v>0</v>
      </c>
      <c r="C773" s="9">
        <v>0.96078431372549022</v>
      </c>
    </row>
    <row r="774" spans="1:3">
      <c r="A774" s="8">
        <v>674569.89247311826</v>
      </c>
      <c r="B774" s="8">
        <v>0</v>
      </c>
      <c r="C774" s="9">
        <v>0.96078431372549022</v>
      </c>
    </row>
    <row r="775" spans="1:3">
      <c r="A775" s="8">
        <v>675268.81720430101</v>
      </c>
      <c r="B775" s="8">
        <v>0</v>
      </c>
      <c r="C775" s="9">
        <v>0.96078431372549022</v>
      </c>
    </row>
    <row r="776" spans="1:3">
      <c r="A776" s="8">
        <v>675967.74193548388</v>
      </c>
      <c r="B776" s="8">
        <v>0</v>
      </c>
      <c r="C776" s="9">
        <v>0.96078431372549022</v>
      </c>
    </row>
    <row r="777" spans="1:3">
      <c r="A777" s="8">
        <v>676666.66666666663</v>
      </c>
      <c r="B777" s="8">
        <v>0</v>
      </c>
      <c r="C777" s="9">
        <v>0.96078431372549022</v>
      </c>
    </row>
    <row r="778" spans="1:3">
      <c r="A778" s="8">
        <v>677365.59139784938</v>
      </c>
      <c r="B778" s="8">
        <v>0</v>
      </c>
      <c r="C778" s="9">
        <v>0.96078431372549022</v>
      </c>
    </row>
    <row r="779" spans="1:3">
      <c r="A779" s="8">
        <v>678064.51612903224</v>
      </c>
      <c r="B779" s="8">
        <v>0</v>
      </c>
      <c r="C779" s="9">
        <v>0.96078431372549022</v>
      </c>
    </row>
    <row r="780" spans="1:3">
      <c r="A780" s="8">
        <v>678763.44086021499</v>
      </c>
      <c r="B780" s="8">
        <v>0</v>
      </c>
      <c r="C780" s="9">
        <v>0.96078431372549022</v>
      </c>
    </row>
    <row r="781" spans="1:3">
      <c r="A781" s="8">
        <v>679462.36559139786</v>
      </c>
      <c r="B781" s="8">
        <v>0</v>
      </c>
      <c r="C781" s="9">
        <v>0.96078431372549022</v>
      </c>
    </row>
    <row r="782" spans="1:3">
      <c r="A782" s="8">
        <v>680161.29032258061</v>
      </c>
      <c r="B782" s="8">
        <v>0</v>
      </c>
      <c r="C782" s="9">
        <v>0.96078431372549022</v>
      </c>
    </row>
    <row r="783" spans="1:3">
      <c r="A783" s="8">
        <v>680860.21505376336</v>
      </c>
      <c r="B783" s="8">
        <v>0</v>
      </c>
      <c r="C783" s="9">
        <v>0.96078431372549022</v>
      </c>
    </row>
    <row r="784" spans="1:3">
      <c r="A784" s="8">
        <v>681559.13978494622</v>
      </c>
      <c r="B784" s="8">
        <v>0</v>
      </c>
      <c r="C784" s="9">
        <v>0.96078431372549022</v>
      </c>
    </row>
    <row r="785" spans="1:3">
      <c r="A785" s="8">
        <v>682258.06451612897</v>
      </c>
      <c r="B785" s="8">
        <v>0</v>
      </c>
      <c r="C785" s="9">
        <v>0.96078431372549022</v>
      </c>
    </row>
    <row r="786" spans="1:3">
      <c r="A786" s="8">
        <v>682956.98924731184</v>
      </c>
      <c r="B786" s="8">
        <v>0</v>
      </c>
      <c r="C786" s="9">
        <v>0.96078431372549022</v>
      </c>
    </row>
    <row r="787" spans="1:3">
      <c r="A787" s="8">
        <v>683655.91397849459</v>
      </c>
      <c r="B787" s="8">
        <v>0</v>
      </c>
      <c r="C787" s="9">
        <v>0.96078431372549022</v>
      </c>
    </row>
    <row r="788" spans="1:3">
      <c r="A788" s="8">
        <v>684354.83870967734</v>
      </c>
      <c r="B788" s="8">
        <v>0</v>
      </c>
      <c r="C788" s="9">
        <v>0.96078431372549022</v>
      </c>
    </row>
    <row r="789" spans="1:3">
      <c r="A789" s="8">
        <v>685053.7634408602</v>
      </c>
      <c r="B789" s="8">
        <v>0</v>
      </c>
      <c r="C789" s="9">
        <v>0.96078431372549022</v>
      </c>
    </row>
    <row r="790" spans="1:3">
      <c r="A790" s="8">
        <v>685752.68817204295</v>
      </c>
      <c r="B790" s="8">
        <v>0</v>
      </c>
      <c r="C790" s="9">
        <v>0.96078431372549022</v>
      </c>
    </row>
    <row r="791" spans="1:3">
      <c r="A791" s="8">
        <v>686451.61290322582</v>
      </c>
      <c r="B791" s="8">
        <v>0</v>
      </c>
      <c r="C791" s="9">
        <v>0.96078431372549022</v>
      </c>
    </row>
    <row r="792" spans="1:3">
      <c r="A792" s="8">
        <v>687150.53763440857</v>
      </c>
      <c r="B792" s="8">
        <v>0</v>
      </c>
      <c r="C792" s="9">
        <v>0.96078431372549022</v>
      </c>
    </row>
    <row r="793" spans="1:3">
      <c r="A793" s="8">
        <v>687849.46236559132</v>
      </c>
      <c r="B793" s="8">
        <v>0</v>
      </c>
      <c r="C793" s="9">
        <v>0.96078431372549022</v>
      </c>
    </row>
    <row r="794" spans="1:3">
      <c r="A794" s="8">
        <v>688548.38709677418</v>
      </c>
      <c r="B794" s="8">
        <v>0</v>
      </c>
      <c r="C794" s="9">
        <v>0.96078431372549022</v>
      </c>
    </row>
    <row r="795" spans="1:3">
      <c r="A795" s="8">
        <v>689247.31182795693</v>
      </c>
      <c r="B795" s="8">
        <v>0</v>
      </c>
      <c r="C795" s="9">
        <v>0.96078431372549022</v>
      </c>
    </row>
    <row r="796" spans="1:3">
      <c r="A796" s="8">
        <v>689946.2365591398</v>
      </c>
      <c r="B796" s="8">
        <v>0</v>
      </c>
      <c r="C796" s="9">
        <v>0.96078431372549022</v>
      </c>
    </row>
    <row r="797" spans="1:3">
      <c r="A797" s="8">
        <v>690645.16129032255</v>
      </c>
      <c r="B797" s="8">
        <v>0</v>
      </c>
      <c r="C797" s="9">
        <v>0.96078431372549022</v>
      </c>
    </row>
    <row r="798" spans="1:3">
      <c r="A798" s="8">
        <v>691344.0860215053</v>
      </c>
      <c r="B798" s="8">
        <v>0</v>
      </c>
      <c r="C798" s="9">
        <v>0.96078431372549022</v>
      </c>
    </row>
    <row r="799" spans="1:3">
      <c r="A799" s="8">
        <v>692043.01075268816</v>
      </c>
      <c r="B799" s="8">
        <v>0</v>
      </c>
      <c r="C799" s="9">
        <v>0.96078431372549022</v>
      </c>
    </row>
    <row r="800" spans="1:3">
      <c r="A800" s="8">
        <v>692741.93548387091</v>
      </c>
      <c r="B800" s="8">
        <v>0</v>
      </c>
      <c r="C800" s="9">
        <v>0.96078431372549022</v>
      </c>
    </row>
    <row r="801" spans="1:3">
      <c r="A801" s="8">
        <v>693440.86021505378</v>
      </c>
      <c r="B801" s="8">
        <v>0</v>
      </c>
      <c r="C801" s="9">
        <v>0.96078431372549022</v>
      </c>
    </row>
    <row r="802" spans="1:3">
      <c r="A802" s="8">
        <v>694139.78494623653</v>
      </c>
      <c r="B802" s="8">
        <v>0</v>
      </c>
      <c r="C802" s="9">
        <v>0.96078431372549022</v>
      </c>
    </row>
    <row r="803" spans="1:3">
      <c r="A803" s="8">
        <v>694838.70967741928</v>
      </c>
      <c r="B803" s="8">
        <v>0</v>
      </c>
      <c r="C803" s="9">
        <v>0.96078431372549022</v>
      </c>
    </row>
    <row r="804" spans="1:3">
      <c r="A804" s="8">
        <v>695537.63440860214</v>
      </c>
      <c r="B804" s="8">
        <v>0</v>
      </c>
      <c r="C804" s="9">
        <v>0.96078431372549022</v>
      </c>
    </row>
    <row r="805" spans="1:3">
      <c r="A805" s="8">
        <v>696236.55913978489</v>
      </c>
      <c r="B805" s="8">
        <v>0</v>
      </c>
      <c r="C805" s="9">
        <v>0.96078431372549022</v>
      </c>
    </row>
    <row r="806" spans="1:3">
      <c r="A806" s="8">
        <v>696935.48387096776</v>
      </c>
      <c r="B806" s="8">
        <v>0</v>
      </c>
      <c r="C806" s="9">
        <v>0.96078431372549022</v>
      </c>
    </row>
    <row r="807" spans="1:3">
      <c r="A807" s="8">
        <v>697634.40860215051</v>
      </c>
      <c r="B807" s="8">
        <v>0</v>
      </c>
      <c r="C807" s="9">
        <v>0.96078431372549022</v>
      </c>
    </row>
    <row r="808" spans="1:3">
      <c r="A808" s="8">
        <v>698333.33333333326</v>
      </c>
      <c r="B808" s="8">
        <v>0</v>
      </c>
      <c r="C808" s="9">
        <v>0.96078431372549022</v>
      </c>
    </row>
    <row r="809" spans="1:3">
      <c r="A809" s="8">
        <v>699032.25806451612</v>
      </c>
      <c r="B809" s="8">
        <v>0</v>
      </c>
      <c r="C809" s="9">
        <v>0.96078431372549022</v>
      </c>
    </row>
    <row r="810" spans="1:3">
      <c r="A810" s="8">
        <v>699731.18279569887</v>
      </c>
      <c r="B810" s="8">
        <v>0</v>
      </c>
      <c r="C810" s="9">
        <v>0.96078431372549022</v>
      </c>
    </row>
    <row r="811" spans="1:3">
      <c r="A811" s="8">
        <v>700430.10752688174</v>
      </c>
      <c r="B811" s="8">
        <v>0</v>
      </c>
      <c r="C811" s="9">
        <v>0.96078431372549022</v>
      </c>
    </row>
    <row r="812" spans="1:3">
      <c r="A812" s="8">
        <v>701129.03225806449</v>
      </c>
      <c r="B812" s="8">
        <v>0</v>
      </c>
      <c r="C812" s="9">
        <v>0.96078431372549022</v>
      </c>
    </row>
    <row r="813" spans="1:3">
      <c r="A813" s="8">
        <v>701827.95698924724</v>
      </c>
      <c r="B813" s="8">
        <v>0</v>
      </c>
      <c r="C813" s="9">
        <v>0.96078431372549022</v>
      </c>
    </row>
    <row r="814" spans="1:3">
      <c r="A814" s="8">
        <v>702526.8817204301</v>
      </c>
      <c r="B814" s="8">
        <v>0</v>
      </c>
      <c r="C814" s="9">
        <v>0.96078431372549022</v>
      </c>
    </row>
    <row r="815" spans="1:3">
      <c r="A815" s="8">
        <v>703225.80645161285</v>
      </c>
      <c r="B815" s="8">
        <v>0</v>
      </c>
      <c r="C815" s="9">
        <v>0.96078431372549022</v>
      </c>
    </row>
    <row r="816" spans="1:3">
      <c r="A816" s="8">
        <v>703924.73118279572</v>
      </c>
      <c r="B816" s="8">
        <v>0</v>
      </c>
      <c r="C816" s="9">
        <v>0.96078431372549022</v>
      </c>
    </row>
    <row r="817" spans="1:3">
      <c r="A817" s="8">
        <v>704623.65591397847</v>
      </c>
      <c r="B817" s="8">
        <v>0</v>
      </c>
      <c r="C817" s="9">
        <v>0.96078431372549022</v>
      </c>
    </row>
    <row r="818" spans="1:3">
      <c r="A818" s="8">
        <v>705322.58064516122</v>
      </c>
      <c r="B818" s="8">
        <v>0</v>
      </c>
      <c r="C818" s="9">
        <v>0.96078431372549022</v>
      </c>
    </row>
    <row r="819" spans="1:3">
      <c r="A819" s="8">
        <v>706021.50537634408</v>
      </c>
      <c r="B819" s="8">
        <v>0</v>
      </c>
      <c r="C819" s="9">
        <v>0.96078431372549022</v>
      </c>
    </row>
    <row r="820" spans="1:3">
      <c r="A820" s="8">
        <v>706720.43010752683</v>
      </c>
      <c r="B820" s="8">
        <v>0</v>
      </c>
      <c r="C820" s="9">
        <v>0.96078431372549022</v>
      </c>
    </row>
    <row r="821" spans="1:3">
      <c r="A821" s="8">
        <v>707419.3548387097</v>
      </c>
      <c r="B821" s="8">
        <v>0</v>
      </c>
      <c r="C821" s="9">
        <v>0.96078431372549022</v>
      </c>
    </row>
    <row r="822" spans="1:3">
      <c r="A822" s="8">
        <v>708118.27956989245</v>
      </c>
      <c r="B822" s="8">
        <v>0</v>
      </c>
      <c r="C822" s="9">
        <v>0.96078431372549022</v>
      </c>
    </row>
    <row r="823" spans="1:3">
      <c r="A823" s="8">
        <v>708817.20430107519</v>
      </c>
      <c r="B823" s="8">
        <v>0</v>
      </c>
      <c r="C823" s="9">
        <v>0.96078431372549022</v>
      </c>
    </row>
    <row r="824" spans="1:3">
      <c r="A824" s="8">
        <v>709516.12903225806</v>
      </c>
      <c r="B824" s="8">
        <v>0</v>
      </c>
      <c r="C824" s="9">
        <v>0.96078431372549022</v>
      </c>
    </row>
    <row r="825" spans="1:3">
      <c r="A825" s="8">
        <v>710215.05376344081</v>
      </c>
      <c r="B825" s="8">
        <v>0</v>
      </c>
      <c r="C825" s="9">
        <v>0.96078431372549022</v>
      </c>
    </row>
    <row r="826" spans="1:3">
      <c r="A826" s="8">
        <v>710913.97849462368</v>
      </c>
      <c r="B826" s="8">
        <v>0</v>
      </c>
      <c r="C826" s="9">
        <v>0.96078431372549022</v>
      </c>
    </row>
    <row r="827" spans="1:3">
      <c r="A827" s="8">
        <v>711612.90322580643</v>
      </c>
      <c r="B827" s="8">
        <v>0</v>
      </c>
      <c r="C827" s="9">
        <v>0.96078431372549022</v>
      </c>
    </row>
    <row r="828" spans="1:3">
      <c r="A828" s="8">
        <v>712311.82795698917</v>
      </c>
      <c r="B828" s="8">
        <v>0</v>
      </c>
      <c r="C828" s="9">
        <v>0.96078431372549022</v>
      </c>
    </row>
    <row r="829" spans="1:3">
      <c r="A829" s="8">
        <v>713010.75268817204</v>
      </c>
      <c r="B829" s="8">
        <v>0</v>
      </c>
      <c r="C829" s="9">
        <v>0.96078431372549022</v>
      </c>
    </row>
    <row r="830" spans="1:3">
      <c r="A830" s="8">
        <v>713709.67741935479</v>
      </c>
      <c r="B830" s="8">
        <v>0</v>
      </c>
      <c r="C830" s="9">
        <v>0.96078431372549022</v>
      </c>
    </row>
    <row r="831" spans="1:3">
      <c r="A831" s="8">
        <v>714408.60215053754</v>
      </c>
      <c r="B831" s="8">
        <v>0</v>
      </c>
      <c r="C831" s="9">
        <v>0.96078431372549022</v>
      </c>
    </row>
    <row r="832" spans="1:3">
      <c r="A832" s="8">
        <v>715107.52688172041</v>
      </c>
      <c r="B832" s="8">
        <v>0</v>
      </c>
      <c r="C832" s="9">
        <v>0.96078431372549022</v>
      </c>
    </row>
    <row r="833" spans="1:3">
      <c r="A833" s="8">
        <v>715806.45161290315</v>
      </c>
      <c r="B833" s="8">
        <v>0</v>
      </c>
      <c r="C833" s="9">
        <v>0.96078431372549022</v>
      </c>
    </row>
    <row r="834" spans="1:3">
      <c r="A834" s="8">
        <v>716505.37634408602</v>
      </c>
      <c r="B834" s="8">
        <v>0</v>
      </c>
      <c r="C834" s="9">
        <v>0.96078431372549022</v>
      </c>
    </row>
    <row r="835" spans="1:3">
      <c r="A835" s="8">
        <v>717204.30107526877</v>
      </c>
      <c r="B835" s="8">
        <v>0</v>
      </c>
      <c r="C835" s="9">
        <v>0.96078431372549022</v>
      </c>
    </row>
    <row r="836" spans="1:3">
      <c r="A836" s="8">
        <v>717903.22580645152</v>
      </c>
      <c r="B836" s="8">
        <v>0</v>
      </c>
      <c r="C836" s="9">
        <v>0.96078431372549022</v>
      </c>
    </row>
    <row r="837" spans="1:3">
      <c r="A837" s="8">
        <v>718602.15053763438</v>
      </c>
      <c r="B837" s="8">
        <v>0</v>
      </c>
      <c r="C837" s="9">
        <v>0.96078431372549022</v>
      </c>
    </row>
    <row r="838" spans="1:3">
      <c r="A838" s="8">
        <v>719301.07526881713</v>
      </c>
      <c r="B838" s="8">
        <v>0</v>
      </c>
      <c r="C838" s="9">
        <v>0.96078431372549022</v>
      </c>
    </row>
    <row r="839" spans="1:3">
      <c r="A839" s="8">
        <v>720000</v>
      </c>
      <c r="B839" s="8">
        <v>0</v>
      </c>
      <c r="C839" s="9">
        <v>0.96078431372549022</v>
      </c>
    </row>
    <row r="840" spans="1:3">
      <c r="A840" s="8">
        <v>720698.92473118275</v>
      </c>
      <c r="B840" s="8">
        <v>0</v>
      </c>
      <c r="C840" s="9">
        <v>0.96078431372549022</v>
      </c>
    </row>
    <row r="841" spans="1:3">
      <c r="A841" s="8">
        <v>721397.8494623655</v>
      </c>
      <c r="B841" s="8">
        <v>0</v>
      </c>
      <c r="C841" s="9">
        <v>0.96078431372549022</v>
      </c>
    </row>
    <row r="842" spans="1:3">
      <c r="A842" s="8">
        <v>722096.77419354836</v>
      </c>
      <c r="B842" s="8">
        <v>0</v>
      </c>
      <c r="C842" s="9">
        <v>0.96078431372549022</v>
      </c>
    </row>
    <row r="843" spans="1:3">
      <c r="A843" s="8">
        <v>722795.69892473111</v>
      </c>
      <c r="B843" s="8">
        <v>0</v>
      </c>
      <c r="C843" s="9">
        <v>0.96078431372549022</v>
      </c>
    </row>
    <row r="844" spans="1:3">
      <c r="A844" s="8">
        <v>723494.62365591398</v>
      </c>
      <c r="B844" s="8">
        <v>0</v>
      </c>
      <c r="C844" s="9">
        <v>0.96078431372549022</v>
      </c>
    </row>
    <row r="845" spans="1:3">
      <c r="A845" s="8">
        <v>724193.54838709673</v>
      </c>
      <c r="B845" s="8">
        <v>0</v>
      </c>
      <c r="C845" s="9">
        <v>0.96078431372549022</v>
      </c>
    </row>
    <row r="846" spans="1:3">
      <c r="A846" s="8">
        <v>724892.47311827948</v>
      </c>
      <c r="B846" s="8">
        <v>0</v>
      </c>
      <c r="C846" s="9">
        <v>0.96078431372549022</v>
      </c>
    </row>
    <row r="847" spans="1:3">
      <c r="A847" s="8">
        <v>725591.39784946234</v>
      </c>
      <c r="B847" s="8">
        <v>0</v>
      </c>
      <c r="C847" s="9">
        <v>0.96078431372549022</v>
      </c>
    </row>
    <row r="848" spans="1:3">
      <c r="A848" s="8">
        <v>726290.32258064509</v>
      </c>
      <c r="B848" s="8">
        <v>0</v>
      </c>
      <c r="C848" s="9">
        <v>0.96078431372549022</v>
      </c>
    </row>
    <row r="849" spans="1:3">
      <c r="A849" s="8">
        <v>726989.24731182796</v>
      </c>
      <c r="B849" s="8">
        <v>0</v>
      </c>
      <c r="C849" s="9">
        <v>0.96078431372549022</v>
      </c>
    </row>
    <row r="850" spans="1:3">
      <c r="A850" s="8">
        <v>727688.17204301071</v>
      </c>
      <c r="B850" s="8">
        <v>0</v>
      </c>
      <c r="C850" s="9">
        <v>0.96078431372549022</v>
      </c>
    </row>
    <row r="851" spans="1:3">
      <c r="A851" s="8">
        <v>728387.09677419346</v>
      </c>
      <c r="B851" s="8">
        <v>0</v>
      </c>
      <c r="C851" s="9">
        <v>0.96078431372549022</v>
      </c>
    </row>
    <row r="852" spans="1:3">
      <c r="A852" s="8">
        <v>729086.02150537632</v>
      </c>
      <c r="B852" s="8">
        <v>0</v>
      </c>
      <c r="C852" s="9">
        <v>0.96078431372549022</v>
      </c>
    </row>
    <row r="853" spans="1:3">
      <c r="A853" s="8">
        <v>729784.94623655907</v>
      </c>
      <c r="B853" s="8">
        <v>0</v>
      </c>
      <c r="C853" s="9">
        <v>0.96078431372549022</v>
      </c>
    </row>
    <row r="854" spans="1:3">
      <c r="A854" s="8">
        <v>730483.87096774194</v>
      </c>
      <c r="B854" s="8">
        <v>0</v>
      </c>
      <c r="C854" s="9">
        <v>0.96078431372549022</v>
      </c>
    </row>
    <row r="855" spans="1:3">
      <c r="A855" s="8">
        <v>731182.79569892469</v>
      </c>
      <c r="B855" s="8">
        <v>0</v>
      </c>
      <c r="C855" s="9">
        <v>0.96078431372549022</v>
      </c>
    </row>
    <row r="856" spans="1:3">
      <c r="A856" s="8">
        <v>731881.72043010744</v>
      </c>
      <c r="B856" s="8">
        <v>0</v>
      </c>
      <c r="C856" s="9">
        <v>0.96078431372549022</v>
      </c>
    </row>
    <row r="857" spans="1:3">
      <c r="A857" s="8">
        <v>732580.6451612903</v>
      </c>
      <c r="B857" s="8">
        <v>0</v>
      </c>
      <c r="C857" s="9">
        <v>0.96078431372549022</v>
      </c>
    </row>
    <row r="858" spans="1:3">
      <c r="A858" s="8">
        <v>733279.56989247305</v>
      </c>
      <c r="B858" s="8">
        <v>0</v>
      </c>
      <c r="C858" s="9">
        <v>0.96078431372549022</v>
      </c>
    </row>
    <row r="859" spans="1:3">
      <c r="A859" s="8">
        <v>733978.49462365592</v>
      </c>
      <c r="B859" s="8">
        <v>0</v>
      </c>
      <c r="C859" s="9">
        <v>0.96078431372549022</v>
      </c>
    </row>
    <row r="860" spans="1:3">
      <c r="A860" s="8">
        <v>734677.41935483867</v>
      </c>
      <c r="B860" s="8">
        <v>0</v>
      </c>
      <c r="C860" s="9">
        <v>0.96078431372549022</v>
      </c>
    </row>
    <row r="861" spans="1:3">
      <c r="A861" s="8">
        <v>735376.34408602142</v>
      </c>
      <c r="B861" s="8">
        <v>0</v>
      </c>
      <c r="C861" s="9">
        <v>0.96078431372549022</v>
      </c>
    </row>
    <row r="862" spans="1:3">
      <c r="A862" s="8">
        <v>736075.26881720428</v>
      </c>
      <c r="B862" s="8">
        <v>0</v>
      </c>
      <c r="C862" s="9">
        <v>0.96078431372549022</v>
      </c>
    </row>
    <row r="863" spans="1:3">
      <c r="A863" s="8">
        <v>736774.19354838703</v>
      </c>
      <c r="B863" s="8">
        <v>0</v>
      </c>
      <c r="C863" s="9">
        <v>0.96078431372549022</v>
      </c>
    </row>
    <row r="864" spans="1:3">
      <c r="A864" s="8">
        <v>737473.1182795699</v>
      </c>
      <c r="B864" s="8">
        <v>0</v>
      </c>
      <c r="C864" s="9">
        <v>0.96078431372549022</v>
      </c>
    </row>
    <row r="865" spans="1:3">
      <c r="A865" s="8">
        <v>738172.04301075265</v>
      </c>
      <c r="B865" s="8">
        <v>0</v>
      </c>
      <c r="C865" s="9">
        <v>0.96078431372549022</v>
      </c>
    </row>
    <row r="866" spans="1:3">
      <c r="A866" s="8">
        <v>738870.9677419354</v>
      </c>
      <c r="B866" s="8">
        <v>0</v>
      </c>
      <c r="C866" s="9">
        <v>0.96078431372549022</v>
      </c>
    </row>
    <row r="867" spans="1:3">
      <c r="A867" s="8">
        <v>739569.89247311826</v>
      </c>
      <c r="B867" s="8">
        <v>0</v>
      </c>
      <c r="C867" s="9">
        <v>0.96078431372549022</v>
      </c>
    </row>
    <row r="868" spans="1:3">
      <c r="A868" s="8">
        <v>740268.81720430101</v>
      </c>
      <c r="B868" s="8">
        <v>0</v>
      </c>
      <c r="C868" s="9">
        <v>0.96078431372549022</v>
      </c>
    </row>
    <row r="869" spans="1:3">
      <c r="A869" s="8">
        <v>740967.74193548388</v>
      </c>
      <c r="B869" s="8">
        <v>0</v>
      </c>
      <c r="C869" s="9">
        <v>0.96078431372549022</v>
      </c>
    </row>
    <row r="870" spans="1:3">
      <c r="A870" s="8">
        <v>741666.66666666663</v>
      </c>
      <c r="B870" s="8">
        <v>0</v>
      </c>
      <c r="C870" s="9">
        <v>0.96078431372549022</v>
      </c>
    </row>
    <row r="871" spans="1:3">
      <c r="A871" s="8">
        <v>742365.59139784938</v>
      </c>
      <c r="B871" s="8">
        <v>0</v>
      </c>
      <c r="C871" s="9">
        <v>0.96078431372549022</v>
      </c>
    </row>
    <row r="872" spans="1:3">
      <c r="A872" s="8">
        <v>743064.51612903224</v>
      </c>
      <c r="B872" s="8">
        <v>0</v>
      </c>
      <c r="C872" s="9">
        <v>0.96078431372549022</v>
      </c>
    </row>
    <row r="873" spans="1:3">
      <c r="A873" s="8">
        <v>743763.44086021499</v>
      </c>
      <c r="B873" s="8">
        <v>0</v>
      </c>
      <c r="C873" s="9">
        <v>0.96078431372549022</v>
      </c>
    </row>
    <row r="874" spans="1:3">
      <c r="A874" s="8">
        <v>744462.36559139786</v>
      </c>
      <c r="B874" s="8">
        <v>0</v>
      </c>
      <c r="C874" s="9">
        <v>0.96078431372549022</v>
      </c>
    </row>
    <row r="875" spans="1:3">
      <c r="A875" s="8">
        <v>745161.29032258061</v>
      </c>
      <c r="B875" s="8">
        <v>0</v>
      </c>
      <c r="C875" s="9">
        <v>0.96078431372549022</v>
      </c>
    </row>
    <row r="876" spans="1:3">
      <c r="A876" s="8">
        <v>745860.21505376336</v>
      </c>
      <c r="B876" s="8">
        <v>0</v>
      </c>
      <c r="C876" s="9">
        <v>0.96078431372549022</v>
      </c>
    </row>
    <row r="877" spans="1:3">
      <c r="A877" s="8">
        <v>746559.13978494622</v>
      </c>
      <c r="B877" s="8">
        <v>0</v>
      </c>
      <c r="C877" s="9">
        <v>0.96078431372549022</v>
      </c>
    </row>
    <row r="878" spans="1:3">
      <c r="A878" s="8">
        <v>747258.06451612897</v>
      </c>
      <c r="B878" s="8">
        <v>0</v>
      </c>
      <c r="C878" s="9">
        <v>0.96078431372549022</v>
      </c>
    </row>
    <row r="879" spans="1:3">
      <c r="A879" s="8">
        <v>747956.98924731184</v>
      </c>
      <c r="B879" s="8">
        <v>0</v>
      </c>
      <c r="C879" s="9">
        <v>0.96078431372549022</v>
      </c>
    </row>
    <row r="880" spans="1:3">
      <c r="A880" s="8">
        <v>748655.91397849459</v>
      </c>
      <c r="B880" s="8">
        <v>0</v>
      </c>
      <c r="C880" s="9">
        <v>0.96078431372549022</v>
      </c>
    </row>
    <row r="881" spans="1:3">
      <c r="A881" s="8">
        <v>749354.83870967734</v>
      </c>
      <c r="B881" s="8">
        <v>0</v>
      </c>
      <c r="C881" s="9">
        <v>0.96078431372549022</v>
      </c>
    </row>
    <row r="882" spans="1:3">
      <c r="A882" s="8">
        <v>750053.7634408602</v>
      </c>
      <c r="B882" s="8">
        <v>1</v>
      </c>
      <c r="C882" s="9">
        <v>0.98039215686274506</v>
      </c>
    </row>
    <row r="883" spans="1:3">
      <c r="A883" s="8">
        <v>750752.68817204295</v>
      </c>
      <c r="B883" s="8">
        <v>0</v>
      </c>
      <c r="C883" s="9">
        <v>0.98039215686274506</v>
      </c>
    </row>
    <row r="884" spans="1:3">
      <c r="A884" s="8">
        <v>751451.61290322582</v>
      </c>
      <c r="B884" s="8">
        <v>0</v>
      </c>
      <c r="C884" s="9">
        <v>0.98039215686274506</v>
      </c>
    </row>
    <row r="885" spans="1:3">
      <c r="A885" s="8">
        <v>752150.53763440857</v>
      </c>
      <c r="B885" s="8">
        <v>0</v>
      </c>
      <c r="C885" s="9">
        <v>0.98039215686274506</v>
      </c>
    </row>
    <row r="886" spans="1:3">
      <c r="A886" s="8">
        <v>752849.46236559132</v>
      </c>
      <c r="B886" s="8">
        <v>0</v>
      </c>
      <c r="C886" s="9">
        <v>0.98039215686274506</v>
      </c>
    </row>
    <row r="887" spans="1:3">
      <c r="A887" s="8">
        <v>753548.38709677418</v>
      </c>
      <c r="B887" s="8">
        <v>0</v>
      </c>
      <c r="C887" s="9">
        <v>0.98039215686274506</v>
      </c>
    </row>
    <row r="888" spans="1:3">
      <c r="A888" s="8">
        <v>754247.31182795693</v>
      </c>
      <c r="B888" s="8">
        <v>0</v>
      </c>
      <c r="C888" s="9">
        <v>0.98039215686274506</v>
      </c>
    </row>
    <row r="889" spans="1:3">
      <c r="A889" s="8">
        <v>754946.2365591398</v>
      </c>
      <c r="B889" s="8">
        <v>0</v>
      </c>
      <c r="C889" s="9">
        <v>0.98039215686274506</v>
      </c>
    </row>
    <row r="890" spans="1:3">
      <c r="A890" s="8">
        <v>755645.16129032255</v>
      </c>
      <c r="B890" s="8">
        <v>0</v>
      </c>
      <c r="C890" s="9">
        <v>0.98039215686274506</v>
      </c>
    </row>
    <row r="891" spans="1:3">
      <c r="A891" s="8">
        <v>756344.0860215053</v>
      </c>
      <c r="B891" s="8">
        <v>0</v>
      </c>
      <c r="C891" s="9">
        <v>0.98039215686274506</v>
      </c>
    </row>
    <row r="892" spans="1:3">
      <c r="A892" s="8">
        <v>757043.01075268816</v>
      </c>
      <c r="B892" s="8">
        <v>0</v>
      </c>
      <c r="C892" s="9">
        <v>0.98039215686274506</v>
      </c>
    </row>
    <row r="893" spans="1:3">
      <c r="A893" s="8">
        <v>757741.93548387091</v>
      </c>
      <c r="B893" s="8">
        <v>0</v>
      </c>
      <c r="C893" s="9">
        <v>0.98039215686274506</v>
      </c>
    </row>
    <row r="894" spans="1:3">
      <c r="A894" s="8">
        <v>758440.86021505378</v>
      </c>
      <c r="B894" s="8">
        <v>0</v>
      </c>
      <c r="C894" s="9">
        <v>0.98039215686274506</v>
      </c>
    </row>
    <row r="895" spans="1:3">
      <c r="A895" s="8">
        <v>759139.78494623653</v>
      </c>
      <c r="B895" s="8">
        <v>0</v>
      </c>
      <c r="C895" s="9">
        <v>0.98039215686274506</v>
      </c>
    </row>
    <row r="896" spans="1:3">
      <c r="A896" s="8">
        <v>759838.70967741928</v>
      </c>
      <c r="B896" s="8">
        <v>0</v>
      </c>
      <c r="C896" s="9">
        <v>0.98039215686274506</v>
      </c>
    </row>
    <row r="897" spans="1:3">
      <c r="A897" s="8">
        <v>760537.63440860214</v>
      </c>
      <c r="B897" s="8">
        <v>0</v>
      </c>
      <c r="C897" s="9">
        <v>0.98039215686274506</v>
      </c>
    </row>
    <row r="898" spans="1:3">
      <c r="A898" s="8">
        <v>761236.55913978489</v>
      </c>
      <c r="B898" s="8">
        <v>0</v>
      </c>
      <c r="C898" s="9">
        <v>0.98039215686274506</v>
      </c>
    </row>
    <row r="899" spans="1:3">
      <c r="A899" s="8">
        <v>761935.48387096776</v>
      </c>
      <c r="B899" s="8">
        <v>0</v>
      </c>
      <c r="C899" s="9">
        <v>0.98039215686274506</v>
      </c>
    </row>
    <row r="900" spans="1:3">
      <c r="A900" s="8">
        <v>762634.40860215051</v>
      </c>
      <c r="B900" s="8">
        <v>0</v>
      </c>
      <c r="C900" s="9">
        <v>0.98039215686274506</v>
      </c>
    </row>
    <row r="901" spans="1:3">
      <c r="A901" s="8">
        <v>763333.33333333326</v>
      </c>
      <c r="B901" s="8">
        <v>0</v>
      </c>
      <c r="C901" s="9">
        <v>0.98039215686274506</v>
      </c>
    </row>
    <row r="902" spans="1:3">
      <c r="A902" s="8">
        <v>764032.25806451612</v>
      </c>
      <c r="B902" s="8">
        <v>0</v>
      </c>
      <c r="C902" s="9">
        <v>0.98039215686274506</v>
      </c>
    </row>
    <row r="903" spans="1:3">
      <c r="A903" s="8">
        <v>764731.18279569887</v>
      </c>
      <c r="B903" s="8">
        <v>0</v>
      </c>
      <c r="C903" s="9">
        <v>0.98039215686274506</v>
      </c>
    </row>
    <row r="904" spans="1:3">
      <c r="A904" s="8">
        <v>765430.10752688174</v>
      </c>
      <c r="B904" s="8">
        <v>0</v>
      </c>
      <c r="C904" s="9">
        <v>0.98039215686274506</v>
      </c>
    </row>
    <row r="905" spans="1:3">
      <c r="A905" s="8">
        <v>766129.03225806449</v>
      </c>
      <c r="B905" s="8">
        <v>0</v>
      </c>
      <c r="C905" s="9">
        <v>0.98039215686274506</v>
      </c>
    </row>
    <row r="906" spans="1:3">
      <c r="A906" s="8">
        <v>766827.95698924724</v>
      </c>
      <c r="B906" s="8">
        <v>0</v>
      </c>
      <c r="C906" s="9">
        <v>0.98039215686274506</v>
      </c>
    </row>
    <row r="907" spans="1:3">
      <c r="A907" s="8">
        <v>767526.8817204301</v>
      </c>
      <c r="B907" s="8">
        <v>0</v>
      </c>
      <c r="C907" s="9">
        <v>0.98039215686274506</v>
      </c>
    </row>
    <row r="908" spans="1:3">
      <c r="A908" s="8">
        <v>768225.80645161285</v>
      </c>
      <c r="B908" s="8">
        <v>0</v>
      </c>
      <c r="C908" s="9">
        <v>0.98039215686274506</v>
      </c>
    </row>
    <row r="909" spans="1:3">
      <c r="A909" s="8">
        <v>768924.7311827956</v>
      </c>
      <c r="B909" s="8">
        <v>0</v>
      </c>
      <c r="C909" s="9">
        <v>0.98039215686274506</v>
      </c>
    </row>
    <row r="910" spans="1:3">
      <c r="A910" s="8">
        <v>769623.65591397847</v>
      </c>
      <c r="B910" s="8">
        <v>0</v>
      </c>
      <c r="C910" s="9">
        <v>0.98039215686274506</v>
      </c>
    </row>
    <row r="911" spans="1:3">
      <c r="A911" s="8">
        <v>770322.58064516122</v>
      </c>
      <c r="B911" s="8">
        <v>0</v>
      </c>
      <c r="C911" s="9">
        <v>0.98039215686274506</v>
      </c>
    </row>
    <row r="912" spans="1:3">
      <c r="A912" s="8">
        <v>771021.50537634408</v>
      </c>
      <c r="B912" s="8">
        <v>0</v>
      </c>
      <c r="C912" s="9">
        <v>0.98039215686274506</v>
      </c>
    </row>
    <row r="913" spans="1:3">
      <c r="A913" s="8">
        <v>771720.43010752683</v>
      </c>
      <c r="B913" s="8">
        <v>0</v>
      </c>
      <c r="C913" s="9">
        <v>0.98039215686274506</v>
      </c>
    </row>
    <row r="914" spans="1:3">
      <c r="A914" s="8">
        <v>772419.35483870958</v>
      </c>
      <c r="B914" s="8">
        <v>0</v>
      </c>
      <c r="C914" s="9">
        <v>0.98039215686274506</v>
      </c>
    </row>
    <row r="915" spans="1:3">
      <c r="A915" s="8">
        <v>773118.27956989245</v>
      </c>
      <c r="B915" s="8">
        <v>0</v>
      </c>
      <c r="C915" s="9">
        <v>0.98039215686274506</v>
      </c>
    </row>
    <row r="916" spans="1:3">
      <c r="A916" s="8">
        <v>773817.20430107519</v>
      </c>
      <c r="B916" s="8">
        <v>0</v>
      </c>
      <c r="C916" s="9">
        <v>0.98039215686274506</v>
      </c>
    </row>
    <row r="917" spans="1:3">
      <c r="A917" s="8">
        <v>774516.12903225806</v>
      </c>
      <c r="B917" s="8">
        <v>0</v>
      </c>
      <c r="C917" s="9">
        <v>0.98039215686274506</v>
      </c>
    </row>
    <row r="918" spans="1:3">
      <c r="A918" s="8">
        <v>775215.05376344081</v>
      </c>
      <c r="B918" s="8">
        <v>0</v>
      </c>
      <c r="C918" s="9">
        <v>0.98039215686274506</v>
      </c>
    </row>
    <row r="919" spans="1:3">
      <c r="A919" s="8">
        <v>775913.97849462356</v>
      </c>
      <c r="B919" s="8">
        <v>0</v>
      </c>
      <c r="C919" s="9">
        <v>0.98039215686274506</v>
      </c>
    </row>
    <row r="920" spans="1:3">
      <c r="A920" s="8">
        <v>776612.90322580643</v>
      </c>
      <c r="B920" s="8">
        <v>0</v>
      </c>
      <c r="C920" s="9">
        <v>0.98039215686274506</v>
      </c>
    </row>
    <row r="921" spans="1:3">
      <c r="A921" s="8">
        <v>777311.82795698917</v>
      </c>
      <c r="B921" s="8">
        <v>0</v>
      </c>
      <c r="C921" s="9">
        <v>0.98039215686274506</v>
      </c>
    </row>
    <row r="922" spans="1:3">
      <c r="A922" s="8">
        <v>778010.75268817204</v>
      </c>
      <c r="B922" s="8">
        <v>0</v>
      </c>
      <c r="C922" s="9">
        <v>0.98039215686274506</v>
      </c>
    </row>
    <row r="923" spans="1:3">
      <c r="A923" s="8">
        <v>778709.67741935479</v>
      </c>
      <c r="B923" s="8">
        <v>0</v>
      </c>
      <c r="C923" s="9">
        <v>0.98039215686274506</v>
      </c>
    </row>
    <row r="924" spans="1:3">
      <c r="A924" s="8">
        <v>779408.60215053754</v>
      </c>
      <c r="B924" s="8">
        <v>0</v>
      </c>
      <c r="C924" s="9">
        <v>0.98039215686274506</v>
      </c>
    </row>
    <row r="925" spans="1:3">
      <c r="A925" s="8">
        <v>780107.52688172041</v>
      </c>
      <c r="B925" s="8">
        <v>0</v>
      </c>
      <c r="C925" s="9">
        <v>0.98039215686274506</v>
      </c>
    </row>
    <row r="926" spans="1:3">
      <c r="A926" s="8">
        <v>780806.45161290315</v>
      </c>
      <c r="B926" s="8">
        <v>0</v>
      </c>
      <c r="C926" s="9">
        <v>0.98039215686274506</v>
      </c>
    </row>
    <row r="927" spans="1:3">
      <c r="A927" s="8">
        <v>781505.37634408602</v>
      </c>
      <c r="B927" s="8">
        <v>0</v>
      </c>
      <c r="C927" s="9">
        <v>0.98039215686274506</v>
      </c>
    </row>
    <row r="928" spans="1:3">
      <c r="A928" s="8">
        <v>782204.30107526877</v>
      </c>
      <c r="B928" s="8">
        <v>0</v>
      </c>
      <c r="C928" s="9">
        <v>0.98039215686274506</v>
      </c>
    </row>
    <row r="929" spans="1:3">
      <c r="A929" s="8">
        <v>782903.22580645152</v>
      </c>
      <c r="B929" s="8">
        <v>0</v>
      </c>
      <c r="C929" s="9">
        <v>0.98039215686274506</v>
      </c>
    </row>
    <row r="930" spans="1:3">
      <c r="A930" s="8">
        <v>783602.15053763438</v>
      </c>
      <c r="B930" s="8">
        <v>0</v>
      </c>
      <c r="C930" s="9">
        <v>0.98039215686274506</v>
      </c>
    </row>
    <row r="931" spans="1:3">
      <c r="A931" s="8">
        <v>784301.07526881713</v>
      </c>
      <c r="B931" s="8">
        <v>0</v>
      </c>
      <c r="C931" s="9">
        <v>0.98039215686274506</v>
      </c>
    </row>
    <row r="932" spans="1:3">
      <c r="A932" s="8">
        <v>785000</v>
      </c>
      <c r="B932" s="8">
        <v>0</v>
      </c>
      <c r="C932" s="9">
        <v>0.98039215686274506</v>
      </c>
    </row>
    <row r="933" spans="1:3">
      <c r="A933" s="8">
        <v>785698.92473118275</v>
      </c>
      <c r="B933" s="8">
        <v>0</v>
      </c>
      <c r="C933" s="9">
        <v>0.98039215686274506</v>
      </c>
    </row>
    <row r="934" spans="1:3">
      <c r="A934" s="8">
        <v>786397.8494623655</v>
      </c>
      <c r="B934" s="8">
        <v>0</v>
      </c>
      <c r="C934" s="9">
        <v>0.98039215686274506</v>
      </c>
    </row>
    <row r="935" spans="1:3">
      <c r="A935" s="8">
        <v>787096.77419354836</v>
      </c>
      <c r="B935" s="8">
        <v>0</v>
      </c>
      <c r="C935" s="9">
        <v>0.98039215686274506</v>
      </c>
    </row>
    <row r="936" spans="1:3">
      <c r="A936" s="8">
        <v>787795.69892473111</v>
      </c>
      <c r="B936" s="8">
        <v>0</v>
      </c>
      <c r="C936" s="9">
        <v>0.98039215686274506</v>
      </c>
    </row>
    <row r="937" spans="1:3">
      <c r="A937" s="8">
        <v>788494.62365591398</v>
      </c>
      <c r="B937" s="8">
        <v>0</v>
      </c>
      <c r="C937" s="9">
        <v>0.98039215686274506</v>
      </c>
    </row>
    <row r="938" spans="1:3">
      <c r="A938" s="8">
        <v>789193.54838709673</v>
      </c>
      <c r="B938" s="8">
        <v>0</v>
      </c>
      <c r="C938" s="9">
        <v>0.98039215686274506</v>
      </c>
    </row>
    <row r="939" spans="1:3">
      <c r="A939" s="8">
        <v>789892.47311827948</v>
      </c>
      <c r="B939" s="8">
        <v>0</v>
      </c>
      <c r="C939" s="9">
        <v>0.98039215686274506</v>
      </c>
    </row>
    <row r="940" spans="1:3">
      <c r="A940" s="8">
        <v>790591.39784946234</v>
      </c>
      <c r="B940" s="8">
        <v>0</v>
      </c>
      <c r="C940" s="9">
        <v>0.98039215686274506</v>
      </c>
    </row>
    <row r="941" spans="1:3">
      <c r="A941" s="8">
        <v>791290.32258064509</v>
      </c>
      <c r="B941" s="8">
        <v>0</v>
      </c>
      <c r="C941" s="9">
        <v>0.98039215686274506</v>
      </c>
    </row>
    <row r="942" spans="1:3">
      <c r="A942" s="8">
        <v>791989.24731182796</v>
      </c>
      <c r="B942" s="8">
        <v>0</v>
      </c>
      <c r="C942" s="9">
        <v>0.98039215686274506</v>
      </c>
    </row>
    <row r="943" spans="1:3">
      <c r="A943" s="8">
        <v>792688.17204301071</v>
      </c>
      <c r="B943" s="8">
        <v>0</v>
      </c>
      <c r="C943" s="9">
        <v>0.98039215686274506</v>
      </c>
    </row>
    <row r="944" spans="1:3">
      <c r="A944" s="8">
        <v>793387.09677419346</v>
      </c>
      <c r="B944" s="8">
        <v>0</v>
      </c>
      <c r="C944" s="9">
        <v>0.98039215686274506</v>
      </c>
    </row>
    <row r="945" spans="1:3">
      <c r="A945" s="8">
        <v>794086.02150537632</v>
      </c>
      <c r="B945" s="8">
        <v>0</v>
      </c>
      <c r="C945" s="9">
        <v>0.98039215686274506</v>
      </c>
    </row>
    <row r="946" spans="1:3">
      <c r="A946" s="8">
        <v>794784.94623655907</v>
      </c>
      <c r="B946" s="8">
        <v>0</v>
      </c>
      <c r="C946" s="9">
        <v>0.98039215686274506</v>
      </c>
    </row>
    <row r="947" spans="1:3">
      <c r="A947" s="8">
        <v>795483.87096774194</v>
      </c>
      <c r="B947" s="8">
        <v>0</v>
      </c>
      <c r="C947" s="9">
        <v>0.98039215686274506</v>
      </c>
    </row>
    <row r="948" spans="1:3">
      <c r="A948" s="8">
        <v>796182.79569892469</v>
      </c>
      <c r="B948" s="8">
        <v>0</v>
      </c>
      <c r="C948" s="9">
        <v>0.98039215686274506</v>
      </c>
    </row>
    <row r="949" spans="1:3">
      <c r="A949" s="8">
        <v>796881.72043010744</v>
      </c>
      <c r="B949" s="8">
        <v>0</v>
      </c>
      <c r="C949" s="9">
        <v>0.98039215686274506</v>
      </c>
    </row>
    <row r="950" spans="1:3">
      <c r="A950" s="8">
        <v>797580.6451612903</v>
      </c>
      <c r="B950" s="8">
        <v>0</v>
      </c>
      <c r="C950" s="9">
        <v>0.98039215686274506</v>
      </c>
    </row>
    <row r="951" spans="1:3">
      <c r="A951" s="8">
        <v>798279.56989247305</v>
      </c>
      <c r="B951" s="8">
        <v>0</v>
      </c>
      <c r="C951" s="9">
        <v>0.98039215686274506</v>
      </c>
    </row>
    <row r="952" spans="1:3">
      <c r="A952" s="8">
        <v>798978.49462365592</v>
      </c>
      <c r="B952" s="8">
        <v>0</v>
      </c>
      <c r="C952" s="9">
        <v>0.98039215686274506</v>
      </c>
    </row>
    <row r="953" spans="1:3">
      <c r="A953" s="8">
        <v>799677.41935483867</v>
      </c>
      <c r="B953" s="8">
        <v>0</v>
      </c>
      <c r="C953" s="9">
        <v>0.98039215686274506</v>
      </c>
    </row>
    <row r="954" spans="1:3">
      <c r="A954" s="8">
        <v>800376.34408602142</v>
      </c>
      <c r="B954" s="8">
        <v>0</v>
      </c>
      <c r="C954" s="9">
        <v>0.98039215686274506</v>
      </c>
    </row>
    <row r="955" spans="1:3">
      <c r="A955" s="8">
        <v>801075.26881720428</v>
      </c>
      <c r="B955" s="8">
        <v>0</v>
      </c>
      <c r="C955" s="9">
        <v>0.98039215686274506</v>
      </c>
    </row>
    <row r="956" spans="1:3">
      <c r="A956" s="8">
        <v>801774.19354838703</v>
      </c>
      <c r="B956" s="8">
        <v>0</v>
      </c>
      <c r="C956" s="9">
        <v>0.98039215686274506</v>
      </c>
    </row>
    <row r="957" spans="1:3">
      <c r="A957" s="8">
        <v>802473.1182795699</v>
      </c>
      <c r="B957" s="8">
        <v>0</v>
      </c>
      <c r="C957" s="9">
        <v>0.98039215686274506</v>
      </c>
    </row>
    <row r="958" spans="1:3">
      <c r="A958" s="8">
        <v>803172.04301075265</v>
      </c>
      <c r="B958" s="8">
        <v>0</v>
      </c>
      <c r="C958" s="9">
        <v>0.98039215686274506</v>
      </c>
    </row>
    <row r="959" spans="1:3">
      <c r="A959" s="8">
        <v>803870.9677419354</v>
      </c>
      <c r="B959" s="8">
        <v>0</v>
      </c>
      <c r="C959" s="9">
        <v>0.98039215686274506</v>
      </c>
    </row>
    <row r="960" spans="1:3">
      <c r="A960" s="8">
        <v>804569.89247311826</v>
      </c>
      <c r="B960" s="8">
        <v>0</v>
      </c>
      <c r="C960" s="9">
        <v>0.98039215686274506</v>
      </c>
    </row>
    <row r="961" spans="1:3">
      <c r="A961" s="8">
        <v>805268.81720430101</v>
      </c>
      <c r="B961" s="8">
        <v>0</v>
      </c>
      <c r="C961" s="9">
        <v>0.98039215686274506</v>
      </c>
    </row>
    <row r="962" spans="1:3">
      <c r="A962" s="8">
        <v>805967.74193548388</v>
      </c>
      <c r="B962" s="8">
        <v>0</v>
      </c>
      <c r="C962" s="9">
        <v>0.98039215686274506</v>
      </c>
    </row>
    <row r="963" spans="1:3">
      <c r="A963" s="8">
        <v>806666.66666666663</v>
      </c>
      <c r="B963" s="8">
        <v>0</v>
      </c>
      <c r="C963" s="9">
        <v>0.98039215686274506</v>
      </c>
    </row>
    <row r="964" spans="1:3">
      <c r="A964" s="8">
        <v>807365.59139784938</v>
      </c>
      <c r="B964" s="8">
        <v>0</v>
      </c>
      <c r="C964" s="9">
        <v>0.98039215686274506</v>
      </c>
    </row>
    <row r="965" spans="1:3">
      <c r="A965" s="8">
        <v>808064.51612903224</v>
      </c>
      <c r="B965" s="8">
        <v>0</v>
      </c>
      <c r="C965" s="9">
        <v>0.98039215686274506</v>
      </c>
    </row>
    <row r="966" spans="1:3">
      <c r="A966" s="8">
        <v>808763.44086021499</v>
      </c>
      <c r="B966" s="8">
        <v>0</v>
      </c>
      <c r="C966" s="9">
        <v>0.98039215686274506</v>
      </c>
    </row>
    <row r="967" spans="1:3">
      <c r="A967" s="8">
        <v>809462.36559139786</v>
      </c>
      <c r="B967" s="8">
        <v>0</v>
      </c>
      <c r="C967" s="9">
        <v>0.98039215686274506</v>
      </c>
    </row>
    <row r="968" spans="1:3">
      <c r="A968" s="8">
        <v>810161.29032258061</v>
      </c>
      <c r="B968" s="8">
        <v>0</v>
      </c>
      <c r="C968" s="9">
        <v>0.98039215686274506</v>
      </c>
    </row>
    <row r="969" spans="1:3">
      <c r="A969" s="8">
        <v>810860.21505376336</v>
      </c>
      <c r="B969" s="8">
        <v>0</v>
      </c>
      <c r="C969" s="9">
        <v>0.98039215686274506</v>
      </c>
    </row>
    <row r="970" spans="1:3">
      <c r="A970" s="8">
        <v>811559.13978494622</v>
      </c>
      <c r="B970" s="8">
        <v>0</v>
      </c>
      <c r="C970" s="9">
        <v>0.98039215686274506</v>
      </c>
    </row>
    <row r="971" spans="1:3">
      <c r="A971" s="8">
        <v>812258.06451612897</v>
      </c>
      <c r="B971" s="8">
        <v>0</v>
      </c>
      <c r="C971" s="9">
        <v>0.98039215686274506</v>
      </c>
    </row>
    <row r="972" spans="1:3">
      <c r="A972" s="8">
        <v>812956.98924731184</v>
      </c>
      <c r="B972" s="8">
        <v>0</v>
      </c>
      <c r="C972" s="9">
        <v>0.98039215686274506</v>
      </c>
    </row>
    <row r="973" spans="1:3">
      <c r="A973" s="8">
        <v>813655.91397849459</v>
      </c>
      <c r="B973" s="8">
        <v>0</v>
      </c>
      <c r="C973" s="9">
        <v>0.98039215686274506</v>
      </c>
    </row>
    <row r="974" spans="1:3">
      <c r="A974" s="8">
        <v>814354.83870967734</v>
      </c>
      <c r="B974" s="8">
        <v>0</v>
      </c>
      <c r="C974" s="9">
        <v>0.98039215686274506</v>
      </c>
    </row>
    <row r="975" spans="1:3">
      <c r="A975" s="8">
        <v>815053.7634408602</v>
      </c>
      <c r="B975" s="8">
        <v>0</v>
      </c>
      <c r="C975" s="9">
        <v>0.98039215686274506</v>
      </c>
    </row>
    <row r="976" spans="1:3">
      <c r="A976" s="8">
        <v>815752.68817204295</v>
      </c>
      <c r="B976" s="8">
        <v>0</v>
      </c>
      <c r="C976" s="9">
        <v>0.98039215686274506</v>
      </c>
    </row>
    <row r="977" spans="1:3">
      <c r="A977" s="8">
        <v>816451.61290322582</v>
      </c>
      <c r="B977" s="8">
        <v>0</v>
      </c>
      <c r="C977" s="9">
        <v>0.98039215686274506</v>
      </c>
    </row>
    <row r="978" spans="1:3">
      <c r="A978" s="8">
        <v>817150.53763440857</v>
      </c>
      <c r="B978" s="8">
        <v>0</v>
      </c>
      <c r="C978" s="9">
        <v>0.98039215686274506</v>
      </c>
    </row>
    <row r="979" spans="1:3">
      <c r="A979" s="8">
        <v>817849.46236559132</v>
      </c>
      <c r="B979" s="8">
        <v>0</v>
      </c>
      <c r="C979" s="9">
        <v>0.98039215686274506</v>
      </c>
    </row>
    <row r="980" spans="1:3">
      <c r="A980" s="8">
        <v>818548.38709677418</v>
      </c>
      <c r="B980" s="8">
        <v>0</v>
      </c>
      <c r="C980" s="9">
        <v>0.98039215686274506</v>
      </c>
    </row>
    <row r="981" spans="1:3">
      <c r="A981" s="8">
        <v>819247.31182795693</v>
      </c>
      <c r="B981" s="8">
        <v>0</v>
      </c>
      <c r="C981" s="9">
        <v>0.98039215686274506</v>
      </c>
    </row>
    <row r="982" spans="1:3">
      <c r="A982" s="8">
        <v>819946.2365591398</v>
      </c>
      <c r="B982" s="8">
        <v>0</v>
      </c>
      <c r="C982" s="9">
        <v>0.98039215686274506</v>
      </c>
    </row>
    <row r="983" spans="1:3">
      <c r="A983" s="8">
        <v>820645.16129032255</v>
      </c>
      <c r="B983" s="8">
        <v>0</v>
      </c>
      <c r="C983" s="9">
        <v>0.98039215686274506</v>
      </c>
    </row>
    <row r="984" spans="1:3">
      <c r="A984" s="8">
        <v>821344.0860215053</v>
      </c>
      <c r="B984" s="8">
        <v>0</v>
      </c>
      <c r="C984" s="9">
        <v>0.98039215686274506</v>
      </c>
    </row>
    <row r="985" spans="1:3">
      <c r="A985" s="8">
        <v>822043.01075268816</v>
      </c>
      <c r="B985" s="8">
        <v>0</v>
      </c>
      <c r="C985" s="9">
        <v>0.98039215686274506</v>
      </c>
    </row>
    <row r="986" spans="1:3">
      <c r="A986" s="8">
        <v>822741.93548387091</v>
      </c>
      <c r="B986" s="8">
        <v>0</v>
      </c>
      <c r="C986" s="9">
        <v>0.98039215686274506</v>
      </c>
    </row>
    <row r="987" spans="1:3">
      <c r="A987" s="8">
        <v>823440.86021505366</v>
      </c>
      <c r="B987" s="8">
        <v>0</v>
      </c>
      <c r="C987" s="9">
        <v>0.98039215686274506</v>
      </c>
    </row>
    <row r="988" spans="1:3">
      <c r="A988" s="8">
        <v>824139.78494623653</v>
      </c>
      <c r="B988" s="8">
        <v>0</v>
      </c>
      <c r="C988" s="9">
        <v>0.98039215686274506</v>
      </c>
    </row>
    <row r="989" spans="1:3">
      <c r="A989" s="8">
        <v>824838.70967741928</v>
      </c>
      <c r="B989" s="8">
        <v>0</v>
      </c>
      <c r="C989" s="9">
        <v>0.98039215686274506</v>
      </c>
    </row>
    <row r="990" spans="1:3">
      <c r="A990" s="8">
        <v>825537.63440860214</v>
      </c>
      <c r="B990" s="8">
        <v>0</v>
      </c>
      <c r="C990" s="9">
        <v>0.98039215686274506</v>
      </c>
    </row>
    <row r="991" spans="1:3">
      <c r="A991" s="8">
        <v>826236.55913978489</v>
      </c>
      <c r="B991" s="8">
        <v>0</v>
      </c>
      <c r="C991" s="9">
        <v>0.98039215686274506</v>
      </c>
    </row>
    <row r="992" spans="1:3">
      <c r="A992" s="8">
        <v>826935.48387096764</v>
      </c>
      <c r="B992" s="8">
        <v>0</v>
      </c>
      <c r="C992" s="9">
        <v>0.98039215686274506</v>
      </c>
    </row>
    <row r="993" spans="1:3">
      <c r="A993" s="8">
        <v>827634.40860215051</v>
      </c>
      <c r="B993" s="8">
        <v>0</v>
      </c>
      <c r="C993" s="9">
        <v>0.98039215686274506</v>
      </c>
    </row>
    <row r="994" spans="1:3">
      <c r="A994" s="8">
        <v>828333.33333333326</v>
      </c>
      <c r="B994" s="8">
        <v>0</v>
      </c>
      <c r="C994" s="9">
        <v>0.98039215686274506</v>
      </c>
    </row>
    <row r="995" spans="1:3">
      <c r="A995" s="8">
        <v>829032.25806451612</v>
      </c>
      <c r="B995" s="8">
        <v>0</v>
      </c>
      <c r="C995" s="9">
        <v>0.98039215686274506</v>
      </c>
    </row>
    <row r="996" spans="1:3">
      <c r="A996" s="8">
        <v>829731.18279569887</v>
      </c>
      <c r="B996" s="8">
        <v>0</v>
      </c>
      <c r="C996" s="9">
        <v>0.98039215686274506</v>
      </c>
    </row>
    <row r="997" spans="1:3">
      <c r="A997" s="8">
        <v>830430.10752688162</v>
      </c>
      <c r="B997" s="8">
        <v>0</v>
      </c>
      <c r="C997" s="9">
        <v>0.98039215686274506</v>
      </c>
    </row>
    <row r="998" spans="1:3">
      <c r="A998" s="8">
        <v>831129.03225806449</v>
      </c>
      <c r="B998" s="8">
        <v>0</v>
      </c>
      <c r="C998" s="9">
        <v>0.98039215686274506</v>
      </c>
    </row>
    <row r="999" spans="1:3">
      <c r="A999" s="8">
        <v>831827.95698924724</v>
      </c>
      <c r="B999" s="8">
        <v>0</v>
      </c>
      <c r="C999" s="9">
        <v>0.98039215686274506</v>
      </c>
    </row>
    <row r="1000" spans="1:3">
      <c r="A1000" s="8">
        <v>832526.8817204301</v>
      </c>
      <c r="B1000" s="8">
        <v>0</v>
      </c>
      <c r="C1000" s="9">
        <v>0.98039215686274506</v>
      </c>
    </row>
    <row r="1001" spans="1:3">
      <c r="A1001" s="8">
        <v>833225.80645161285</v>
      </c>
      <c r="B1001" s="8">
        <v>0</v>
      </c>
      <c r="C1001" s="9">
        <v>0.98039215686274506</v>
      </c>
    </row>
    <row r="1002" spans="1:3">
      <c r="A1002" s="8">
        <v>833924.7311827956</v>
      </c>
      <c r="B1002" s="8">
        <v>0</v>
      </c>
      <c r="C1002" s="9">
        <v>0.98039215686274506</v>
      </c>
    </row>
    <row r="1003" spans="1:3">
      <c r="A1003" s="8">
        <v>834623.65591397847</v>
      </c>
      <c r="B1003" s="8">
        <v>0</v>
      </c>
      <c r="C1003" s="9">
        <v>0.98039215686274506</v>
      </c>
    </row>
    <row r="1004" spans="1:3">
      <c r="A1004" s="8">
        <v>835322.58064516122</v>
      </c>
      <c r="B1004" s="8">
        <v>0</v>
      </c>
      <c r="C1004" s="9">
        <v>0.98039215686274506</v>
      </c>
    </row>
    <row r="1005" spans="1:3">
      <c r="A1005" s="8">
        <v>836021.50537634408</v>
      </c>
      <c r="B1005" s="8">
        <v>0</v>
      </c>
      <c r="C1005" s="9">
        <v>0.98039215686274506</v>
      </c>
    </row>
    <row r="1006" spans="1:3">
      <c r="A1006" s="8">
        <v>836720.43010752683</v>
      </c>
      <c r="B1006" s="8">
        <v>0</v>
      </c>
      <c r="C1006" s="9">
        <v>0.98039215686274506</v>
      </c>
    </row>
    <row r="1007" spans="1:3">
      <c r="A1007" s="8">
        <v>837419.35483870958</v>
      </c>
      <c r="B1007" s="8">
        <v>0</v>
      </c>
      <c r="C1007" s="9">
        <v>0.98039215686274506</v>
      </c>
    </row>
    <row r="1008" spans="1:3">
      <c r="A1008" s="8">
        <v>838118.27956989245</v>
      </c>
      <c r="B1008" s="8">
        <v>0</v>
      </c>
      <c r="C1008" s="9">
        <v>0.98039215686274506</v>
      </c>
    </row>
    <row r="1009" spans="1:3">
      <c r="A1009" s="8">
        <v>838817.20430107519</v>
      </c>
      <c r="B1009" s="8">
        <v>0</v>
      </c>
      <c r="C1009" s="9">
        <v>0.98039215686274506</v>
      </c>
    </row>
    <row r="1010" spans="1:3">
      <c r="A1010" s="8">
        <v>839516.12903225806</v>
      </c>
      <c r="B1010" s="8">
        <v>0</v>
      </c>
      <c r="C1010" s="9">
        <v>0.98039215686274506</v>
      </c>
    </row>
    <row r="1011" spans="1:3">
      <c r="A1011" s="8">
        <v>840215.05376344081</v>
      </c>
      <c r="B1011" s="8">
        <v>0</v>
      </c>
      <c r="C1011" s="9">
        <v>0.98039215686274506</v>
      </c>
    </row>
    <row r="1012" spans="1:3">
      <c r="A1012" s="8">
        <v>840913.97849462356</v>
      </c>
      <c r="B1012" s="8">
        <v>0</v>
      </c>
      <c r="C1012" s="9">
        <v>0.98039215686274506</v>
      </c>
    </row>
    <row r="1013" spans="1:3">
      <c r="A1013" s="8">
        <v>841612.90322580643</v>
      </c>
      <c r="B1013" s="8">
        <v>0</v>
      </c>
      <c r="C1013" s="9">
        <v>0.98039215686274506</v>
      </c>
    </row>
    <row r="1014" spans="1:3">
      <c r="A1014" s="8">
        <v>842311.82795698917</v>
      </c>
      <c r="B1014" s="8">
        <v>0</v>
      </c>
      <c r="C1014" s="9">
        <v>0.98039215686274506</v>
      </c>
    </row>
    <row r="1015" spans="1:3">
      <c r="A1015" s="8">
        <v>843010.75268817204</v>
      </c>
      <c r="B1015" s="8">
        <v>0</v>
      </c>
      <c r="C1015" s="9">
        <v>0.98039215686274506</v>
      </c>
    </row>
    <row r="1016" spans="1:3">
      <c r="A1016" s="8">
        <v>843709.67741935479</v>
      </c>
      <c r="B1016" s="8">
        <v>0</v>
      </c>
      <c r="C1016" s="9">
        <v>0.98039215686274506</v>
      </c>
    </row>
    <row r="1017" spans="1:3">
      <c r="A1017" s="8">
        <v>844408.60215053754</v>
      </c>
      <c r="B1017" s="8">
        <v>0</v>
      </c>
      <c r="C1017" s="9">
        <v>0.98039215686274506</v>
      </c>
    </row>
    <row r="1018" spans="1:3">
      <c r="A1018" s="8">
        <v>845107.52688172041</v>
      </c>
      <c r="B1018" s="8">
        <v>0</v>
      </c>
      <c r="C1018" s="9">
        <v>0.98039215686274506</v>
      </c>
    </row>
    <row r="1019" spans="1:3">
      <c r="A1019" s="8">
        <v>845806.45161290315</v>
      </c>
      <c r="B1019" s="8">
        <v>0</v>
      </c>
      <c r="C1019" s="9">
        <v>0.98039215686274506</v>
      </c>
    </row>
    <row r="1020" spans="1:3">
      <c r="A1020" s="8">
        <v>846505.37634408602</v>
      </c>
      <c r="B1020" s="8">
        <v>0</v>
      </c>
      <c r="C1020" s="9">
        <v>0.98039215686274506</v>
      </c>
    </row>
    <row r="1021" spans="1:3">
      <c r="A1021" s="8">
        <v>847204.30107526877</v>
      </c>
      <c r="B1021" s="8">
        <v>0</v>
      </c>
      <c r="C1021" s="9">
        <v>0.98039215686274506</v>
      </c>
    </row>
    <row r="1022" spans="1:3">
      <c r="A1022" s="8">
        <v>847903.22580645152</v>
      </c>
      <c r="B1022" s="8">
        <v>0</v>
      </c>
      <c r="C1022" s="9">
        <v>0.98039215686274506</v>
      </c>
    </row>
    <row r="1023" spans="1:3">
      <c r="A1023" s="8">
        <v>848602.15053763438</v>
      </c>
      <c r="B1023" s="8">
        <v>0</v>
      </c>
      <c r="C1023" s="9">
        <v>0.98039215686274506</v>
      </c>
    </row>
    <row r="1024" spans="1:3">
      <c r="A1024" s="8">
        <v>849301.07526881713</v>
      </c>
      <c r="B1024" s="8">
        <v>0</v>
      </c>
      <c r="C1024" s="9">
        <v>0.98039215686274506</v>
      </c>
    </row>
    <row r="1025" spans="1:3" ht="13" thickBot="1">
      <c r="A1025" s="10" t="s">
        <v>32</v>
      </c>
      <c r="B1025" s="10">
        <v>1</v>
      </c>
      <c r="C1025" s="11">
        <v>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E9336-87E1-413B-B988-EF0176AC399E}">
  <sheetPr>
    <tabColor rgb="FF00B050"/>
  </sheetPr>
  <dimension ref="A1:F6"/>
  <sheetViews>
    <sheetView workbookViewId="0"/>
  </sheetViews>
  <sheetFormatPr defaultRowHeight="12.5"/>
  <cols>
    <col min="1" max="1" width="19.453125" customWidth="1"/>
    <col min="2" max="2" width="12.453125" customWidth="1"/>
    <col min="3" max="3" width="15" customWidth="1"/>
  </cols>
  <sheetData>
    <row r="1" spans="1:6" ht="13">
      <c r="A1" s="15" t="s">
        <v>420</v>
      </c>
      <c r="B1" s="15" t="s">
        <v>30</v>
      </c>
      <c r="C1" s="15" t="s">
        <v>31</v>
      </c>
      <c r="D1" s="15" t="s">
        <v>49</v>
      </c>
      <c r="E1" s="15" t="s">
        <v>48</v>
      </c>
      <c r="F1" s="15" t="s">
        <v>529</v>
      </c>
    </row>
    <row r="2" spans="1:6">
      <c r="A2" s="14">
        <v>250000</v>
      </c>
      <c r="B2" s="8">
        <v>18</v>
      </c>
      <c r="C2" s="9">
        <v>0.36</v>
      </c>
      <c r="D2" s="18">
        <f>Tabuľka4[[#This Row],[Frequency]]/Tabuľka4[[#Totals],[Frequency]]</f>
        <v>0.36</v>
      </c>
      <c r="E2">
        <f>Tabuľka4[[#This Row],[Frequency]]</f>
        <v>18</v>
      </c>
    </row>
    <row r="3" spans="1:6">
      <c r="A3" s="14">
        <v>450000</v>
      </c>
      <c r="B3" s="8">
        <v>23</v>
      </c>
      <c r="C3" s="9">
        <v>0.82</v>
      </c>
      <c r="D3" s="18">
        <f>Tabuľka4[[#This Row],[Frequency]]/Tabuľka4[[#Totals],[Frequency]]</f>
        <v>0.46</v>
      </c>
      <c r="E3">
        <f>B2+Tabuľka4[[#This Row],[Frequency]]</f>
        <v>41</v>
      </c>
    </row>
    <row r="4" spans="1:6">
      <c r="A4" s="14">
        <v>600000</v>
      </c>
      <c r="B4" s="8">
        <v>6</v>
      </c>
      <c r="C4" s="9">
        <v>0.94</v>
      </c>
      <c r="D4" s="18">
        <f>Tabuľka4[[#This Row],[Frequency]]/Tabuľka4[[#Totals],[Frequency]]</f>
        <v>0.12</v>
      </c>
      <c r="E4">
        <f>B3+Tabuľka4[[#This Row],[Frequency]]</f>
        <v>29</v>
      </c>
    </row>
    <row r="5" spans="1:6">
      <c r="A5" s="8" t="s">
        <v>32</v>
      </c>
      <c r="B5" s="8">
        <v>3</v>
      </c>
      <c r="C5" s="9">
        <v>1</v>
      </c>
      <c r="D5" s="18">
        <f>Tabuľka4[[#This Row],[Frequency]]/Tabuľka4[[#Totals],[Frequency]]</f>
        <v>0.06</v>
      </c>
      <c r="E5">
        <f>B4+Tabuľka4[[#This Row],[Frequency]]</f>
        <v>9</v>
      </c>
    </row>
    <row r="6" spans="1:6">
      <c r="A6" s="16" t="s">
        <v>248</v>
      </c>
      <c r="B6" s="16">
        <f>SUBTOTAL(109,Tabuľka4[Frequency])</f>
        <v>50</v>
      </c>
      <c r="C6" s="17"/>
      <c r="E6" s="19" t="s">
        <v>215</v>
      </c>
      <c r="F6" s="20" t="s">
        <v>215</v>
      </c>
    </row>
  </sheetData>
  <sortState xmlns:xlrd2="http://schemas.microsoft.com/office/spreadsheetml/2017/richdata2" ref="A2:A4">
    <sortCondition ref="A2"/>
  </sortState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9B56B-8BDA-4740-8506-9CB19624F229}">
  <sheetPr>
    <tabColor rgb="FFFF0000"/>
  </sheetPr>
  <dimension ref="A1:C6"/>
  <sheetViews>
    <sheetView workbookViewId="0"/>
  </sheetViews>
  <sheetFormatPr defaultRowHeight="12.5"/>
  <cols>
    <col min="1" max="1" width="18.54296875" customWidth="1"/>
    <col min="2" max="2" width="12.453125" customWidth="1"/>
    <col min="3" max="3" width="14.54296875" customWidth="1"/>
  </cols>
  <sheetData>
    <row r="1" spans="1:3" ht="13">
      <c r="A1" s="15" t="s">
        <v>420</v>
      </c>
      <c r="B1" s="15" t="s">
        <v>30</v>
      </c>
      <c r="C1" s="15" t="s">
        <v>31</v>
      </c>
    </row>
    <row r="2" spans="1:3">
      <c r="A2" s="14">
        <v>250000</v>
      </c>
      <c r="B2" s="8">
        <v>18</v>
      </c>
      <c r="C2" s="9">
        <v>0.35294117647058826</v>
      </c>
    </row>
    <row r="3" spans="1:3">
      <c r="A3" s="14">
        <v>450000</v>
      </c>
      <c r="B3" s="8">
        <v>24</v>
      </c>
      <c r="C3" s="9">
        <v>0.82352941176470584</v>
      </c>
    </row>
    <row r="4" spans="1:3">
      <c r="A4" s="14">
        <v>600000</v>
      </c>
      <c r="B4" s="8">
        <v>6</v>
      </c>
      <c r="C4" s="9">
        <v>0.94117647058823528</v>
      </c>
    </row>
    <row r="5" spans="1:3">
      <c r="A5" s="8" t="s">
        <v>32</v>
      </c>
      <c r="B5" s="8">
        <v>3</v>
      </c>
      <c r="C5" s="9">
        <v>1</v>
      </c>
    </row>
    <row r="6" spans="1:3">
      <c r="A6" s="16" t="s">
        <v>248</v>
      </c>
      <c r="B6" s="16"/>
      <c r="C6" s="17"/>
    </row>
  </sheetData>
  <sortState xmlns:xlrd2="http://schemas.microsoft.com/office/spreadsheetml/2017/richdata2" ref="A2:A4">
    <sortCondition ref="A2"/>
  </sortState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69DC9663CD5834EA409177EFE9AEC1C" ma:contentTypeVersion="9" ma:contentTypeDescription="Umožňuje vytvoriť nový dokument." ma:contentTypeScope="" ma:versionID="9a1c0738918276bf250ad2ea3f3a3a86">
  <xsd:schema xmlns:xsd="http://www.w3.org/2001/XMLSchema" xmlns:xs="http://www.w3.org/2001/XMLSchema" xmlns:p="http://schemas.microsoft.com/office/2006/metadata/properties" xmlns:ns2="5d5d7a53-18f1-4b5a-a348-6a3200cdb537" xmlns:ns3="5204994f-7f0f-4571-9218-662b280259f0" targetNamespace="http://schemas.microsoft.com/office/2006/metadata/properties" ma:root="true" ma:fieldsID="555c282123d60cf87c8603ff89fd25cb" ns2:_="" ns3:_="">
    <xsd:import namespace="5d5d7a53-18f1-4b5a-a348-6a3200cdb537"/>
    <xsd:import namespace="5204994f-7f0f-4571-9218-662b280259f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d7a53-18f1-4b5a-a348-6a3200cdb5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04994f-7f0f-4571-9218-662b280259f0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Zdieľa sa s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Zdieľané s podrobnosťam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3224FB-C850-4759-9EF0-B64663B434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5d7a53-18f1-4b5a-a348-6a3200cdb537"/>
    <ds:schemaRef ds:uri="5204994f-7f0f-4571-9218-662b280259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6898921-C664-4B1D-B647-23D0F40391A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3D189B5-3341-4BAE-8F5D-B305D3E8E34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41</vt:i4>
      </vt:variant>
    </vt:vector>
  </HeadingPairs>
  <TitlesOfParts>
    <vt:vector size="41" baseType="lpstr">
      <vt:lpstr>Popisna Statistika OK (2)</vt:lpstr>
      <vt:lpstr>Dáta (2)</vt:lpstr>
      <vt:lpstr>Cas Minuty</vt:lpstr>
      <vt:lpstr>Body</vt:lpstr>
      <vt:lpstr>Znamienkový test</vt:lpstr>
      <vt:lpstr>Test Hypotéza Rozptyl</vt:lpstr>
      <vt:lpstr>Test Hypotéza Mi Konšt 390</vt:lpstr>
      <vt:lpstr>Test Hypotéza Mi Konšt 350</vt:lpstr>
      <vt:lpstr>Transponovanie Histogramy</vt:lpstr>
      <vt:lpstr>Podiel</vt:lpstr>
      <vt:lpstr>Generovanie-Vyber-Nahodny (3)</vt:lpstr>
      <vt:lpstr>Generovanie-Vyber-Nahodny (2)</vt:lpstr>
      <vt:lpstr>Generovanie-Vyber-Nahodny</vt:lpstr>
      <vt:lpstr>NR Generovanie</vt:lpstr>
      <vt:lpstr>Transponovanie</vt:lpstr>
      <vt:lpstr>Aproximácia BI NR</vt:lpstr>
      <vt:lpstr>Normálne Rozdelenie</vt:lpstr>
      <vt:lpstr>Binomické-Rozdelenie</vt:lpstr>
      <vt:lpstr>Náhodné-Hodnoty</vt:lpstr>
      <vt:lpstr>Rozhodovacie Stromy, Ven</vt:lpstr>
      <vt:lpstr>Nezávislosť Javov</vt:lpstr>
      <vt:lpstr>Dočasná Tabuľka</vt:lpstr>
      <vt:lpstr>Konti-Tab Pravdepodobnosti</vt:lpstr>
      <vt:lpstr>! Vážene Miery-Jednoduchá_Frekv</vt:lpstr>
      <vt:lpstr>Frekvenčné_Tabuľky_Početnosti</vt:lpstr>
      <vt:lpstr>Dáta a Funkcie</vt:lpstr>
      <vt:lpstr>Kvartily_Miery_Lokacie</vt:lpstr>
      <vt:lpstr>Miery_Polohy_Mzdy_Zamestnanci</vt:lpstr>
      <vt:lpstr>Histogram Novy</vt:lpstr>
      <vt:lpstr>Vážene Miery-Jednoduchá_Fre (2)</vt:lpstr>
      <vt:lpstr>Vážene Miery-Interval_Frekv (2)</vt:lpstr>
      <vt:lpstr>Vážene Miery-Interval_Frekv</vt:lpstr>
      <vt:lpstr>Dáta</vt:lpstr>
      <vt:lpstr>Popisna Statistika NG</vt:lpstr>
      <vt:lpstr>Popisna Statistika OK</vt:lpstr>
      <vt:lpstr>Absolútna a Relatívna Početnosť</vt:lpstr>
      <vt:lpstr>Tabuľky</vt:lpstr>
      <vt:lpstr>Duplikácia</vt:lpstr>
      <vt:lpstr>Histogram NG</vt:lpstr>
      <vt:lpstr>Histogram OK</vt:lpstr>
      <vt:lpstr>Histogram NG - Pozor riadok súč</vt:lpstr>
    </vt:vector>
  </TitlesOfParts>
  <Manager/>
  <Company>University of Buckingham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Eddie Shoesmith</dc:creator>
  <cp:keywords/>
  <dc:description/>
  <cp:lastModifiedBy>Miroslav Reiter</cp:lastModifiedBy>
  <cp:revision/>
  <dcterms:created xsi:type="dcterms:W3CDTF">2008-10-30T13:23:31Z</dcterms:created>
  <dcterms:modified xsi:type="dcterms:W3CDTF">2023-05-19T17:49:41Z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0x010100169DC9663CD5834EA409177EFE9AEC1C</vt:lpwstr>
  </property>
</Properties>
</file>