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80" windowHeight="1030"/>
  </bookViews>
  <sheets>
    <sheet name="软件" sheetId="2" r:id="rId1"/>
    <sheet name="说明" sheetId="3" r:id="rId2"/>
  </sheets>
  <definedNames>
    <definedName name="_xlnm._FilterDatabase" localSheetId="0" hidden="1">软件!$A$1:$AJ$1</definedName>
    <definedName name="er">软件!$F$30</definedName>
    <definedName name="es">软件!$E$30</definedName>
    <definedName name="Freq">软件!$P$2</definedName>
    <definedName name="Llr">软件!$L$5</definedName>
    <definedName name="Lls">软件!$K$5</definedName>
    <definedName name="Lm">软件!$M$2</definedName>
    <definedName name="pp">软件!$A$2</definedName>
    <definedName name="TurnRatio">软件!$G$2</definedName>
    <definedName name="Usll">软件!$F$2</definedName>
    <definedName name="Xm">软件!$M$5</definedName>
    <definedName name="Xm__Xss">软件!$L$8</definedName>
    <definedName name="Xr">软件!$L$5</definedName>
    <definedName name="Xs">软件!$K$5</definedName>
    <definedName name="Xss">软件!$K$8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3" i="2" l="1"/>
  <c r="AJ4" i="2"/>
  <c r="AJ5" i="2"/>
  <c r="AJ6" i="2"/>
  <c r="AJ7" i="2"/>
  <c r="AJ8" i="2"/>
  <c r="AJ9" i="2"/>
  <c r="AJ2" i="2"/>
  <c r="AL3" i="2" l="1"/>
  <c r="AL4" i="2"/>
  <c r="AL5" i="2"/>
  <c r="AL6" i="2"/>
  <c r="AL7" i="2"/>
  <c r="AL8" i="2"/>
  <c r="AL9" i="2"/>
  <c r="AL2" i="2"/>
  <c r="L30" i="2" l="1"/>
  <c r="A30" i="2"/>
  <c r="H2" i="2"/>
  <c r="G2" i="2"/>
  <c r="V2" i="2"/>
  <c r="U2" i="2"/>
  <c r="K8" i="2"/>
  <c r="N2" i="2" s="1"/>
  <c r="F30" i="2" l="1"/>
  <c r="Q30" i="2" s="1"/>
  <c r="E30" i="2"/>
  <c r="R30" i="2" s="1"/>
  <c r="L8" i="2"/>
  <c r="W2" i="2"/>
  <c r="L2" i="2"/>
  <c r="K2" i="2"/>
  <c r="I30" i="2" l="1"/>
  <c r="G30" i="2"/>
  <c r="H30" i="2" s="1"/>
  <c r="B30" i="2"/>
  <c r="S30" i="2"/>
  <c r="K30" i="2" s="1"/>
  <c r="P30" i="2"/>
  <c r="N30" i="2" s="1"/>
  <c r="W9" i="2"/>
  <c r="W4" i="2"/>
  <c r="W6" i="2"/>
  <c r="W3" i="2"/>
  <c r="W5" i="2"/>
  <c r="W7" i="2"/>
  <c r="W8" i="2"/>
  <c r="C2" i="2"/>
  <c r="D30" i="2" l="1"/>
  <c r="Y5" i="2"/>
  <c r="Y9" i="2"/>
  <c r="B2" i="2"/>
  <c r="S3" i="2" s="1"/>
  <c r="T3" i="2" s="1"/>
  <c r="Y3" i="2" l="1"/>
  <c r="Y2" i="2"/>
  <c r="Y8" i="2"/>
  <c r="Y7" i="2"/>
  <c r="Y6" i="2"/>
  <c r="Y4" i="2"/>
  <c r="V3" i="2"/>
  <c r="S6" i="2"/>
  <c r="T6" i="2" s="1"/>
  <c r="S2" i="2"/>
  <c r="T2" i="2" s="1"/>
  <c r="S9" i="2"/>
  <c r="T9" i="2" s="1"/>
  <c r="S5" i="2"/>
  <c r="T5" i="2" s="1"/>
  <c r="S8" i="2"/>
  <c r="S4" i="2"/>
  <c r="S7" i="2"/>
  <c r="T7" i="2" s="1"/>
  <c r="V4" i="2" l="1"/>
  <c r="T4" i="2"/>
  <c r="V8" i="2"/>
  <c r="T8" i="2"/>
  <c r="V7" i="2"/>
  <c r="V6" i="2"/>
  <c r="V5" i="2"/>
  <c r="V9" i="2"/>
  <c r="U3" i="2"/>
  <c r="AH3" i="2" s="1"/>
  <c r="Z3" i="2"/>
  <c r="U8" i="2"/>
  <c r="AH8" i="2" s="1"/>
  <c r="Z8" i="2"/>
  <c r="AA8" i="2" s="1"/>
  <c r="AA3" i="2" l="1"/>
  <c r="AH2" i="2"/>
  <c r="Z2" i="2"/>
  <c r="U9" i="2"/>
  <c r="AH9" i="2" s="1"/>
  <c r="Z9" i="2"/>
  <c r="U4" i="2"/>
  <c r="AH4" i="2" s="1"/>
  <c r="Z4" i="2"/>
  <c r="U5" i="2"/>
  <c r="AH5" i="2" s="1"/>
  <c r="Z5" i="2"/>
  <c r="U7" i="2"/>
  <c r="AH7" i="2" s="1"/>
  <c r="Z7" i="2"/>
  <c r="U6" i="2"/>
  <c r="AH6" i="2" s="1"/>
  <c r="Z6" i="2"/>
  <c r="AA2" i="2" l="1"/>
  <c r="AA5" i="2"/>
  <c r="AA9" i="2"/>
  <c r="AA4" i="2"/>
  <c r="AA7" i="2"/>
  <c r="AA6" i="2"/>
  <c r="M2" i="2" l="1"/>
  <c r="Q2" i="2" l="1"/>
  <c r="X9" i="2"/>
  <c r="AB9" i="2" s="1"/>
  <c r="X2" i="2"/>
  <c r="AF2" i="2" s="1"/>
  <c r="AG2" i="2" s="1"/>
  <c r="X3" i="2"/>
  <c r="X8" i="2"/>
  <c r="X4" i="2"/>
  <c r="X6" i="2"/>
  <c r="X5" i="2"/>
  <c r="AB5" i="2" s="1"/>
  <c r="X7" i="2"/>
  <c r="AC9" i="2"/>
  <c r="AI9" i="2"/>
  <c r="AF3" i="2" l="1"/>
  <c r="AG3" i="2" s="1"/>
  <c r="AB2" i="2"/>
  <c r="AB7" i="2"/>
  <c r="AF5" i="2"/>
  <c r="AG5" i="2" s="1"/>
  <c r="AC3" i="2"/>
  <c r="AI5" i="2"/>
  <c r="AI8" i="2"/>
  <c r="AI4" i="2"/>
  <c r="AI7" i="2"/>
  <c r="AC7" i="2"/>
  <c r="AI2" i="2"/>
  <c r="AC5" i="2"/>
  <c r="AD5" i="2" s="1"/>
  <c r="AE5" i="2" s="1"/>
  <c r="AC2" i="2"/>
  <c r="AB3" i="2"/>
  <c r="AI3" i="2"/>
  <c r="AF7" i="2"/>
  <c r="AG7" i="2" s="1"/>
  <c r="AF9" i="2"/>
  <c r="AG9" i="2" s="1"/>
  <c r="AD9" i="2"/>
  <c r="AE9" i="2" s="1"/>
  <c r="AB6" i="2"/>
  <c r="AC6" i="2"/>
  <c r="AF6" i="2"/>
  <c r="AG6" i="2" s="1"/>
  <c r="AI6" i="2"/>
  <c r="AB8" i="2"/>
  <c r="AC8" i="2"/>
  <c r="AB4" i="2"/>
  <c r="AF4" i="2"/>
  <c r="AG4" i="2" s="1"/>
  <c r="AC4" i="2"/>
  <c r="AF8" i="2"/>
  <c r="AG8" i="2" s="1"/>
  <c r="AD2" i="2" l="1"/>
  <c r="AE2" i="2" s="1"/>
  <c r="AD3" i="2"/>
  <c r="AE3" i="2" s="1"/>
  <c r="AD7" i="2"/>
  <c r="AE7" i="2" s="1"/>
  <c r="AD4" i="2"/>
  <c r="AE4" i="2" s="1"/>
  <c r="AD8" i="2"/>
  <c r="AE8" i="2" s="1"/>
  <c r="AD6" i="2"/>
  <c r="AE6" i="2" s="1"/>
</calcChain>
</file>

<file path=xl/sharedStrings.xml><?xml version="1.0" encoding="utf-8"?>
<sst xmlns="http://schemas.openxmlformats.org/spreadsheetml/2006/main" count="66" uniqueCount="66">
  <si>
    <t>转差率</t>
    <phoneticPr fontId="1" type="noConversion"/>
  </si>
  <si>
    <t>定子有功功率W</t>
    <phoneticPr fontId="1" type="noConversion"/>
  </si>
  <si>
    <t>电网频率Hz</t>
    <phoneticPr fontId="1" type="noConversion"/>
  </si>
  <si>
    <t>电机互感Lm   H</t>
    <phoneticPr fontId="1" type="noConversion"/>
  </si>
  <si>
    <t>转子开口电压V</t>
    <phoneticPr fontId="1" type="noConversion"/>
  </si>
  <si>
    <t>同步转速</t>
    <phoneticPr fontId="1" type="noConversion"/>
  </si>
  <si>
    <t>发电机转速RPM</t>
    <phoneticPr fontId="1" type="noConversion"/>
  </si>
  <si>
    <t>转子有功功率W(负号表示流向电网）</t>
    <phoneticPr fontId="1" type="noConversion"/>
  </si>
  <si>
    <t>相电压峰值V</t>
    <phoneticPr fontId="1" type="noConversion"/>
  </si>
  <si>
    <t>变流器q轴电流有效值A（空载无功励磁）</t>
    <phoneticPr fontId="1" type="noConversion"/>
  </si>
  <si>
    <t>定子电组ohm</t>
    <phoneticPr fontId="1" type="noConversion"/>
  </si>
  <si>
    <t>转子电阻ohm</t>
    <phoneticPr fontId="1" type="noConversion"/>
  </si>
  <si>
    <t>电机极对数</t>
    <phoneticPr fontId="1" type="noConversion"/>
  </si>
  <si>
    <t>上网总有功功率W</t>
    <phoneticPr fontId="1" type="noConversion"/>
  </si>
  <si>
    <t>定子端无功功率W</t>
    <phoneticPr fontId="1" type="noConversion"/>
  </si>
  <si>
    <t>转子电压V（有效值-根据转差率估算）</t>
    <phoneticPr fontId="1" type="noConversion"/>
  </si>
  <si>
    <t>机侧变流器q轴电流峰值值A（无功  负号表示流向电网）</t>
    <phoneticPr fontId="1" type="noConversion"/>
  </si>
  <si>
    <t>机侧变流器d轴电流峰值A（有功  负号表示流向电网）</t>
    <phoneticPr fontId="1" type="noConversion"/>
  </si>
  <si>
    <t>变流器效率</t>
    <phoneticPr fontId="1" type="noConversion"/>
  </si>
  <si>
    <t>定子电流d轴峰值A（有功）</t>
    <phoneticPr fontId="1" type="noConversion"/>
  </si>
  <si>
    <t>定子电流q轴峰值A（无功）</t>
    <phoneticPr fontId="1" type="noConversion"/>
  </si>
  <si>
    <t>定子电流有效值A</t>
    <phoneticPr fontId="1" type="noConversion"/>
  </si>
  <si>
    <t>机侧变流器d轴电压(峰值V）归算值</t>
    <phoneticPr fontId="1" type="noConversion"/>
  </si>
  <si>
    <t>机侧变流器电流A(有效值）归算值</t>
    <phoneticPr fontId="1" type="noConversion"/>
  </si>
  <si>
    <t>机侧变流器电流A(有效值）实际值</t>
    <phoneticPr fontId="1" type="noConversion"/>
  </si>
  <si>
    <t>网侧变流器电流A（有效值）负号表示流向电网</t>
    <phoneticPr fontId="1" type="noConversion"/>
  </si>
  <si>
    <t>机侧变流器q轴电压(峰值V）归算值</t>
    <phoneticPr fontId="1" type="noConversion"/>
  </si>
  <si>
    <t>机侧变流器相电压(峰值V）归算值</t>
    <phoneticPr fontId="1" type="noConversion"/>
  </si>
  <si>
    <t>机侧变流器线电压(有效值V）实际值</t>
    <phoneticPr fontId="1" type="noConversion"/>
  </si>
  <si>
    <t xml:space="preserve">1. 其中有几个量是“归算值”，表示的是电机数学模型中将转子侧的参数统一折算到定子侧，也就是仿真模型中跑出来的值；
2. “实际值”表示反折算回来，也就是咱们实际机器的出口测量值；
3. 所有的dq量都是基于等幅值变换的，因此和功率之间有个1.5倍的系数——用等量变换的dq电压电流值求出来的功率乘以1.5才是实际功率；
</t>
    <phoneticPr fontId="1" type="noConversion"/>
  </si>
  <si>
    <t>电网电压(发电机定子电压额定值）V</t>
    <phoneticPr fontId="1" type="noConversion"/>
  </si>
  <si>
    <t>定子漏感 H</t>
    <phoneticPr fontId="1" type="noConversion"/>
  </si>
  <si>
    <t>转子漏感 H</t>
    <phoneticPr fontId="1" type="noConversion"/>
  </si>
  <si>
    <t>定子漏抗 Ω</t>
    <phoneticPr fontId="1" type="noConversion"/>
  </si>
  <si>
    <t>转子漏抗 Ω</t>
    <phoneticPr fontId="1" type="noConversion"/>
  </si>
  <si>
    <t>静稳极限无功功率_Var</t>
    <phoneticPr fontId="1" type="noConversion"/>
  </si>
  <si>
    <t>Xss Ω</t>
    <phoneticPr fontId="1" type="noConversion"/>
  </si>
  <si>
    <t>Xm/Xss</t>
    <phoneticPr fontId="1" type="noConversion"/>
  </si>
  <si>
    <t>磁化电抗Xm   Ω</t>
    <phoneticPr fontId="1" type="noConversion"/>
  </si>
  <si>
    <t>转子极限电流 Arms</t>
    <phoneticPr fontId="1" type="noConversion"/>
  </si>
  <si>
    <t>定子极限电流 Arms</t>
    <phoneticPr fontId="1" type="noConversion"/>
  </si>
  <si>
    <t>转矩1
电机公式</t>
    <phoneticPr fontId="1" type="noConversion"/>
  </si>
  <si>
    <t>转矩2
能量除以转速</t>
    <phoneticPr fontId="1" type="noConversion"/>
  </si>
  <si>
    <t>匝比</t>
    <phoneticPr fontId="1" type="noConversion"/>
  </si>
  <si>
    <t>定子无功最小值</t>
    <phoneticPr fontId="1" type="noConversion"/>
  </si>
  <si>
    <t>定子无功最大值</t>
    <phoneticPr fontId="1" type="noConversion"/>
  </si>
  <si>
    <t>定子有功最小值</t>
    <phoneticPr fontId="1" type="noConversion"/>
  </si>
  <si>
    <t>定子有功最大值</t>
    <phoneticPr fontId="1" type="noConversion"/>
  </si>
  <si>
    <t>交点Q值</t>
    <phoneticPr fontId="1" type="noConversion"/>
  </si>
  <si>
    <t>交点P值</t>
    <phoneticPr fontId="1" type="noConversion"/>
  </si>
  <si>
    <t>temp</t>
    <phoneticPr fontId="1" type="noConversion"/>
  </si>
  <si>
    <t>Qmax</t>
    <phoneticPr fontId="1" type="noConversion"/>
  </si>
  <si>
    <t>Qmin</t>
    <phoneticPr fontId="1" type="noConversion"/>
  </si>
  <si>
    <t>Pmax</t>
    <phoneticPr fontId="1" type="noConversion"/>
  </si>
  <si>
    <t>Pmin</t>
    <phoneticPr fontId="1" type="noConversion"/>
  </si>
  <si>
    <t>填Q求P范围</t>
    <phoneticPr fontId="1" type="noConversion"/>
  </si>
  <si>
    <t>填P求Q范围</t>
    <phoneticPr fontId="1" type="noConversion"/>
  </si>
  <si>
    <t>temp2</t>
    <phoneticPr fontId="1" type="noConversion"/>
  </si>
  <si>
    <t>temp3</t>
    <phoneticPr fontId="1" type="noConversion"/>
  </si>
  <si>
    <t>temp4</t>
    <phoneticPr fontId="1" type="noConversion"/>
  </si>
  <si>
    <t>temp5</t>
    <phoneticPr fontId="1" type="noConversion"/>
  </si>
  <si>
    <t>有无功能力边界计算</t>
    <phoneticPr fontId="1" type="noConversion"/>
  </si>
  <si>
    <t>定子电流约束半径</t>
    <phoneticPr fontId="1" type="noConversion"/>
  </si>
  <si>
    <t>转子电流约束半径</t>
    <phoneticPr fontId="1" type="noConversion"/>
  </si>
  <si>
    <t>变流器容量</t>
    <phoneticPr fontId="1" type="noConversion"/>
  </si>
  <si>
    <t>变流器网侧无功能力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</si>
</sst>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_ 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.5"/>
      <color theme="1"/>
      <name val="Times New Roman"/>
      <family val="1"/>
    </font>
    <font>
      <sz val="11"/>
      <color theme="0" tint="-0.499984740745262"/>
      <name val="等线"/>
      <family val="3"/>
      <charset val="134"/>
      <scheme val="minor"/>
    </font>
    <font>
      <b/>
      <sz val="20"/>
      <name val="等线"/>
      <family val="3"/>
      <charset val="134"/>
      <scheme val="minor"/>
    </font>
    <font>
      <sz val="11"/>
      <color theme="0" tint="-0.34998626667073579"/>
      <name val="等线"/>
      <family val="2"/>
      <scheme val="minor"/>
    </font>
    <font>
      <sz val="11"/>
      <color theme="0" tint="-0.3499862666707357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6" borderId="0" xfId="0" applyFont="1" applyFill="1"/>
    <xf numFmtId="0" fontId="4" fillId="5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0" borderId="0" xfId="0" applyFont="1"/>
    <xf numFmtId="176" fontId="4" fillId="0" borderId="0" xfId="0" applyNumberFormat="1" applyFont="1"/>
    <xf numFmtId="177" fontId="4" fillId="0" borderId="0" xfId="0" applyNumberFormat="1" applyFont="1"/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/>
    <xf numFmtId="0" fontId="4" fillId="7" borderId="0" xfId="0" applyFont="1" applyFill="1"/>
    <xf numFmtId="0" fontId="4" fillId="8" borderId="0" xfId="0" applyFont="1" applyFill="1"/>
    <xf numFmtId="0" fontId="4" fillId="10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11" borderId="0" xfId="0" applyFont="1" applyFill="1"/>
    <xf numFmtId="0" fontId="5" fillId="0" borderId="0" xfId="0" applyFont="1"/>
    <xf numFmtId="176" fontId="5" fillId="0" borderId="0" xfId="0" applyNumberFormat="1" applyFont="1"/>
    <xf numFmtId="177" fontId="5" fillId="0" borderId="0" xfId="0" applyNumberFormat="1" applyFont="1"/>
    <xf numFmtId="11" fontId="4" fillId="0" borderId="0" xfId="0" applyNumberFormat="1" applyFont="1"/>
    <xf numFmtId="0" fontId="4" fillId="12" borderId="0" xfId="0" applyFont="1" applyFill="1"/>
    <xf numFmtId="0" fontId="6" fillId="0" borderId="0" xfId="0" applyFont="1"/>
    <xf numFmtId="0" fontId="3" fillId="0" borderId="0" xfId="0" applyNumberFormat="1" applyFont="1"/>
    <xf numFmtId="0" fontId="3" fillId="0" borderId="0" xfId="0" applyFont="1" applyAlignment="1">
      <alignment horizontal="center"/>
    </xf>
    <xf numFmtId="0" fontId="4" fillId="9" borderId="0" xfId="0" applyFont="1" applyFill="1" applyAlignment="1">
      <alignment wrapText="1"/>
    </xf>
    <xf numFmtId="0" fontId="4" fillId="0" borderId="0" xfId="0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2" fillId="14" borderId="0" xfId="0" applyFont="1" applyFill="1" applyAlignment="1">
      <alignment horizontal="center"/>
    </xf>
    <xf numFmtId="0" fontId="4" fillId="14" borderId="0" xfId="0" applyFont="1" applyFill="1"/>
    <xf numFmtId="0" fontId="7" fillId="0" borderId="0" xfId="0" applyFont="1" applyAlignment="1">
      <alignment horizontal="center"/>
    </xf>
    <xf numFmtId="0" fontId="7" fillId="0" borderId="0" xfId="0" applyFont="1"/>
    <xf numFmtId="176" fontId="7" fillId="0" borderId="0" xfId="0" applyNumberFormat="1" applyFont="1"/>
    <xf numFmtId="0" fontId="2" fillId="3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10" fillId="0" borderId="0" xfId="0" applyNumberFormat="1" applyFont="1"/>
    <xf numFmtId="0" fontId="10" fillId="0" borderId="0" xfId="0" applyFont="1"/>
    <xf numFmtId="0" fontId="8" fillId="8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104589</xdr:colOff>
      <xdr:row>32</xdr:row>
      <xdr:rowOff>29883</xdr:rowOff>
    </xdr:from>
    <xdr:to>
      <xdr:col>4</xdr:col>
      <xdr:colOff>201706</xdr:colOff>
      <xdr:row>51</xdr:row>
      <xdr:rowOff>160691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589" y="5939118"/>
          <a:ext cx="5169646" cy="35373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6"/>
  <sheetViews>
    <sheetView tabSelected="1" topLeftCell="Y1" zoomScale="85" zoomScaleNormal="85" workbookViewId="0">
      <pane ySplit="1" topLeftCell="A2" activePane="bottomLeft" state="frozen"/>
      <selection pane="bottomLeft" activeCell="AJ12" sqref="AJ12"/>
    </sheetView>
  </sheetViews>
  <sheetFormatPr defaultRowHeight="14" x14ac:dyDescent="0.3"/>
  <cols>
    <col min="1" max="1" width="14.33203125" style="6" customWidth="1"/>
    <col min="2" max="2" width="14.58203125" style="6" customWidth="1"/>
    <col min="3" max="4" width="18.83203125" style="6" customWidth="1"/>
    <col min="5" max="5" width="22.4140625" style="6" customWidth="1"/>
    <col min="6" max="6" width="33.1640625" style="6" customWidth="1"/>
    <col min="7" max="7" width="13.75" style="6" customWidth="1"/>
    <col min="8" max="8" width="12.5" style="6" customWidth="1"/>
    <col min="9" max="10" width="12.4140625" style="6" customWidth="1"/>
    <col min="11" max="11" width="15.58203125" style="6" customWidth="1"/>
    <col min="12" max="12" width="11.1640625" style="6" customWidth="1"/>
    <col min="13" max="13" width="13.25" style="6" customWidth="1"/>
    <col min="14" max="14" width="25.6640625" style="6" customWidth="1"/>
    <col min="15" max="15" width="20.75" style="6" customWidth="1"/>
    <col min="16" max="16" width="19" style="6" customWidth="1"/>
    <col min="17" max="17" width="35.6640625" style="6" customWidth="1"/>
    <col min="18" max="18" width="16.75" style="6" customWidth="1"/>
    <col min="19" max="19" width="13.25" style="6" customWidth="1"/>
    <col min="20" max="20" width="16.4140625" style="6" customWidth="1"/>
    <col min="21" max="21" width="30.75" style="6" customWidth="1"/>
    <col min="22" max="22" width="36.1640625" style="6" customWidth="1"/>
    <col min="23" max="23" width="26.83203125" style="6" customWidth="1"/>
    <col min="24" max="24" width="27.4140625" style="6" customWidth="1"/>
    <col min="25" max="25" width="26.58203125" style="6" customWidth="1"/>
    <col min="26" max="27" width="30.33203125" style="6" customWidth="1"/>
    <col min="28" max="31" width="1.58203125" style="6" customWidth="1"/>
    <col min="32" max="32" width="33.83203125" style="6" customWidth="1"/>
    <col min="33" max="33" width="31.9140625" style="6" customWidth="1"/>
    <col min="34" max="34" width="41" style="6" customWidth="1"/>
    <col min="35" max="35" width="8.6640625" style="6" customWidth="1"/>
    <col min="36" max="36" width="12.1640625" style="6" customWidth="1"/>
    <col min="37" max="37" width="16.6640625" style="6" customWidth="1"/>
    <col min="38" max="38" width="23.08203125" style="6" customWidth="1"/>
    <col min="39" max="16384" width="8.6640625" style="6"/>
  </cols>
  <sheetData>
    <row r="1" spans="1:38" ht="27.5" customHeight="1" x14ac:dyDescent="0.3">
      <c r="A1" s="1" t="s">
        <v>12</v>
      </c>
      <c r="B1" s="2" t="s">
        <v>5</v>
      </c>
      <c r="C1" s="3" t="s">
        <v>13</v>
      </c>
      <c r="D1" s="3" t="s">
        <v>14</v>
      </c>
      <c r="E1" s="2" t="s">
        <v>4</v>
      </c>
      <c r="F1" s="2" t="s">
        <v>30</v>
      </c>
      <c r="G1" s="2" t="s">
        <v>43</v>
      </c>
      <c r="H1" s="2" t="s">
        <v>8</v>
      </c>
      <c r="I1" s="14" t="s">
        <v>10</v>
      </c>
      <c r="J1" s="14" t="s">
        <v>11</v>
      </c>
      <c r="K1" s="14" t="s">
        <v>31</v>
      </c>
      <c r="L1" s="14" t="s">
        <v>32</v>
      </c>
      <c r="M1" s="14" t="s">
        <v>3</v>
      </c>
      <c r="N1" s="14" t="s">
        <v>35</v>
      </c>
      <c r="O1" s="2" t="s">
        <v>18</v>
      </c>
      <c r="P1" s="2" t="s">
        <v>2</v>
      </c>
      <c r="Q1" s="2" t="s">
        <v>9</v>
      </c>
      <c r="R1" s="3" t="s">
        <v>6</v>
      </c>
      <c r="S1" s="4" t="s">
        <v>0</v>
      </c>
      <c r="T1" s="4" t="s">
        <v>1</v>
      </c>
      <c r="U1" s="4" t="s">
        <v>7</v>
      </c>
      <c r="V1" s="4" t="s">
        <v>15</v>
      </c>
      <c r="W1" s="13" t="s">
        <v>17</v>
      </c>
      <c r="X1" s="13" t="s">
        <v>16</v>
      </c>
      <c r="Y1" s="12" t="s">
        <v>20</v>
      </c>
      <c r="Z1" s="12" t="s">
        <v>19</v>
      </c>
      <c r="AA1" s="12" t="s">
        <v>21</v>
      </c>
      <c r="AB1" s="17" t="s">
        <v>22</v>
      </c>
      <c r="AC1" s="17" t="s">
        <v>26</v>
      </c>
      <c r="AD1" s="17" t="s">
        <v>27</v>
      </c>
      <c r="AE1" s="17" t="s">
        <v>28</v>
      </c>
      <c r="AF1" s="13" t="s">
        <v>23</v>
      </c>
      <c r="AG1" s="13" t="s">
        <v>24</v>
      </c>
      <c r="AH1" s="5" t="s">
        <v>25</v>
      </c>
      <c r="AI1" s="26" t="s">
        <v>41</v>
      </c>
      <c r="AJ1" s="26" t="s">
        <v>42</v>
      </c>
      <c r="AK1" s="6" t="s">
        <v>64</v>
      </c>
      <c r="AL1" s="6" t="s">
        <v>65</v>
      </c>
    </row>
    <row r="2" spans="1:38" s="9" customFormat="1" x14ac:dyDescent="0.3">
      <c r="A2" s="9">
        <v>2</v>
      </c>
      <c r="B2" s="9">
        <f>60*$P$2/$A$2</f>
        <v>1500</v>
      </c>
      <c r="C2" s="9">
        <f>6.76*1000</f>
        <v>6760</v>
      </c>
      <c r="D2" s="9">
        <v>0</v>
      </c>
      <c r="E2" s="9">
        <v>3512</v>
      </c>
      <c r="F2" s="9">
        <v>1140</v>
      </c>
      <c r="G2" s="9">
        <f>E2/Usll</f>
        <v>3.0807017543859647</v>
      </c>
      <c r="H2" s="9">
        <f>1.414*Usll/1.732</f>
        <v>930.69284064665112</v>
      </c>
      <c r="I2" s="23">
        <v>8.0999999999999996E-3</v>
      </c>
      <c r="J2" s="23">
        <v>8.5000000000000006E-3</v>
      </c>
      <c r="K2" s="9">
        <f>K5/(2*3.1416*P2)</f>
        <v>1.9957983193277315E-4</v>
      </c>
      <c r="L2" s="9">
        <f>L5/(2*3.1416*P2)</f>
        <v>3.7210338680926922E-4</v>
      </c>
      <c r="M2" s="9">
        <f>M5/(2*3.1416*P2)</f>
        <v>1.4721797810033105E-2</v>
      </c>
      <c r="N2" s="24">
        <f>-1*F2*F2/K8</f>
        <v>-277236.17125669302</v>
      </c>
      <c r="O2" s="9">
        <v>1</v>
      </c>
      <c r="P2" s="9">
        <v>50</v>
      </c>
      <c r="Q2" s="25">
        <f>$H$2/2/3.14/$P$2/$M$2/1.414</f>
        <v>142.38573019408838</v>
      </c>
      <c r="R2" s="9">
        <v>1050</v>
      </c>
      <c r="S2" s="10">
        <f>($B$2-R2)/$B$2</f>
        <v>0.3</v>
      </c>
      <c r="T2" s="11">
        <f t="shared" ref="T2:T9" si="0">C2/(1-S2)</f>
        <v>9657.1428571428569</v>
      </c>
      <c r="U2" s="11">
        <f>T2*S2</f>
        <v>2897.1428571428569</v>
      </c>
      <c r="V2" s="11">
        <f>S2*$E$2</f>
        <v>1053.5999999999999</v>
      </c>
      <c r="W2" s="11">
        <f t="shared" ref="W2:W9" si="1">T2/1.5/(Xm__Xss*$H$2)</f>
        <v>7.0113088273904189</v>
      </c>
      <c r="X2" s="11">
        <f t="shared" ref="X2:X9" si="2">($D$2/1.5-$H$2^2/($M$2+$K$2)/2/3.14/$P$2)/(Xm__Xss*$H$2)</f>
        <v>-201.33342249444098</v>
      </c>
      <c r="Y2" s="11">
        <f>-$D$2/1.5/$H$2</f>
        <v>0</v>
      </c>
      <c r="Z2" s="11">
        <f>-T2/1.5/$H$2</f>
        <v>-6.917529561763911</v>
      </c>
      <c r="AA2" s="11">
        <f>(Y2^2+Z2^2)^0.5/1.414</f>
        <v>4.8921708357594849</v>
      </c>
      <c r="AB2" s="11">
        <f t="shared" ref="AB2:AB9" si="3">$J$2*W2-S2*$P$2*$A$2*($M$2*Y2+($L$2+$M$2)*X2) *2 *3.1416 / $A$2</f>
        <v>286.47048296294975</v>
      </c>
      <c r="AC2" s="11">
        <f t="shared" ref="AC2:AC9" si="4">$J$2*X2+S2*$P$2*$A$2*($M$2*Z2+($M$2+$L$2)*W2)*2 *3.1416 / $A$2</f>
        <v>-1.335328759569387</v>
      </c>
      <c r="AD2" s="11">
        <f>(AB2^2+AC2^2)^0.5</f>
        <v>286.47359513910146</v>
      </c>
      <c r="AE2" s="11">
        <f>AD2*$E$2/$F$2*1.732/1.414</f>
        <v>1081.0175196249313</v>
      </c>
      <c r="AF2" s="11">
        <f>(W2^2+X2^2)^0.5/1.414</f>
        <v>142.47204221814479</v>
      </c>
      <c r="AG2" s="11">
        <f t="shared" ref="AG2:AG9" si="5">AF2/TurnRatio</f>
        <v>46.246619626618759</v>
      </c>
      <c r="AH2" s="11">
        <f t="shared" ref="AH2:AH9" si="6">$O$2*U2/1.732/$F$2</f>
        <v>1.4672941013040683</v>
      </c>
      <c r="AI2" s="9">
        <f t="shared" ref="AI2:AI9" si="7">1.5*$A$2*$M$2*(W2*Y2-X2*Z2)</f>
        <v>-61.51046405823476</v>
      </c>
      <c r="AJ2" s="9">
        <f>C2/R2*9.55*-1</f>
        <v>-61.483809523809533</v>
      </c>
      <c r="AK2" s="9">
        <v>1000000</v>
      </c>
      <c r="AL2" s="9">
        <f>($AK$2^2-U2^2)^0.5</f>
        <v>999995.80327282636</v>
      </c>
    </row>
    <row r="3" spans="1:38" x14ac:dyDescent="0.3">
      <c r="C3" s="6">
        <v>327508</v>
      </c>
      <c r="R3" s="6">
        <v>1050</v>
      </c>
      <c r="S3" s="7">
        <f>($B$2-R3)/$B$2</f>
        <v>0.3</v>
      </c>
      <c r="T3" s="11">
        <f t="shared" si="0"/>
        <v>467868.57142857148</v>
      </c>
      <c r="U3" s="8">
        <f>T3*S3</f>
        <v>140360.57142857145</v>
      </c>
      <c r="V3" s="8">
        <f>S3*$E$2</f>
        <v>1053.5999999999999</v>
      </c>
      <c r="W3" s="11">
        <f t="shared" si="1"/>
        <v>339.68339222499731</v>
      </c>
      <c r="X3" s="11">
        <f t="shared" si="2"/>
        <v>-201.33342249444098</v>
      </c>
      <c r="Y3" s="11">
        <f t="shared" ref="Y3:Y9" si="8">-$D$2/1.5/$H$2</f>
        <v>0</v>
      </c>
      <c r="Z3" s="8">
        <f t="shared" ref="Z3:Z9" si="9">-T3/1.5/$H$2</f>
        <v>-335.13998102280704</v>
      </c>
      <c r="AA3" s="8">
        <f t="shared" ref="AA3:AA9" si="10">(Y3^2+Z3^2)^0.5/1.414</f>
        <v>237.01554527779848</v>
      </c>
      <c r="AB3" s="8">
        <f t="shared" si="3"/>
        <v>289.29819567182938</v>
      </c>
      <c r="AC3" s="8">
        <f t="shared" si="4"/>
        <v>16.505345517166937</v>
      </c>
      <c r="AD3" s="8">
        <f t="shared" ref="AD3:AD9" si="11">(AB3^2+AC3^2)^0.5</f>
        <v>289.76865332471203</v>
      </c>
      <c r="AE3" s="8">
        <f t="shared" ref="AE3:AE9" si="12">AD3*$E$2/$F$2*1.732/1.414</f>
        <v>1093.4515299046534</v>
      </c>
      <c r="AF3" s="11">
        <f t="shared" ref="AF3:AF9" si="13">(W3^2+X3^2)^0.5/1.414</f>
        <v>279.25530972366829</v>
      </c>
      <c r="AG3" s="11">
        <f t="shared" si="5"/>
        <v>90.646655206429912</v>
      </c>
      <c r="AH3" s="8">
        <f t="shared" si="6"/>
        <v>71.087360433416123</v>
      </c>
      <c r="AI3" s="6">
        <f t="shared" si="7"/>
        <v>-2980.0545950864434</v>
      </c>
      <c r="AJ3" s="9">
        <f t="shared" ref="AJ3:AJ9" si="14">C3/R3*9.55*-1</f>
        <v>-2978.7632380952382</v>
      </c>
      <c r="AL3" s="9">
        <f t="shared" ref="AL3:AL9" si="15">($AK$2^2-U3^2)^0.5</f>
        <v>990100.45449350483</v>
      </c>
    </row>
    <row r="4" spans="1:38" x14ac:dyDescent="0.3">
      <c r="C4" s="6">
        <v>445227</v>
      </c>
      <c r="K4" s="14" t="s">
        <v>33</v>
      </c>
      <c r="L4" s="14" t="s">
        <v>34</v>
      </c>
      <c r="M4" s="14" t="s">
        <v>38</v>
      </c>
      <c r="N4" s="22"/>
      <c r="O4" s="2" t="s">
        <v>39</v>
      </c>
      <c r="P4" s="2" t="s">
        <v>40</v>
      </c>
      <c r="R4" s="6">
        <v>1121</v>
      </c>
      <c r="S4" s="7">
        <f t="shared" ref="S4:S9" si="16">($B$2-R4)/$B$2</f>
        <v>0.25266666666666665</v>
      </c>
      <c r="T4" s="11">
        <f t="shared" si="0"/>
        <v>595754.23728813557</v>
      </c>
      <c r="U4" s="8">
        <f t="shared" ref="U4:U9" si="17">T4*S4</f>
        <v>150527.23728813557</v>
      </c>
      <c r="V4" s="8">
        <f t="shared" ref="V4:V9" si="18">S4*$E$2</f>
        <v>887.3653333333333</v>
      </c>
      <c r="W4" s="11">
        <f t="shared" si="1"/>
        <v>432.53134023631452</v>
      </c>
      <c r="X4" s="11">
        <f t="shared" si="2"/>
        <v>-201.33342249444098</v>
      </c>
      <c r="Y4" s="11">
        <f t="shared" si="8"/>
        <v>0</v>
      </c>
      <c r="Z4" s="8">
        <f t="shared" si="9"/>
        <v>-426.74604786845453</v>
      </c>
      <c r="AA4" s="8">
        <f t="shared" si="10"/>
        <v>301.80059962408382</v>
      </c>
      <c r="AB4" s="8">
        <f t="shared" si="3"/>
        <v>244.89812997327647</v>
      </c>
      <c r="AC4" s="8">
        <f t="shared" si="4"/>
        <v>17.824825003208225</v>
      </c>
      <c r="AD4" s="8">
        <f t="shared" si="11"/>
        <v>245.54595995618175</v>
      </c>
      <c r="AE4" s="8">
        <f t="shared" si="12"/>
        <v>926.57574411654332</v>
      </c>
      <c r="AF4" s="11">
        <f t="shared" si="13"/>
        <v>337.40722343715601</v>
      </c>
      <c r="AG4" s="11">
        <f t="shared" si="5"/>
        <v>109.52284587652559</v>
      </c>
      <c r="AH4" s="8">
        <f t="shared" si="6"/>
        <v>76.236395044839938</v>
      </c>
      <c r="AI4" s="6">
        <f t="shared" si="7"/>
        <v>-3794.6129763575514</v>
      </c>
      <c r="AJ4" s="9">
        <f t="shared" si="14"/>
        <v>-3792.968644067797</v>
      </c>
      <c r="AL4" s="9">
        <f t="shared" si="15"/>
        <v>988605.86222943338</v>
      </c>
    </row>
    <row r="5" spans="1:38" x14ac:dyDescent="0.3">
      <c r="C5" s="6">
        <v>850095</v>
      </c>
      <c r="K5" s="9">
        <v>6.2700000000000006E-2</v>
      </c>
      <c r="L5" s="9">
        <v>0.1169</v>
      </c>
      <c r="M5" s="9">
        <v>4.625</v>
      </c>
      <c r="N5" s="21"/>
      <c r="O5" s="6">
        <v>500</v>
      </c>
      <c r="P5" s="6">
        <v>1503</v>
      </c>
      <c r="R5" s="6">
        <v>1354</v>
      </c>
      <c r="S5" s="7">
        <f t="shared" si="16"/>
        <v>9.7333333333333327E-2</v>
      </c>
      <c r="T5" s="11">
        <f t="shared" si="0"/>
        <v>941759.60118168383</v>
      </c>
      <c r="U5" s="8">
        <f t="shared" si="17"/>
        <v>91664.601181683887</v>
      </c>
      <c r="V5" s="8">
        <f t="shared" si="18"/>
        <v>341.83466666666664</v>
      </c>
      <c r="W5" s="11">
        <f t="shared" si="1"/>
        <v>683.73922833304357</v>
      </c>
      <c r="X5" s="11">
        <f t="shared" si="2"/>
        <v>-201.33342249444098</v>
      </c>
      <c r="Y5" s="11">
        <f t="shared" si="8"/>
        <v>0</v>
      </c>
      <c r="Z5" s="8">
        <f t="shared" si="9"/>
        <v>-674.59392261457128</v>
      </c>
      <c r="AA5" s="8">
        <f t="shared" si="10"/>
        <v>477.08198204708015</v>
      </c>
      <c r="AB5" s="8">
        <f t="shared" si="3"/>
        <v>98.736204503799456</v>
      </c>
      <c r="AC5" s="8">
        <f t="shared" si="4"/>
        <v>10.185344970163786</v>
      </c>
      <c r="AD5" s="8">
        <f t="shared" si="11"/>
        <v>99.260159842594192</v>
      </c>
      <c r="AE5" s="8">
        <f t="shared" si="12"/>
        <v>374.56147306879478</v>
      </c>
      <c r="AF5" s="11">
        <f t="shared" si="13"/>
        <v>504.07735127475041</v>
      </c>
      <c r="AG5" s="11">
        <f t="shared" si="5"/>
        <v>163.62419716777208</v>
      </c>
      <c r="AH5" s="8">
        <f t="shared" si="6"/>
        <v>46.424679501278256</v>
      </c>
      <c r="AI5" s="6">
        <f t="shared" si="7"/>
        <v>-5998.4687973355649</v>
      </c>
      <c r="AJ5" s="9">
        <f t="shared" si="14"/>
        <v>-5995.8694608567212</v>
      </c>
      <c r="AL5" s="9">
        <f t="shared" si="15"/>
        <v>995789.93813464639</v>
      </c>
    </row>
    <row r="6" spans="1:38" x14ac:dyDescent="0.3">
      <c r="C6" s="6">
        <v>1167750</v>
      </c>
      <c r="R6" s="6">
        <v>1494</v>
      </c>
      <c r="S6" s="7">
        <f t="shared" si="16"/>
        <v>4.0000000000000001E-3</v>
      </c>
      <c r="T6" s="11">
        <f t="shared" si="0"/>
        <v>1172439.7590361445</v>
      </c>
      <c r="U6" s="8">
        <f t="shared" si="17"/>
        <v>4689.7590361445782</v>
      </c>
      <c r="V6" s="8">
        <f t="shared" si="18"/>
        <v>14.048</v>
      </c>
      <c r="W6" s="11">
        <f t="shared" si="1"/>
        <v>851.21835243780049</v>
      </c>
      <c r="X6" s="11">
        <f t="shared" si="2"/>
        <v>-201.33342249444098</v>
      </c>
      <c r="Y6" s="11">
        <f t="shared" si="8"/>
        <v>0</v>
      </c>
      <c r="Z6" s="8">
        <f t="shared" si="9"/>
        <v>-839.8329415331242</v>
      </c>
      <c r="AA6" s="8">
        <f t="shared" si="10"/>
        <v>593.94125992441604</v>
      </c>
      <c r="AB6" s="8">
        <f t="shared" si="3"/>
        <v>11.054167820226864</v>
      </c>
      <c r="AC6" s="8">
        <f t="shared" si="4"/>
        <v>-1.1026742878663225</v>
      </c>
      <c r="AD6" s="8">
        <f t="shared" si="11"/>
        <v>11.10902861562885</v>
      </c>
      <c r="AE6" s="8">
        <f t="shared" si="12"/>
        <v>41.92028432385996</v>
      </c>
      <c r="AF6" s="11">
        <f t="shared" si="13"/>
        <v>618.60284630247486</v>
      </c>
      <c r="AG6" s="11">
        <f t="shared" si="5"/>
        <v>200.79932938064391</v>
      </c>
      <c r="AH6" s="8">
        <f t="shared" si="6"/>
        <v>2.375186902953982</v>
      </c>
      <c r="AI6" s="6">
        <f t="shared" si="7"/>
        <v>-7467.7691658353151</v>
      </c>
      <c r="AJ6" s="9">
        <f t="shared" si="14"/>
        <v>-7464.5331325301204</v>
      </c>
      <c r="AL6" s="9">
        <f t="shared" si="15"/>
        <v>999989.00301962462</v>
      </c>
    </row>
    <row r="7" spans="1:38" s="18" customFormat="1" x14ac:dyDescent="0.3">
      <c r="C7" s="18">
        <v>1410650</v>
      </c>
      <c r="K7" s="14" t="s">
        <v>36</v>
      </c>
      <c r="L7" s="14" t="s">
        <v>37</v>
      </c>
      <c r="R7" s="18">
        <v>1587</v>
      </c>
      <c r="S7" s="19">
        <f t="shared" si="16"/>
        <v>-5.8000000000000003E-2</v>
      </c>
      <c r="T7" s="11">
        <f t="shared" si="0"/>
        <v>1333317.5803402646</v>
      </c>
      <c r="U7" s="20">
        <f t="shared" si="17"/>
        <v>-77332.419659735344</v>
      </c>
      <c r="V7" s="20">
        <f t="shared" si="18"/>
        <v>-203.696</v>
      </c>
      <c r="W7" s="11">
        <f t="shared" si="1"/>
        <v>968.01936753375333</v>
      </c>
      <c r="X7" s="11">
        <f t="shared" si="2"/>
        <v>-201.33342249444098</v>
      </c>
      <c r="Y7" s="20">
        <f t="shared" si="8"/>
        <v>0</v>
      </c>
      <c r="Z7" s="20">
        <f t="shared" si="9"/>
        <v>-955.07169290773913</v>
      </c>
      <c r="AA7" s="20">
        <f t="shared" si="10"/>
        <v>675.43966966601079</v>
      </c>
      <c r="AB7" s="20">
        <f t="shared" si="3"/>
        <v>-47.144606831293714</v>
      </c>
      <c r="AC7" s="20">
        <f t="shared" si="4"/>
        <v>-11.747912725383419</v>
      </c>
      <c r="AD7" s="20">
        <f t="shared" si="11"/>
        <v>48.586288257907619</v>
      </c>
      <c r="AE7" s="20">
        <f t="shared" si="12"/>
        <v>183.34195441238509</v>
      </c>
      <c r="AF7" s="20">
        <f t="shared" si="13"/>
        <v>699.2467255224002</v>
      </c>
      <c r="AG7" s="11">
        <f t="shared" si="5"/>
        <v>226.97644279485658</v>
      </c>
      <c r="AH7" s="20">
        <f t="shared" si="6"/>
        <v>-39.165967576139209</v>
      </c>
      <c r="AI7" s="18">
        <f t="shared" si="7"/>
        <v>-8492.4686645876736</v>
      </c>
      <c r="AJ7" s="9">
        <f t="shared" si="14"/>
        <v>-8488.7885948330186</v>
      </c>
      <c r="AL7" s="9">
        <f t="shared" si="15"/>
        <v>997005.36451393808</v>
      </c>
    </row>
    <row r="8" spans="1:38" x14ac:dyDescent="0.3">
      <c r="C8" s="6">
        <v>1831740</v>
      </c>
      <c r="K8" s="9">
        <f>M5+K5</f>
        <v>4.6877000000000004</v>
      </c>
      <c r="L8" s="9">
        <f>M5/K8</f>
        <v>0.98662457068498399</v>
      </c>
      <c r="R8" s="6">
        <v>1725</v>
      </c>
      <c r="S8" s="7">
        <f t="shared" si="16"/>
        <v>-0.15</v>
      </c>
      <c r="T8" s="11">
        <f t="shared" si="0"/>
        <v>1592817.3913043479</v>
      </c>
      <c r="U8" s="8">
        <f t="shared" si="17"/>
        <v>-238922.60869565216</v>
      </c>
      <c r="V8" s="8">
        <f t="shared" si="18"/>
        <v>-526.79999999999995</v>
      </c>
      <c r="W8" s="11">
        <f t="shared" si="1"/>
        <v>1156.422225628877</v>
      </c>
      <c r="X8" s="11">
        <f t="shared" si="2"/>
        <v>-201.33342249444098</v>
      </c>
      <c r="Y8" s="11">
        <f t="shared" si="8"/>
        <v>0</v>
      </c>
      <c r="Z8" s="8">
        <f t="shared" si="9"/>
        <v>-1140.9545818916642</v>
      </c>
      <c r="AA8" s="8">
        <f t="shared" si="10"/>
        <v>806.89857276638213</v>
      </c>
      <c r="AB8" s="8">
        <f t="shared" si="3"/>
        <v>-133.375854501113</v>
      </c>
      <c r="AC8" s="8">
        <f t="shared" si="4"/>
        <v>-32.719875660296331</v>
      </c>
      <c r="AD8" s="8">
        <f t="shared" si="11"/>
        <v>137.33065508883044</v>
      </c>
      <c r="AE8" s="8">
        <f t="shared" si="12"/>
        <v>518.22173719190084</v>
      </c>
      <c r="AF8" s="11">
        <f t="shared" si="13"/>
        <v>830.1396709570148</v>
      </c>
      <c r="AG8" s="11">
        <f t="shared" si="5"/>
        <v>269.4644717798966</v>
      </c>
      <c r="AH8" s="8">
        <f t="shared" si="6"/>
        <v>-121.00533238911113</v>
      </c>
      <c r="AI8" s="6">
        <f t="shared" si="7"/>
        <v>-10145.333702575463</v>
      </c>
      <c r="AJ8" s="9">
        <f t="shared" si="14"/>
        <v>-10140.937391304347</v>
      </c>
      <c r="AL8" s="9">
        <f t="shared" si="15"/>
        <v>971038.61254538398</v>
      </c>
    </row>
    <row r="9" spans="1:38" s="9" customFormat="1" x14ac:dyDescent="0.3">
      <c r="C9" s="9">
        <v>3000000</v>
      </c>
      <c r="R9" s="9">
        <v>1725</v>
      </c>
      <c r="S9" s="10">
        <f t="shared" si="16"/>
        <v>-0.15</v>
      </c>
      <c r="T9" s="11">
        <f t="shared" si="0"/>
        <v>2608695.6521739131</v>
      </c>
      <c r="U9" s="11">
        <f t="shared" si="17"/>
        <v>-391304.34782608697</v>
      </c>
      <c r="V9" s="11">
        <f t="shared" si="18"/>
        <v>-526.79999999999995</v>
      </c>
      <c r="W9" s="11">
        <f t="shared" si="1"/>
        <v>1893.97331329044</v>
      </c>
      <c r="X9" s="11">
        <f t="shared" si="2"/>
        <v>-201.33342249444098</v>
      </c>
      <c r="Y9" s="11">
        <f t="shared" si="8"/>
        <v>0</v>
      </c>
      <c r="Z9" s="11">
        <f t="shared" si="9"/>
        <v>-1868.640607113997</v>
      </c>
      <c r="AA9" s="11">
        <f t="shared" si="10"/>
        <v>1321.528010688824</v>
      </c>
      <c r="AB9" s="11">
        <f t="shared" si="3"/>
        <v>-127.10667025598971</v>
      </c>
      <c r="AC9" s="11">
        <f t="shared" si="4"/>
        <v>-52.4967210496579</v>
      </c>
      <c r="AD9" s="11">
        <f t="shared" si="11"/>
        <v>137.52094874792894</v>
      </c>
      <c r="AE9" s="11">
        <f t="shared" si="12"/>
        <v>518.9398165641345</v>
      </c>
      <c r="AF9" s="11">
        <f t="shared" si="13"/>
        <v>1346.9903388267714</v>
      </c>
      <c r="AG9" s="11">
        <f t="shared" si="5"/>
        <v>437.23490497224361</v>
      </c>
      <c r="AH9" s="11">
        <f t="shared" si="6"/>
        <v>-198.18096300093541</v>
      </c>
      <c r="AI9" s="9">
        <f t="shared" si="7"/>
        <v>-16615.895873719193</v>
      </c>
      <c r="AJ9" s="9">
        <f t="shared" si="14"/>
        <v>-16608.695652173916</v>
      </c>
      <c r="AL9" s="9">
        <f t="shared" si="15"/>
        <v>920261.32558768371</v>
      </c>
    </row>
    <row r="10" spans="1:38" x14ac:dyDescent="0.3">
      <c r="S10" s="7"/>
      <c r="T10" s="8"/>
      <c r="U10" s="8"/>
      <c r="V10" s="8"/>
      <c r="W10" s="8"/>
      <c r="X10" s="8"/>
      <c r="Y10" s="11"/>
      <c r="Z10" s="8"/>
      <c r="AA10" s="8"/>
      <c r="AB10" s="8"/>
      <c r="AC10" s="8"/>
      <c r="AD10" s="8"/>
      <c r="AE10" s="8"/>
      <c r="AF10" s="11"/>
      <c r="AG10" s="8"/>
      <c r="AH10" s="8"/>
    </row>
    <row r="11" spans="1:38" ht="14" customHeight="1" x14ac:dyDescent="0.3">
      <c r="A11" s="15"/>
      <c r="B11" s="16"/>
      <c r="C11" s="16"/>
      <c r="D11" s="16"/>
      <c r="E11" s="16"/>
      <c r="F11" s="16"/>
      <c r="G11" s="16"/>
      <c r="H11" s="16"/>
      <c r="S11" s="7"/>
      <c r="T11" s="8"/>
      <c r="U11" s="8"/>
      <c r="V11" s="8"/>
      <c r="W11" s="8"/>
      <c r="X11" s="8"/>
      <c r="Y11" s="11"/>
      <c r="Z11" s="8"/>
      <c r="AA11" s="8"/>
      <c r="AB11" s="8"/>
      <c r="AC11" s="8"/>
      <c r="AD11" s="8"/>
      <c r="AE11" s="8"/>
      <c r="AF11" s="11"/>
      <c r="AG11" s="8"/>
      <c r="AH11" s="8"/>
    </row>
    <row r="12" spans="1:38" s="9" customFormat="1" x14ac:dyDescent="0.3">
      <c r="A12" s="16"/>
      <c r="B12" s="16"/>
      <c r="C12" s="16"/>
      <c r="D12" s="16"/>
      <c r="E12" s="16"/>
      <c r="F12" s="16"/>
      <c r="G12" s="16"/>
      <c r="H12" s="16"/>
      <c r="S12" s="10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6"/>
      <c r="AJ12" s="6"/>
    </row>
    <row r="13" spans="1:38" s="9" customFormat="1" x14ac:dyDescent="0.3">
      <c r="A13" s="16"/>
      <c r="B13" s="16"/>
      <c r="C13" s="16"/>
      <c r="D13" s="16"/>
      <c r="E13" s="16"/>
      <c r="F13" s="16"/>
      <c r="G13" s="16"/>
      <c r="H13" s="16"/>
      <c r="S13" s="10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8" x14ac:dyDescent="0.3">
      <c r="A14" s="16"/>
      <c r="B14" s="16"/>
      <c r="C14" s="16"/>
      <c r="D14" s="16"/>
      <c r="E14" s="16"/>
      <c r="F14" s="16"/>
      <c r="G14" s="16"/>
      <c r="H14" s="16"/>
      <c r="S14" s="7"/>
      <c r="T14" s="8"/>
      <c r="U14" s="8"/>
      <c r="V14" s="8"/>
      <c r="W14" s="8"/>
      <c r="X14" s="8"/>
      <c r="Y14" s="11"/>
      <c r="Z14" s="8"/>
      <c r="AA14" s="8"/>
      <c r="AB14" s="8"/>
      <c r="AC14" s="8"/>
      <c r="AD14" s="8"/>
      <c r="AE14" s="8"/>
      <c r="AF14" s="11"/>
      <c r="AG14" s="8"/>
      <c r="AH14" s="8"/>
    </row>
    <row r="15" spans="1:38" x14ac:dyDescent="0.3">
      <c r="A15" s="16"/>
      <c r="B15" s="16"/>
      <c r="C15" s="16"/>
      <c r="D15" s="16"/>
      <c r="E15" s="16"/>
      <c r="F15" s="16"/>
      <c r="G15" s="16"/>
      <c r="H15" s="16"/>
      <c r="S15" s="7"/>
      <c r="T15" s="8"/>
      <c r="U15" s="8"/>
      <c r="V15" s="8"/>
      <c r="W15" s="8"/>
      <c r="X15" s="8"/>
      <c r="Y15" s="11"/>
      <c r="Z15" s="8"/>
      <c r="AA15" s="8"/>
      <c r="AB15" s="8"/>
      <c r="AC15" s="8"/>
      <c r="AD15" s="8"/>
      <c r="AE15" s="8"/>
      <c r="AF15" s="11"/>
      <c r="AG15" s="8"/>
      <c r="AH15" s="8"/>
    </row>
    <row r="16" spans="1:38" x14ac:dyDescent="0.3">
      <c r="A16" s="16"/>
      <c r="B16" s="16"/>
      <c r="C16" s="16"/>
      <c r="D16" s="16"/>
      <c r="E16" s="16"/>
      <c r="F16" s="16"/>
      <c r="G16" s="16"/>
      <c r="H16" s="16"/>
      <c r="S16" s="7"/>
      <c r="T16" s="8"/>
      <c r="U16" s="8"/>
      <c r="V16" s="8"/>
      <c r="W16" s="8"/>
      <c r="X16" s="8"/>
      <c r="Y16" s="11"/>
      <c r="Z16" s="8"/>
      <c r="AA16" s="8"/>
      <c r="AB16" s="8"/>
      <c r="AC16" s="8"/>
      <c r="AD16" s="8"/>
      <c r="AE16" s="8"/>
      <c r="AF16" s="11"/>
      <c r="AG16" s="8"/>
      <c r="AH16" s="8"/>
    </row>
    <row r="17" spans="1:34" x14ac:dyDescent="0.3">
      <c r="A17" s="16"/>
      <c r="B17" s="16"/>
      <c r="C17" s="16"/>
      <c r="D17" s="16"/>
      <c r="E17" s="16"/>
      <c r="F17" s="16"/>
      <c r="G17" s="16"/>
      <c r="H17" s="16"/>
      <c r="S17" s="7"/>
      <c r="T17" s="8"/>
      <c r="U17" s="8"/>
      <c r="V17" s="8"/>
      <c r="W17" s="8"/>
      <c r="X17" s="8"/>
      <c r="Y17" s="11"/>
      <c r="Z17" s="8"/>
      <c r="AA17" s="8"/>
      <c r="AB17" s="8"/>
      <c r="AC17" s="8"/>
      <c r="AD17" s="8"/>
      <c r="AE17" s="8"/>
      <c r="AF17" s="11"/>
      <c r="AG17" s="8"/>
      <c r="AH17" s="8"/>
    </row>
    <row r="18" spans="1:34" x14ac:dyDescent="0.3">
      <c r="A18" s="16"/>
      <c r="B18" s="16"/>
      <c r="C18" s="16"/>
      <c r="D18" s="16"/>
      <c r="E18" s="16"/>
      <c r="F18" s="16"/>
      <c r="G18" s="16"/>
      <c r="H18" s="16"/>
      <c r="S18" s="7"/>
      <c r="T18" s="8"/>
      <c r="U18" s="8"/>
      <c r="V18" s="8"/>
      <c r="W18" s="8"/>
      <c r="X18" s="8"/>
      <c r="Y18" s="11"/>
      <c r="Z18" s="8"/>
      <c r="AA18" s="8"/>
      <c r="AB18" s="8"/>
      <c r="AC18" s="8"/>
      <c r="AD18" s="8"/>
      <c r="AE18" s="8"/>
      <c r="AF18" s="11"/>
      <c r="AG18" s="8"/>
      <c r="AH18" s="8"/>
    </row>
    <row r="19" spans="1:34" x14ac:dyDescent="0.3">
      <c r="A19" s="16"/>
      <c r="B19" s="16"/>
      <c r="C19" s="16"/>
      <c r="D19" s="16"/>
      <c r="E19" s="16"/>
      <c r="F19" s="16"/>
      <c r="G19" s="16"/>
      <c r="H19" s="16"/>
      <c r="S19" s="7"/>
      <c r="T19" s="8"/>
      <c r="U19" s="8"/>
      <c r="V19" s="8"/>
      <c r="W19" s="8"/>
      <c r="X19" s="8"/>
      <c r="Y19" s="11"/>
      <c r="Z19" s="8"/>
      <c r="AA19" s="8"/>
      <c r="AB19" s="8"/>
      <c r="AC19" s="8"/>
      <c r="AD19" s="8"/>
      <c r="AE19" s="8"/>
      <c r="AF19" s="11"/>
      <c r="AG19" s="8"/>
      <c r="AH19" s="8"/>
    </row>
    <row r="20" spans="1:34" x14ac:dyDescent="0.3">
      <c r="A20" s="16"/>
      <c r="B20" s="16"/>
      <c r="C20" s="16"/>
      <c r="D20" s="16"/>
      <c r="E20" s="16"/>
      <c r="F20" s="16"/>
      <c r="G20" s="16"/>
      <c r="H20" s="16"/>
      <c r="S20" s="7"/>
      <c r="T20" s="8"/>
      <c r="U20" s="8"/>
      <c r="V20" s="8"/>
      <c r="W20" s="8"/>
      <c r="X20" s="8"/>
      <c r="Y20" s="11"/>
      <c r="Z20" s="8"/>
      <c r="AA20" s="8"/>
      <c r="AB20" s="8"/>
      <c r="AC20" s="8"/>
      <c r="AD20" s="8"/>
      <c r="AE20" s="8"/>
      <c r="AF20" s="11"/>
      <c r="AG20" s="8"/>
      <c r="AH20" s="8"/>
    </row>
    <row r="21" spans="1:34" x14ac:dyDescent="0.3">
      <c r="A21" s="16"/>
      <c r="B21" s="16"/>
      <c r="C21" s="16"/>
      <c r="D21" s="16"/>
      <c r="E21" s="16"/>
      <c r="F21" s="16"/>
      <c r="G21" s="16"/>
      <c r="H21" s="16"/>
      <c r="S21" s="7"/>
      <c r="T21" s="8"/>
      <c r="U21" s="8"/>
      <c r="V21" s="8"/>
      <c r="W21" s="8"/>
      <c r="X21" s="8"/>
      <c r="Y21" s="11"/>
      <c r="Z21" s="8"/>
      <c r="AA21" s="8"/>
      <c r="AB21" s="8"/>
      <c r="AC21" s="8"/>
      <c r="AD21" s="8"/>
      <c r="AE21" s="8"/>
      <c r="AF21" s="11"/>
      <c r="AG21" s="8"/>
      <c r="AH21" s="8"/>
    </row>
    <row r="22" spans="1:34" x14ac:dyDescent="0.3">
      <c r="A22" s="16"/>
      <c r="B22" s="16"/>
      <c r="C22" s="16"/>
      <c r="D22" s="16"/>
      <c r="E22" s="16"/>
      <c r="F22" s="16"/>
      <c r="G22" s="16"/>
      <c r="H22" s="16"/>
      <c r="S22" s="7"/>
      <c r="T22" s="8"/>
      <c r="U22" s="8"/>
      <c r="V22" s="8"/>
      <c r="W22" s="8"/>
      <c r="X22" s="8"/>
      <c r="Y22" s="11"/>
      <c r="Z22" s="8"/>
      <c r="AA22" s="8"/>
      <c r="AB22" s="8"/>
      <c r="AC22" s="8"/>
      <c r="AD22" s="8"/>
      <c r="AE22" s="8"/>
      <c r="AF22" s="11"/>
      <c r="AG22" s="8"/>
      <c r="AH22" s="8"/>
    </row>
    <row r="23" spans="1:34" x14ac:dyDescent="0.3">
      <c r="A23" s="40" t="s">
        <v>61</v>
      </c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S23" s="7"/>
      <c r="T23" s="8"/>
      <c r="U23" s="8"/>
      <c r="V23" s="8"/>
      <c r="W23" s="8"/>
      <c r="X23" s="8"/>
      <c r="Y23" s="11"/>
      <c r="Z23" s="8"/>
      <c r="AA23" s="8"/>
      <c r="AB23" s="8"/>
      <c r="AC23" s="8"/>
      <c r="AD23" s="8"/>
      <c r="AE23" s="8"/>
      <c r="AF23" s="11"/>
      <c r="AG23" s="8"/>
      <c r="AH23" s="8"/>
    </row>
    <row r="24" spans="1:34" x14ac:dyDescent="0.3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S24" s="7"/>
      <c r="T24" s="8"/>
      <c r="U24" s="8"/>
      <c r="V24" s="8"/>
      <c r="W24" s="8"/>
      <c r="X24" s="8"/>
      <c r="Y24" s="11"/>
      <c r="Z24" s="8"/>
      <c r="AA24" s="8"/>
      <c r="AB24" s="8"/>
      <c r="AC24" s="8"/>
      <c r="AD24" s="8"/>
      <c r="AE24" s="8"/>
      <c r="AF24" s="11"/>
      <c r="AG24" s="8"/>
      <c r="AH24" s="8"/>
    </row>
    <row r="25" spans="1:34" x14ac:dyDescent="0.3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S25" s="7"/>
      <c r="T25" s="8"/>
      <c r="U25" s="8"/>
      <c r="V25" s="8"/>
      <c r="W25" s="8"/>
      <c r="X25" s="8"/>
      <c r="Y25" s="11"/>
      <c r="Z25" s="8"/>
      <c r="AA25" s="8"/>
      <c r="AB25" s="8"/>
      <c r="AC25" s="8"/>
      <c r="AD25" s="8"/>
      <c r="AE25" s="8"/>
      <c r="AF25" s="11"/>
      <c r="AG25" s="8"/>
      <c r="AH25" s="8"/>
    </row>
    <row r="26" spans="1:34" x14ac:dyDescent="0.3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S26" s="7"/>
      <c r="T26" s="8"/>
      <c r="U26" s="8"/>
      <c r="V26" s="8"/>
      <c r="W26" s="8"/>
      <c r="X26" s="8"/>
      <c r="Y26" s="11"/>
      <c r="Z26" s="8"/>
      <c r="AA26" s="8"/>
      <c r="AB26" s="8"/>
      <c r="AC26" s="8"/>
      <c r="AD26" s="8"/>
      <c r="AE26" s="8"/>
      <c r="AF26" s="11"/>
      <c r="AG26" s="8"/>
      <c r="AH26" s="8"/>
    </row>
    <row r="27" spans="1:34" ht="14" customHeight="1" x14ac:dyDescent="0.3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S27" s="7"/>
      <c r="T27" s="8"/>
      <c r="U27" s="8"/>
      <c r="V27" s="8"/>
      <c r="W27" s="8"/>
      <c r="X27" s="8"/>
      <c r="Y27" s="11"/>
      <c r="Z27" s="8"/>
      <c r="AA27" s="8"/>
      <c r="AB27" s="8"/>
      <c r="AC27" s="8"/>
      <c r="AD27" s="8"/>
      <c r="AE27" s="8"/>
      <c r="AF27" s="11"/>
      <c r="AG27" s="8"/>
      <c r="AH27" s="8"/>
    </row>
    <row r="28" spans="1:34" ht="14" customHeight="1" x14ac:dyDescent="0.3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S28" s="7"/>
      <c r="T28" s="8"/>
      <c r="U28" s="8"/>
      <c r="V28" s="8"/>
      <c r="W28" s="8"/>
      <c r="X28" s="8"/>
      <c r="Y28" s="11"/>
      <c r="Z28" s="8"/>
      <c r="AA28" s="8"/>
      <c r="AB28" s="8"/>
      <c r="AC28" s="8"/>
      <c r="AD28" s="8"/>
      <c r="AE28" s="8"/>
      <c r="AF28" s="11"/>
      <c r="AG28" s="8"/>
      <c r="AH28" s="8"/>
    </row>
    <row r="29" spans="1:34" x14ac:dyDescent="0.3">
      <c r="A29" s="35" t="s">
        <v>44</v>
      </c>
      <c r="B29" s="35" t="s">
        <v>45</v>
      </c>
      <c r="C29" s="35" t="s">
        <v>46</v>
      </c>
      <c r="D29" s="35" t="s">
        <v>47</v>
      </c>
      <c r="E29" s="28" t="s">
        <v>62</v>
      </c>
      <c r="F29" s="28" t="s">
        <v>63</v>
      </c>
      <c r="G29" s="36" t="s">
        <v>48</v>
      </c>
      <c r="H29" s="37" t="s">
        <v>49</v>
      </c>
      <c r="I29" s="36" t="s">
        <v>50</v>
      </c>
      <c r="J29" s="29" t="s">
        <v>56</v>
      </c>
      <c r="K29" s="29" t="s">
        <v>51</v>
      </c>
      <c r="L29" s="29" t="s">
        <v>52</v>
      </c>
      <c r="M29" s="30" t="s">
        <v>55</v>
      </c>
      <c r="N29" s="30" t="s">
        <v>53</v>
      </c>
      <c r="O29" s="31" t="s">
        <v>54</v>
      </c>
      <c r="P29" s="32" t="s">
        <v>57</v>
      </c>
      <c r="Q29" s="32" t="s">
        <v>58</v>
      </c>
      <c r="R29" s="33" t="s">
        <v>59</v>
      </c>
      <c r="S29" s="34" t="s">
        <v>60</v>
      </c>
      <c r="T29" s="8"/>
      <c r="U29" s="8"/>
      <c r="V29" s="8"/>
      <c r="W29" s="8"/>
      <c r="X29" s="8"/>
      <c r="Y29" s="11"/>
      <c r="Z29" s="8"/>
      <c r="AA29" s="8"/>
      <c r="AB29" s="8"/>
      <c r="AC29" s="8"/>
      <c r="AD29" s="8"/>
      <c r="AE29" s="8"/>
      <c r="AF29" s="11"/>
      <c r="AG29" s="8"/>
      <c r="AH29" s="8"/>
    </row>
    <row r="30" spans="1:34" x14ac:dyDescent="0.3">
      <c r="A30" s="6">
        <f>N2</f>
        <v>-277236.17125669302</v>
      </c>
      <c r="B30" s="6">
        <f>IF(E30&lt;(F30+A30),E30,F30+A30)</f>
        <v>2723651.9571315828</v>
      </c>
      <c r="C30" s="6">
        <v>0</v>
      </c>
      <c r="D30" s="6">
        <f>IF(ISERR(H30),I30,       IF(I30&gt;H30,I30,H30))</f>
        <v>2967817.5519630481</v>
      </c>
      <c r="E30" s="6">
        <f>3*H2/1.414*P5</f>
        <v>2967817.5519630481</v>
      </c>
      <c r="F30" s="27">
        <f>3*H2/1.414*O5*TurnRatio*Xm__Xss</f>
        <v>3000888.1283882759</v>
      </c>
      <c r="G30" s="38">
        <f>(F30*F30-N2*N2-E30*E30)/(-2*N2)</f>
        <v>217375.39182266768</v>
      </c>
      <c r="H30" s="39">
        <f>SQRT(E30*E30-G30*G30)</f>
        <v>2959846.1042374959</v>
      </c>
      <c r="I30" s="39">
        <f>IF(E30&lt;F30,E30,F30)</f>
        <v>2967817.5519630481</v>
      </c>
      <c r="J30" s="6">
        <v>1000000</v>
      </c>
      <c r="K30" s="6">
        <f>IF(R30&lt;S30,R30,S30)</f>
        <v>2552132.9384746072</v>
      </c>
      <c r="L30" s="6">
        <f>N2</f>
        <v>-277236.17125669302</v>
      </c>
      <c r="M30" s="6">
        <v>1000000</v>
      </c>
      <c r="N30" s="6">
        <f>IF(P30&lt;Q30,P30,Q30)</f>
        <v>2715510.5085297003</v>
      </c>
      <c r="O30" s="6">
        <v>0</v>
      </c>
      <c r="P30" s="32">
        <f>SQRT(es*es - M30*M30)</f>
        <v>2794269.318040038</v>
      </c>
      <c r="Q30" s="32">
        <f>SQRT(er*er - (M30-N2)^2)</f>
        <v>2715510.5085297003</v>
      </c>
      <c r="R30" s="33">
        <f>SQRT(es*es - J30* J30)</f>
        <v>2794269.318040038</v>
      </c>
      <c r="S30" s="34">
        <f>SQRT(er*er -J30^2)+N2</f>
        <v>2552132.9384746072</v>
      </c>
      <c r="T30" s="8"/>
      <c r="U30" s="8"/>
      <c r="V30" s="8"/>
      <c r="W30" s="8"/>
      <c r="X30" s="8"/>
      <c r="Y30" s="11"/>
      <c r="Z30" s="8"/>
      <c r="AA30" s="8"/>
      <c r="AB30" s="8"/>
      <c r="AC30" s="8"/>
      <c r="AD30" s="8"/>
      <c r="AE30" s="8"/>
      <c r="AF30" s="11"/>
      <c r="AG30" s="8"/>
      <c r="AH30" s="8"/>
    </row>
    <row r="31" spans="1:34" x14ac:dyDescent="0.3">
      <c r="S31" s="7"/>
      <c r="T31" s="8"/>
      <c r="U31" s="8"/>
      <c r="V31" s="8"/>
      <c r="W31" s="8"/>
      <c r="X31" s="8"/>
      <c r="Y31" s="11"/>
      <c r="Z31" s="8"/>
      <c r="AA31" s="8"/>
      <c r="AB31" s="8"/>
      <c r="AC31" s="8"/>
      <c r="AD31" s="8"/>
      <c r="AE31" s="8"/>
      <c r="AF31" s="11"/>
      <c r="AG31" s="8"/>
      <c r="AH31" s="8"/>
    </row>
    <row r="32" spans="1:34" x14ac:dyDescent="0.3">
      <c r="S32" s="7"/>
      <c r="T32" s="8"/>
      <c r="U32" s="8"/>
      <c r="V32" s="8"/>
      <c r="W32" s="8"/>
      <c r="X32" s="8"/>
      <c r="Y32" s="11"/>
      <c r="Z32" s="8"/>
      <c r="AA32" s="8"/>
      <c r="AB32" s="8"/>
      <c r="AC32" s="8"/>
      <c r="AD32" s="8"/>
      <c r="AE32" s="8"/>
      <c r="AF32" s="11"/>
      <c r="AG32" s="8"/>
      <c r="AH32" s="8"/>
    </row>
    <row r="33" spans="19:34" x14ac:dyDescent="0.3">
      <c r="S33" s="7"/>
      <c r="T33" s="8"/>
      <c r="U33" s="8"/>
      <c r="V33" s="8"/>
      <c r="W33" s="8"/>
      <c r="X33" s="8"/>
      <c r="Y33" s="11"/>
      <c r="Z33" s="8"/>
      <c r="AA33" s="8"/>
      <c r="AB33" s="8"/>
      <c r="AC33" s="8"/>
      <c r="AD33" s="8"/>
      <c r="AE33" s="8"/>
      <c r="AF33" s="11"/>
      <c r="AG33" s="8"/>
      <c r="AH33" s="8"/>
    </row>
    <row r="34" spans="19:34" x14ac:dyDescent="0.3">
      <c r="S34" s="7"/>
      <c r="T34" s="8"/>
      <c r="U34" s="8"/>
      <c r="V34" s="8"/>
      <c r="W34" s="8"/>
      <c r="X34" s="8"/>
      <c r="Y34" s="11"/>
      <c r="Z34" s="8"/>
      <c r="AA34" s="8"/>
      <c r="AB34" s="8"/>
      <c r="AC34" s="8"/>
      <c r="AD34" s="8"/>
      <c r="AE34" s="8"/>
      <c r="AF34" s="11"/>
      <c r="AG34" s="8"/>
      <c r="AH34" s="8"/>
    </row>
    <row r="35" spans="19:34" x14ac:dyDescent="0.3">
      <c r="S35" s="7"/>
      <c r="T35" s="8"/>
      <c r="U35" s="8"/>
      <c r="V35" s="8"/>
      <c r="W35" s="8"/>
      <c r="X35" s="8"/>
      <c r="Y35" s="11"/>
      <c r="Z35" s="8"/>
      <c r="AA35" s="8"/>
      <c r="AB35" s="8"/>
      <c r="AC35" s="8"/>
      <c r="AD35" s="8"/>
      <c r="AE35" s="8"/>
      <c r="AF35" s="11"/>
      <c r="AG35" s="8"/>
      <c r="AH35" s="8"/>
    </row>
    <row r="36" spans="19:34" x14ac:dyDescent="0.3">
      <c r="S36" s="7"/>
      <c r="T36" s="8"/>
      <c r="U36" s="8"/>
      <c r="V36" s="8"/>
      <c r="W36" s="8"/>
      <c r="X36" s="8"/>
      <c r="Y36" s="11"/>
      <c r="Z36" s="8"/>
      <c r="AA36" s="8"/>
      <c r="AB36" s="8"/>
      <c r="AC36" s="8"/>
      <c r="AD36" s="8"/>
      <c r="AE36" s="8"/>
      <c r="AF36" s="11"/>
      <c r="AG36" s="8"/>
      <c r="AH36" s="8"/>
    </row>
    <row r="37" spans="19:34" x14ac:dyDescent="0.3">
      <c r="S37" s="7"/>
      <c r="T37" s="8"/>
      <c r="U37" s="8"/>
      <c r="V37" s="8"/>
      <c r="W37" s="8"/>
      <c r="X37" s="8"/>
      <c r="Y37" s="11"/>
      <c r="Z37" s="8"/>
      <c r="AA37" s="8"/>
      <c r="AB37" s="8"/>
      <c r="AC37" s="8"/>
      <c r="AD37" s="8"/>
      <c r="AE37" s="8"/>
      <c r="AF37" s="11"/>
      <c r="AG37" s="8"/>
      <c r="AH37" s="8"/>
    </row>
    <row r="38" spans="19:34" x14ac:dyDescent="0.3">
      <c r="S38" s="7"/>
      <c r="T38" s="8"/>
      <c r="U38" s="8"/>
      <c r="V38" s="8"/>
      <c r="W38" s="8"/>
      <c r="X38" s="8"/>
      <c r="Y38" s="11"/>
      <c r="Z38" s="8"/>
      <c r="AA38" s="8"/>
      <c r="AB38" s="8"/>
      <c r="AC38" s="8"/>
      <c r="AD38" s="8"/>
      <c r="AE38" s="8"/>
      <c r="AF38" s="11"/>
      <c r="AG38" s="8"/>
      <c r="AH38" s="8"/>
    </row>
    <row r="39" spans="19:34" x14ac:dyDescent="0.3">
      <c r="S39" s="7"/>
      <c r="T39" s="8"/>
      <c r="U39" s="8"/>
      <c r="V39" s="8"/>
      <c r="W39" s="8"/>
      <c r="X39" s="8"/>
      <c r="Y39" s="11"/>
      <c r="Z39" s="8"/>
      <c r="AA39" s="8"/>
      <c r="AB39" s="8"/>
      <c r="AC39" s="8"/>
      <c r="AD39" s="8"/>
      <c r="AE39" s="8"/>
      <c r="AF39" s="11"/>
      <c r="AG39" s="8"/>
      <c r="AH39" s="8"/>
    </row>
    <row r="40" spans="19:34" x14ac:dyDescent="0.3">
      <c r="S40" s="7"/>
      <c r="T40" s="8"/>
      <c r="U40" s="8"/>
      <c r="V40" s="8"/>
      <c r="W40" s="8"/>
      <c r="X40" s="8"/>
      <c r="Y40" s="11"/>
      <c r="Z40" s="8"/>
      <c r="AA40" s="8"/>
      <c r="AB40" s="8"/>
      <c r="AC40" s="8"/>
      <c r="AD40" s="8"/>
      <c r="AE40" s="8"/>
      <c r="AF40" s="11"/>
      <c r="AG40" s="8"/>
      <c r="AH40" s="8"/>
    </row>
    <row r="41" spans="19:34" x14ac:dyDescent="0.3">
      <c r="S41" s="7"/>
      <c r="T41" s="8"/>
      <c r="U41" s="8"/>
      <c r="V41" s="8"/>
      <c r="W41" s="8"/>
      <c r="X41" s="8"/>
      <c r="Y41" s="11"/>
      <c r="Z41" s="8"/>
      <c r="AA41" s="8"/>
      <c r="AB41" s="8"/>
      <c r="AC41" s="8"/>
      <c r="AD41" s="8"/>
      <c r="AE41" s="8"/>
      <c r="AF41" s="11"/>
      <c r="AG41" s="8"/>
      <c r="AH41" s="8"/>
    </row>
    <row r="42" spans="19:34" x14ac:dyDescent="0.3">
      <c r="S42" s="7"/>
      <c r="T42" s="8"/>
      <c r="U42" s="8"/>
      <c r="V42" s="8"/>
      <c r="W42" s="8"/>
      <c r="X42" s="8"/>
      <c r="Y42" s="11"/>
      <c r="Z42" s="8"/>
      <c r="AA42" s="8"/>
      <c r="AB42" s="8"/>
      <c r="AC42" s="8"/>
      <c r="AD42" s="8"/>
      <c r="AE42" s="8"/>
      <c r="AF42" s="11"/>
      <c r="AG42" s="8"/>
      <c r="AH42" s="8"/>
    </row>
    <row r="43" spans="19:34" s="9" customFormat="1" x14ac:dyDescent="0.3">
      <c r="S43" s="10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9:34" x14ac:dyDescent="0.3">
      <c r="S44" s="7"/>
      <c r="T44" s="8"/>
      <c r="U44" s="8"/>
      <c r="V44" s="8"/>
      <c r="W44" s="8"/>
      <c r="X44" s="8"/>
      <c r="Y44" s="11"/>
      <c r="Z44" s="8"/>
      <c r="AA44" s="8"/>
      <c r="AB44" s="8"/>
      <c r="AC44" s="8"/>
      <c r="AD44" s="8"/>
      <c r="AE44" s="8"/>
      <c r="AF44" s="11"/>
      <c r="AG44" s="8"/>
      <c r="AH44" s="8"/>
    </row>
    <row r="45" spans="19:34" x14ac:dyDescent="0.3">
      <c r="S45" s="7"/>
      <c r="T45" s="8"/>
      <c r="U45" s="8"/>
      <c r="V45" s="8"/>
      <c r="W45" s="8"/>
      <c r="X45" s="8"/>
      <c r="Y45" s="11"/>
      <c r="Z45" s="8"/>
      <c r="AA45" s="8"/>
      <c r="AB45" s="8"/>
      <c r="AC45" s="8"/>
      <c r="AD45" s="8"/>
      <c r="AE45" s="8"/>
      <c r="AF45" s="11"/>
      <c r="AG45" s="8"/>
      <c r="AH45" s="8"/>
    </row>
    <row r="46" spans="19:34" x14ac:dyDescent="0.3">
      <c r="S46" s="7"/>
      <c r="T46" s="8"/>
      <c r="U46" s="8"/>
      <c r="V46" s="8"/>
      <c r="W46" s="8"/>
      <c r="X46" s="8"/>
      <c r="Y46" s="11"/>
      <c r="Z46" s="8"/>
      <c r="AA46" s="8"/>
      <c r="AB46" s="8"/>
      <c r="AC46" s="8"/>
      <c r="AD46" s="8"/>
      <c r="AE46" s="8"/>
      <c r="AF46" s="11"/>
      <c r="AG46" s="8"/>
      <c r="AH46" s="8"/>
    </row>
    <row r="47" spans="19:34" x14ac:dyDescent="0.3">
      <c r="S47" s="7"/>
      <c r="T47" s="8"/>
      <c r="U47" s="8"/>
      <c r="V47" s="8"/>
      <c r="W47" s="8"/>
      <c r="X47" s="8"/>
      <c r="Y47" s="11"/>
      <c r="Z47" s="8"/>
      <c r="AA47" s="8"/>
      <c r="AB47" s="8"/>
      <c r="AC47" s="8"/>
      <c r="AD47" s="8"/>
      <c r="AE47" s="8"/>
      <c r="AF47" s="11"/>
      <c r="AG47" s="8"/>
      <c r="AH47" s="8"/>
    </row>
    <row r="48" spans="19:34" x14ac:dyDescent="0.3">
      <c r="S48" s="7"/>
      <c r="T48" s="8"/>
      <c r="U48" s="8"/>
      <c r="V48" s="8"/>
      <c r="W48" s="8"/>
      <c r="X48" s="8"/>
      <c r="Y48" s="11"/>
      <c r="Z48" s="8"/>
      <c r="AA48" s="8"/>
      <c r="AB48" s="8"/>
      <c r="AC48" s="8"/>
      <c r="AD48" s="8"/>
      <c r="AE48" s="8"/>
      <c r="AF48" s="11"/>
      <c r="AG48" s="8"/>
      <c r="AH48" s="8"/>
    </row>
    <row r="49" spans="19:34" x14ac:dyDescent="0.3">
      <c r="S49" s="7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9:34" x14ac:dyDescent="0.3">
      <c r="S50" s="7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9:34" x14ac:dyDescent="0.3">
      <c r="S51" s="7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9:34" x14ac:dyDescent="0.3">
      <c r="S52" s="7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9:34" x14ac:dyDescent="0.3">
      <c r="S53" s="7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9:34" x14ac:dyDescent="0.3">
      <c r="S54" s="7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9:34" x14ac:dyDescent="0.3">
      <c r="S55" s="7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9:34" x14ac:dyDescent="0.3">
      <c r="S56" s="7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</sheetData>
  <mergeCells count="1">
    <mergeCell ref="A23:O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cols>
    <col min="1" max="1" width="111.5" customWidth="1"/>
  </cols>
  <sheetData>
    <row r="1" spans="1:1" ht="70" x14ac:dyDescent="0.3">
      <c r="A1" s="15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软件</vt:lpstr>
      <vt:lpstr>说明</vt:lpstr>
      <vt:lpstr>er</vt:lpstr>
      <vt:lpstr>es</vt:lpstr>
      <vt:lpstr>Freq</vt:lpstr>
      <vt:lpstr>Llr</vt:lpstr>
      <vt:lpstr>Lls</vt:lpstr>
      <vt:lpstr>Lm</vt:lpstr>
      <vt:lpstr>pp</vt:lpstr>
      <vt:lpstr>TurnRatio</vt:lpstr>
      <vt:lpstr>Usll</vt:lpstr>
      <vt:lpstr>Xm</vt:lpstr>
      <vt:lpstr>Xm__Xss</vt:lpstr>
      <vt:lpstr>Xr</vt:lpstr>
      <vt:lpstr>Xs</vt:lpstr>
      <vt:lpstr>Xss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2021-03-23T08:50:00Z</dcterms:modified>
</cp:coreProperties>
</file>