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F:\GIT-HUB\SDPM-project\"/>
    </mc:Choice>
  </mc:AlternateContent>
  <xr:revisionPtr revIDLastSave="0" documentId="13_ncr:1_{95FA91A4-5FB2-4FCB-89EE-1D1BFDD4E640}" xr6:coauthVersionLast="47" xr6:coauthVersionMax="47" xr10:uidLastSave="{00000000-0000-0000-0000-000000000000}"/>
  <bookViews>
    <workbookView xWindow="-120" yWindow="-120" windowWidth="29040" windowHeight="16440" firstSheet="12" activeTab="14"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SUCESION" sheetId="8" r:id="rId7"/>
    <sheet name="DEPENDENCIA" sheetId="9" r:id="rId8"/>
    <sheet name="DERIVACION" sheetId="10" r:id="rId9"/>
    <sheet name="STATUS-ACCOUNTING-CIs" sheetId="14" r:id="rId10"/>
    <sheet name="STATUS-ACCOUNTING-BL" sheetId="15" r:id="rId11"/>
    <sheet name="TIPOS-DE-RELACIONES" sheetId="17" r:id="rId12"/>
    <sheet name="BASE-LINES" sheetId="16" r:id="rId13"/>
    <sheet name="POSIBLES-CIS" sheetId="11" r:id="rId14"/>
    <sheet name="POSIBLES-UBICACIONES" sheetId="12" r:id="rId15"/>
    <sheet name="Misc" sheetId="2" state="hidden" r:id="rId16"/>
  </sheets>
  <externalReferences>
    <externalReference r:id="rId17"/>
    <externalReference r:id="rId18"/>
  </externalReferences>
  <definedNames>
    <definedName name="bibliotecas">'[1]Posibles ubicaciones'!$C$6:$C$9</definedName>
    <definedName name="BinDivisor">'Overall Metrics'!$X$2</definedName>
    <definedName name="CINAME">'POSIBLES-CIS'!$D$4:$D$34</definedName>
    <definedName name="CIs">[2]ListaDePotencialesCIs!$D$5:$D$20</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ECs">[2]ListaDePotencialesCIs!$D$5:$D$35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4" i="3" l="1"/>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M3" i="1"/>
  <c r="M4" i="1"/>
  <c r="M5" i="1"/>
  <c r="M6" i="1"/>
  <c r="M7" i="1"/>
  <c r="M8" i="1"/>
  <c r="M9" i="1"/>
  <c r="B128" i="7"/>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<sst xmlns="http://schemas.openxmlformats.org/spreadsheetml/2006/main" count="526" uniqueCount="289">
  <si>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</si>
  <si>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</si>
  <si>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</si>
  <si>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</si>
  <si>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</si>
  <si>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</si>
  <si>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</si>
  <si>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</si>
  <si>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</si>
  <si>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</si>
  <si>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</si>
  <si>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</si>
  <si>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</si>
  <si>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</si>
  <si>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</si>
  <si>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</si>
  <si>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</si>
  <si>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</si>
  <si>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</si>
  <si>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</si>
  <si>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</si>
  <si>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</si>
  <si>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</si>
  <si>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</si>
  <si>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</si>
  <si>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</si>
  <si>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</si>
  <si>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</si>
  <si>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</si>
  <si>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</si>
  <si>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</si>
  <si>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</si>
  <si>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</si>
  <si>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</si>
  <si>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</si>
  <si>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</si>
  <si>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</si>
  <si>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</si>
  <si>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</si>
  <si>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</si>
  <si>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</si>
  <si>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</si>
  <si>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</si>
  <si>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</si>
  <si>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</si>
  <si>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</si>
  <si>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</si>
  <si>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</si>
  <si>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</si>
  <si>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</si>
  <si>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</si>
  <si>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</si>
  <si>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</si>
  <si>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</si>
  <si>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</si>
  <si>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</si>
  <si>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</si>
  <si>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</si>
  <si>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</si>
  <si>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</si>
  <si>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</si>
  <si>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</si>
  <si>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</si>
  <si>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</si>
  <si>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</si>
  <si>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</si>
  <si>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</si>
  <si>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</si>
  <si>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</si>
  <si>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</si>
  <si>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</si>
  <si>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</si>
  <si>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</si>
  <si>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</si>
  <si>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</si>
  <si>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</si>
  <si>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</si>
  <si>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</si>
  <si>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</si>
  <si>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</si>
  <si>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</si>
  <si>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</si>
  <si>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</si>
  <si>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</si>
  <si>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</si>
  <si>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</si>
  <si>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</si>
  <si>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</si>
  <si>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</si>
  <si>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</si>
  <si>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</si>
  <si>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</si>
  <si>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</si>
  <si>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</si>
  <si>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</si>
  <si>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</si>
  <si>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</si>
  <si>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</si>
  <si>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</si>
  <si>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</si>
  <si>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</si>
  <si>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</si>
  <si>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</si>
  <si>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</si>
  <si>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</si>
  <si>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</si>
  <si>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</si>
  <si>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</si>
  <si>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</si>
  <si>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</si>
  <si>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</si>
  <si>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</si>
  <si>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</si>
  <si>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</si>
  <si>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</si>
  <si>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</si>
  <si>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</si>
  <si>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</si>
  <si>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</si>
  <si>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</si>
  <si>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</si>
  <si>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</si>
  <si>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</si>
  <si>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</si>
  <si>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</si>
  <si>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</si>
  <si>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</si>
  <si>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</si>
  <si>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</si>
  <si>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</si>
  <si>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</si>
  <si>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</si>
  <si>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</si>
  <si>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</si>
  <si>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</si>
  <si>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</si>
  <si>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</si>
  <si>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</si>
  <si>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</si>
  <si>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</si>
  <si>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</si>
  <si>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</si>
  <si>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</si>
  <si>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</si>
  <si>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</si>
  <si>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</si>
  <si>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</si>
  <si>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</si>
  <si>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</si>
  <si>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</si>
  <si>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</si>
  <si>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</si>
  <si>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</si>
  <si>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</si>
  <si>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</si>
  <si>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</si>
  <si>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</si>
  <si>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</si>
  <si>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</si>
  <si>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</si>
  <si>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</si>
  <si>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</si>
  <si>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</si>
  <si>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</si>
  <si>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</si>
  <si>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</si>
  <si>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</si>
  <si>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</si>
  <si>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</si>
  <si>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</si>
  <si>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</si>
  <si>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</si>
  <si>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</si>
  <si>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</si>
  <si>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B</t>
  </si>
  <si>
    <t>255, 128, 128</t>
  </si>
  <si>
    <t>Sucesión</t>
  </si>
  <si>
    <t>Black</t>
  </si>
  <si>
    <t>E</t>
  </si>
  <si>
    <t>F</t>
  </si>
  <si>
    <t xml:space="preserve">A </t>
  </si>
  <si>
    <t>128, 255, 255</t>
  </si>
  <si>
    <t>Derivación</t>
  </si>
  <si>
    <t>D</t>
  </si>
  <si>
    <t>C</t>
  </si>
  <si>
    <t>128, 255, 128</t>
  </si>
  <si>
    <t>Dependencia</t>
  </si>
  <si>
    <t>Graph History</t>
  </si>
  <si>
    <t>G</t>
  </si>
  <si>
    <t>H</t>
  </si>
  <si>
    <t>I</t>
  </si>
  <si>
    <t>K</t>
  </si>
  <si>
    <t xml:space="preserve">L </t>
  </si>
  <si>
    <t xml:space="preserve">M </t>
  </si>
  <si>
    <t>N</t>
  </si>
  <si>
    <t>Ñ</t>
  </si>
  <si>
    <t xml:space="preserve">O </t>
  </si>
  <si>
    <t>P</t>
  </si>
  <si>
    <t>Q</t>
  </si>
  <si>
    <t>R</t>
  </si>
  <si>
    <t>S</t>
  </si>
  <si>
    <t>T</t>
  </si>
  <si>
    <t>U</t>
  </si>
  <si>
    <t>V</t>
  </si>
  <si>
    <t>W</t>
  </si>
  <si>
    <t xml:space="preserve">Y </t>
  </si>
  <si>
    <t>Z</t>
  </si>
  <si>
    <t>AA</t>
  </si>
  <si>
    <t>BB</t>
  </si>
  <si>
    <t>CC</t>
  </si>
  <si>
    <t>DD</t>
  </si>
  <si>
    <t>EE</t>
  </si>
  <si>
    <t>LayoutAlgorithm░The graph was laid out using the Sugiyama layout algorithm.▓GraphDirectedness░The graph is undirected.</t>
  </si>
  <si>
    <t>Código del CI</t>
  </si>
  <si>
    <t>Nombre del CI</t>
  </si>
  <si>
    <t>RELACIONES DE SUCESION</t>
  </si>
  <si>
    <t>Versión previa</t>
  </si>
  <si>
    <t>Version actual</t>
  </si>
  <si>
    <t>Fecha</t>
  </si>
  <si>
    <t>RELACIONES DE DEPENDENCIA</t>
  </si>
  <si>
    <t>La relación de dependencia es bidireccional</t>
  </si>
  <si>
    <t>Nombre del CI1</t>
  </si>
  <si>
    <t>Nombre del CI2</t>
  </si>
  <si>
    <t>RELACIONES DE DERIVACION</t>
  </si>
  <si>
    <t>CI2 deriva de CI1</t>
  </si>
  <si>
    <t xml:space="preserve">Posibles Ubicaciones </t>
  </si>
  <si>
    <t>Biblioteca de trabajo</t>
  </si>
  <si>
    <t>Biblioteca de integración</t>
  </si>
  <si>
    <t>Biblioteca de soporte</t>
  </si>
  <si>
    <t>Biblioteca de producción</t>
  </si>
  <si>
    <t>BIBLIOTECAS</t>
  </si>
  <si>
    <t>Informal elicitation</t>
  </si>
  <si>
    <t>UseCasesFirstDraft+HighLevelDescription</t>
  </si>
  <si>
    <t>TechnicalAndEconomicalOffer</t>
  </si>
  <si>
    <t>MethodologySelection</t>
  </si>
  <si>
    <t>FeasibilityAnalysis</t>
  </si>
  <si>
    <t>Feasibility review</t>
  </si>
  <si>
    <t>SCM Plan</t>
  </si>
  <si>
    <t>Quality Plan</t>
  </si>
  <si>
    <t>Use case model</t>
  </si>
  <si>
    <t>Use case model review</t>
  </si>
  <si>
    <t>SCM Plan Review</t>
  </si>
  <si>
    <t>Prioritization of use cases</t>
  </si>
  <si>
    <t>Prioritization of use cases review</t>
  </si>
  <si>
    <t>Definition of high-level use cases</t>
  </si>
  <si>
    <t>Definition of high-level use cases review</t>
  </si>
  <si>
    <t>Estimation</t>
  </si>
  <si>
    <t>Estimation review</t>
  </si>
  <si>
    <t>Planning</t>
  </si>
  <si>
    <t>Planning review</t>
  </si>
  <si>
    <t>Use cases in extended format-IT1</t>
  </si>
  <si>
    <t>Use cases in extended format review-IT1</t>
  </si>
  <si>
    <t>Conceptual model/Data model draft-IT1</t>
  </si>
  <si>
    <t>Conceptual model review/Data model draft review-IT1</t>
  </si>
  <si>
    <t>Operation Contracts-IT1</t>
  </si>
  <si>
    <t>Operation Contracts review-IT1</t>
  </si>
  <si>
    <t>Class diagram/Data model-IT1</t>
  </si>
  <si>
    <t>Class diagram review/Data model review-IT1</t>
  </si>
  <si>
    <t>Sequence diagrams/Wireframe model-IT1</t>
  </si>
  <si>
    <t>Sequence diagrams review/Wireframe model review-IT1</t>
  </si>
  <si>
    <t>Transition states diagram (optional)-IT1</t>
  </si>
  <si>
    <t>Transition states diagrams review (optional)-IT1</t>
  </si>
  <si>
    <t>Nombre Real del CI</t>
  </si>
  <si>
    <t>Descripción</t>
  </si>
  <si>
    <t>Fecha de creación</t>
  </si>
  <si>
    <t>Línea base a la que pertenece</t>
  </si>
  <si>
    <t>Tipo de CI</t>
  </si>
  <si>
    <t>Propietario (la persona que lo ha creado)</t>
  </si>
  <si>
    <t>Ubicación</t>
  </si>
  <si>
    <t>Elementos de configuración de las líneas base</t>
  </si>
  <si>
    <t>LINEA-BASE</t>
  </si>
  <si>
    <t>Analisis</t>
  </si>
  <si>
    <t>Diseño</t>
  </si>
  <si>
    <t>Codificación</t>
  </si>
  <si>
    <t>Pruebas</t>
  </si>
  <si>
    <t>Phase3
Instalación</t>
  </si>
  <si>
    <t>Phase2
Construcción</t>
  </si>
  <si>
    <t>Phase1
Planificación y especificación de requisitos</t>
  </si>
  <si>
    <t>Phase0
Gestión y Control</t>
  </si>
  <si>
    <t xml:space="preserve">Nombre de la línea base </t>
  </si>
  <si>
    <t>Elementos de configuración de que se compone</t>
  </si>
  <si>
    <t>LINEAS BASE CREADAS</t>
  </si>
  <si>
    <t>Vertices[Y]</t>
  </si>
  <si>
    <t>&lt;?xml version="1.0" encoding="utf-8"?&gt;_x000D_
&lt;configuration&gt;_x000D_
  &lt;configSections&gt;_x000D_
    &lt;sectionGroup name="userSettings" type="System.Configuration.UserSettingsGroup, System, Version=2.0.0.0, Culture=neutral, PublicKeyToken=b77a5c561934e089"&gt;_x000D_
      &lt;section name="DynamicFiltersUserSettings"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&lt;/sectionGroup&gt;_x000D_
  &lt;/configSections&gt;_x000D_
  &lt;userSettings&gt;_x000D_
    &lt;DynamicFiltersUserSettings&gt;_x000D_
      &lt;setting name="FilterNonNumericCells" serializeAs="String"&gt;_x000D_
        &lt;value&gt;False&lt;/value&gt;_x000D_
      &lt;/setting&gt;_x000D_
      &lt;setting name="FilteredAlpha" serializeAs="String"&gt;_x000D_
        &lt;value&gt;0&lt;/value&gt;_x000D_
      &lt;/setting&gt;_x000D_
    &lt;/DynamicFiltersUserSettings&gt;_x000D_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&lt;LayoutUserSettings&gt;_x000D_
      &lt;setting name="Layout" serializeAs="String"&gt;_x000D_
        &lt;value&gt;Sugiyama&lt;/value&gt;_x000D_
      &lt;/setting&gt;_x000D_
    &lt;/LayoutUserSettings&gt;_x000D_
  &lt;/userSettings&gt;_x000D_
&lt;/configuration&gt;</t>
  </si>
  <si>
    <t>Tipos de relaciones posibles</t>
  </si>
  <si>
    <t>Phase0 Gestión y control</t>
  </si>
  <si>
    <t>Phase1 Planificación y especificación de requisitos</t>
  </si>
  <si>
    <t>Phase2 Construcción</t>
  </si>
  <si>
    <t>Phase 3 Instalación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</si>
</sst>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8"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
      <sz val="11"/>
      <color theme="1"/>
      <name val="Calibri"/>
      <family val="2"/>
    </font>
    <font>
      <sz val="11"/>
      <color rgb="FFFF0000"/>
      <name val="Calibri"/>
      <family val="2"/>
    </font>
    <font>
      <b/>
      <sz val="14"/>
      <color theme="1"/>
      <name val="Calibri"/>
      <family val="2"/>
      <scheme val="minor"/>
    </font>
    <font>
      <sz val="14"/>
      <color theme="1"/>
      <name val="Calibri"/>
      <family val="2"/>
      <scheme val="minor"/>
    </font>
    <font>
      <sz val="11"/>
      <name val="Calibri"/>
      <family val="2"/>
      <scheme val="minor"/>
    </font>
    <font>
      <sz val="8"/>
      <name val="Calibri"/>
      <family val="2"/>
      <scheme val="minor"/>
    </font>
    <font>
      <sz val="11"/>
      <color theme="1"/>
      <name val="Calibri"/>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0">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theme="0"/>
      </left>
      <right/>
      <top style="thin">
        <color theme="0"/>
      </top>
      <bottom/>
      <diagonal/>
    </border>
    <border>
      <left style="thin">
        <color theme="0"/>
      </left>
      <right style="thin">
        <color theme="0"/>
      </right>
      <top/>
      <bottom style="thin">
        <color theme="0"/>
      </bottom>
      <diagonal/>
    </border>
    <border>
      <left style="thin">
        <color indexed="64"/>
      </left>
      <right style="thin">
        <color indexed="64"/>
      </right>
      <top style="thin">
        <color indexed="64"/>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36">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0"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0" fillId="5" borderId="0" xfId="0" applyFill="1"/>
    <xf numFmtId="0" fontId="5" fillId="5" borderId="1" xfId="4" applyNumberFormat="1" applyFont="1" applyAlignment="1">
      <alignment wrapText="1"/>
    </xf>
    <xf numFmtId="0" fontId="0" fillId="5" borderId="11" xfId="4" applyNumberFormat="1" applyFont="1" applyBorder="1" applyAlignment="1">
      <alignment wrapText="1"/>
    </xf>
    <xf numFmtId="1" fontId="0" fillId="5" borderId="11" xfId="4" applyNumberFormat="1" applyFont="1" applyBorder="1" applyAlignment="1">
      <alignment wrapText="1"/>
    </xf>
    <xf numFmtId="0" fontId="0" fillId="2" borderId="1" xfId="1" applyNumberFormat="1" applyFont="1"/>
    <xf numFmtId="1"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0" fillId="4" borderId="1" xfId="5" applyNumberFormat="1" applyFont="1" applyAlignment="1"/>
    <xf numFmtId="167" fontId="0" fillId="4" borderId="1" xfId="5" applyNumberFormat="1" applyFont="1" applyAlignment="1"/>
    <xf numFmtId="0" fontId="0" fillId="0" borderId="0" xfId="2" applyNumberFormat="1" applyFont="1"/>
    <xf numFmtId="0"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0" fillId="4" borderId="11" xfId="5" applyNumberFormat="1" applyFont="1" applyBorder="1" applyAlignment="1"/>
    <xf numFmtId="167" fontId="0"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0" fontId="0" fillId="0" borderId="13" xfId="0" applyBorder="1"/>
    <xf numFmtId="0" fontId="1" fillId="0" borderId="13" xfId="0" applyFont="1" applyBorder="1" applyAlignment="1">
      <alignment horizontal="center"/>
    </xf>
    <xf numFmtId="14" fontId="0" fillId="0" borderId="13" xfId="0" applyNumberFormat="1" applyBorder="1"/>
    <xf numFmtId="0" fontId="11" fillId="0" borderId="13" xfId="0" applyFont="1" applyBorder="1"/>
    <xf numFmtId="0" fontId="11" fillId="0" borderId="13" xfId="0" applyFont="1" applyBorder="1" applyAlignment="1">
      <alignment horizontal="left" vertical="center"/>
    </xf>
    <xf numFmtId="0" fontId="12" fillId="0" borderId="13" xfId="0" applyFont="1" applyBorder="1" applyAlignment="1">
      <alignment horizontal="left" vertical="center"/>
    </xf>
    <xf numFmtId="0" fontId="1" fillId="0" borderId="13" xfId="0" applyFont="1" applyBorder="1" applyAlignment="1">
      <alignment horizontal="center" wrapText="1"/>
    </xf>
    <xf numFmtId="49" fontId="0" fillId="0" borderId="13" xfId="0" applyNumberFormat="1" applyBorder="1"/>
    <xf numFmtId="0" fontId="13" fillId="0" borderId="13" xfId="0" applyFont="1" applyBorder="1" applyAlignment="1">
      <alignment horizontal="center"/>
    </xf>
    <xf numFmtId="0" fontId="14" fillId="0" borderId="13" xfId="0" applyFont="1" applyBorder="1"/>
    <xf numFmtId="0" fontId="15" fillId="0" borderId="13" xfId="0" applyFont="1" applyBorder="1" applyAlignment="1">
      <alignment horizontal="left" vertical="center"/>
    </xf>
    <xf numFmtId="0" fontId="14" fillId="0" borderId="13" xfId="0" applyFont="1" applyBorder="1" applyAlignment="1">
      <alignment horizontal="left" indent="2"/>
    </xf>
    <xf numFmtId="0" fontId="14" fillId="0" borderId="16" xfId="0" applyFont="1" applyBorder="1"/>
    <xf numFmtId="0" fontId="13" fillId="0" borderId="13" xfId="0" applyFont="1" applyBorder="1" applyAlignment="1">
      <alignment horizontal="center" wrapText="1"/>
    </xf>
    <xf numFmtId="49" fontId="1" fillId="0" borderId="13" xfId="0" applyNumberFormat="1" applyFont="1" applyBorder="1" applyAlignment="1">
      <alignment wrapText="1"/>
    </xf>
    <xf numFmtId="0" fontId="13" fillId="0" borderId="13" xfId="0" applyFont="1" applyBorder="1" applyAlignment="1">
      <alignment horizontal="center"/>
    </xf>
    <xf numFmtId="0" fontId="13" fillId="0" borderId="14" xfId="0" applyFont="1" applyBorder="1" applyAlignment="1">
      <alignment horizontal="center" wrapText="1"/>
    </xf>
    <xf numFmtId="0" fontId="13" fillId="0" borderId="15" xfId="0" applyFont="1" applyBorder="1" applyAlignment="1">
      <alignment horizontal="center"/>
    </xf>
    <xf numFmtId="0" fontId="0" fillId="5" borderId="17" xfId="4" applyNumberFormat="1" applyFont="1" applyBorder="1"/>
    <xf numFmtId="0" fontId="6" fillId="6" borderId="10" xfId="6" applyNumberFormat="1" applyBorder="1"/>
    <xf numFmtId="0" fontId="6" fillId="6" borderId="12" xfId="6" applyNumberFormat="1" applyBorder="1"/>
    <xf numFmtId="49" fontId="6" fillId="6" borderId="11" xfId="6" applyNumberFormat="1" applyBorder="1" applyAlignment="1">
      <alignment wrapText="1"/>
    </xf>
    <xf numFmtId="49" fontId="6" fillId="6" borderId="18" xfId="6" applyNumberFormat="1" applyBorder="1"/>
    <xf numFmtId="49" fontId="6" fillId="6" borderId="13" xfId="6" applyNumberFormat="1" applyBorder="1" applyAlignment="1">
      <alignment wrapText="1"/>
    </xf>
    <xf numFmtId="49" fontId="6" fillId="6" borderId="13" xfId="6" applyNumberFormat="1" applyBorder="1"/>
    <xf numFmtId="0" fontId="0" fillId="0" borderId="13" xfId="0" applyBorder="1" applyAlignment="1">
      <alignment wrapText="1"/>
    </xf>
    <xf numFmtId="0" fontId="0" fillId="2" borderId="8" xfId="1" applyNumberFormat="1" applyFont="1" applyBorder="1" applyAlignment="1">
      <alignment wrapText="1"/>
    </xf>
    <xf numFmtId="0" fontId="0" fillId="2" borderId="8" xfId="1" applyNumberFormat="1" applyFont="1" applyBorder="1"/>
    <xf numFmtId="0" fontId="0" fillId="0" borderId="13" xfId="2" applyNumberFormat="1" applyFont="1" applyBorder="1" applyAlignment="1">
      <alignment wrapText="1"/>
    </xf>
    <xf numFmtId="0" fontId="0" fillId="0" borderId="13" xfId="2" applyNumberFormat="1" applyFont="1" applyBorder="1"/>
    <xf numFmtId="49" fontId="0" fillId="0" borderId="19" xfId="3" applyNumberFormat="1" applyFont="1" applyBorder="1"/>
    <xf numFmtId="164" fontId="0" fillId="5" borderId="11" xfId="4" applyNumberFormat="1" applyFont="1" applyBorder="1" applyAlignment="1">
      <alignment wrapText="1"/>
    </xf>
    <xf numFmtId="0" fontId="6" fillId="6" borderId="11" xfId="6" applyNumberFormat="1" applyBorder="1" applyAlignment="1">
      <alignment wrapText="1"/>
    </xf>
    <xf numFmtId="1" fontId="17" fillId="4" borderId="11" xfId="5" applyNumberFormat="1" applyFont="1" applyBorder="1" applyAlignment="1"/>
    <xf numFmtId="167" fontId="17" fillId="4" borderId="11" xfId="5" applyNumberFormat="1" applyFont="1" applyBorder="1" applyAlignment="1"/>
    <xf numFmtId="49" fontId="0" fillId="0" borderId="0" xfId="0" applyNumberFormat="1" applyBorder="1"/>
    <xf numFmtId="49" fontId="0" fillId="0" borderId="13" xfId="0" applyNumberFormat="1" applyBorder="1" applyAlignment="1">
      <alignment wrapText="1"/>
    </xf>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alignment horizontal="general" vertical="bottom" textRotation="0" wrapText="1" indent="0" justifyLastLine="0" shrinkToFit="0" readingOrder="0"/>
    </dxf>
    <dxf>
      <numFmt numFmtId="0" formatCode="General"/>
    </dxf>
    <dxf>
      <numFmt numFmtId="30" formatCode="@"/>
    </dxf>
    <dxf>
      <numFmt numFmtId="0" formatCode="General"/>
    </dxf>
    <dxf>
      <numFmt numFmtId="0" formatCode="General"/>
    </dxf>
    <dxf>
      <numFmt numFmtId="1" formatCode="0"/>
    </dxf>
    <dxf>
      <numFmt numFmtId="164" formatCode="0.0"/>
      <alignment horizontal="general" vertical="bottom" textRotation="0" wrapText="1" indent="0" justifyLastLine="0" shrinkToFit="0" readingOrder="0"/>
    </dxf>
    <dxf>
      <numFmt numFmtId="0" formatCode="General"/>
      <border diagonalUp="0" diagonalDown="0">
        <left style="thin">
          <color theme="0"/>
        </left>
        <right style="thin">
          <color theme="0"/>
        </right>
        <top style="thin">
          <color theme="0"/>
        </top>
        <bottom/>
        <vertical/>
        <horizontal/>
      </border>
    </dxf>
    <dxf>
      <numFmt numFmtId="0" formatCode="General"/>
    </dxf>
    <dxf>
      <numFmt numFmtId="30" formatCode="@"/>
      <border diagonalUp="0" diagonalDown="0">
        <left style="thin">
          <color indexed="64"/>
        </left>
        <right style="thin">
          <color indexed="64"/>
        </right>
        <top style="thin">
          <color indexed="64"/>
        </top>
        <bottom style="thin">
          <color indexed="64"/>
        </bottom>
        <vertical/>
        <horizontal/>
      </border>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fill>
        <patternFill patternType="solid">
          <fgColor indexed="64"/>
          <bgColor theme="4" tint="0.79998168889431442"/>
        </patternFill>
      </fill>
      <alignment horizontal="general" vertical="bottom" textRotation="0" wrapText="1" indent="0" justifyLastLine="0" shrinkToFit="0" readingOrder="0"/>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22"/>
      <tableStyleElement type="headerRow" dxfId="121"/>
    </tableStyle>
    <tableStyle name="NodeXL Table" pivot="0" count="1" xr9:uid="{00000000-0011-0000-FFFF-FFFF01000000}">
      <tableStyleElement type="headerRow" dxfId="1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openxmlformats.org/officeDocument/2006/relationships/customXml" Target="../customXml/item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5F24-4F18-9512-849FC7E809D8}"/>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5E1-4B21-819F-159ED61C507E}"/>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95D-456C-BC86-4C143A0D3F1D}"/>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19FC-4A22-AD59-FD0BF05B88F9}"/>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529-4FA8-A8B0-A4CAE38FCB38}"/>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D3FF-4C8D-A07A-63909455C68F}"/>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474-43A0-A17F-746D3F884B06}"/>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7A8-4FC2-8F97-F987A279F29C}"/>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2</c:v>
                </c:pt>
              </c:strCache>
            </c:strRef>
          </c:tx>
          <c:spPr>
            <a:solidFill>
              <a:schemeClr val="accent1"/>
            </a:solidFill>
          </c:spPr>
          <c:invertIfNegative val="0"/>
          <c:cat>
            <c:numRef>
              <c:f>'Overall Metrics'!$T$2:$T$45</c:f>
              <c:numCache>
                <c:formatCode>#,##0.00</c:formatCode>
                <c:ptCount val="44"/>
                <c:pt idx="0">
                  <c:v>1960.4769287109375</c:v>
                </c:pt>
                <c:pt idx="1">
                  <c:v>2106.2675951580668</c:v>
                </c:pt>
                <c:pt idx="2">
                  <c:v>2252.0582616051961</c:v>
                </c:pt>
                <c:pt idx="3">
                  <c:v>2397.8489280523254</c:v>
                </c:pt>
                <c:pt idx="4">
                  <c:v>2543.6395944994547</c:v>
                </c:pt>
                <c:pt idx="5">
                  <c:v>2689.430260946584</c:v>
                </c:pt>
                <c:pt idx="6">
                  <c:v>2835.2209273937133</c:v>
                </c:pt>
                <c:pt idx="7">
                  <c:v>2981.0115938408426</c:v>
                </c:pt>
                <c:pt idx="8">
                  <c:v>3126.8022602879719</c:v>
                </c:pt>
                <c:pt idx="9">
                  <c:v>3272.5929267351012</c:v>
                </c:pt>
                <c:pt idx="10">
                  <c:v>3418.3835931822305</c:v>
                </c:pt>
                <c:pt idx="11">
                  <c:v>3564.1742596293598</c:v>
                </c:pt>
                <c:pt idx="12">
                  <c:v>3709.9649260764891</c:v>
                </c:pt>
                <c:pt idx="13">
                  <c:v>3855.7555925236184</c:v>
                </c:pt>
                <c:pt idx="14">
                  <c:v>4001.5462589707477</c:v>
                </c:pt>
                <c:pt idx="15">
                  <c:v>4147.336925417877</c:v>
                </c:pt>
                <c:pt idx="16">
                  <c:v>4293.1275918650063</c:v>
                </c:pt>
                <c:pt idx="17">
                  <c:v>4438.9182583121355</c:v>
                </c:pt>
                <c:pt idx="18">
                  <c:v>4584.7089247592648</c:v>
                </c:pt>
                <c:pt idx="19">
                  <c:v>4730.4995912063941</c:v>
                </c:pt>
                <c:pt idx="20">
                  <c:v>4876.2902576535234</c:v>
                </c:pt>
                <c:pt idx="21">
                  <c:v>5022.0809241006527</c:v>
                </c:pt>
                <c:pt idx="22">
                  <c:v>5167.871590547782</c:v>
                </c:pt>
                <c:pt idx="23">
                  <c:v>5313.6622569949113</c:v>
                </c:pt>
                <c:pt idx="24">
                  <c:v>5459.4529234420406</c:v>
                </c:pt>
                <c:pt idx="25">
                  <c:v>5605.2435898891699</c:v>
                </c:pt>
                <c:pt idx="26">
                  <c:v>5751.0342563362992</c:v>
                </c:pt>
                <c:pt idx="27">
                  <c:v>5896.8249227834285</c:v>
                </c:pt>
                <c:pt idx="28">
                  <c:v>6042.6155892305578</c:v>
                </c:pt>
                <c:pt idx="29">
                  <c:v>6188.4062556776871</c:v>
                </c:pt>
                <c:pt idx="30">
                  <c:v>6334.1969221248164</c:v>
                </c:pt>
                <c:pt idx="31">
                  <c:v>6479.9875885719457</c:v>
                </c:pt>
                <c:pt idx="32">
                  <c:v>6625.778255019075</c:v>
                </c:pt>
                <c:pt idx="33">
                  <c:v>6771.5689214662043</c:v>
                </c:pt>
                <c:pt idx="34">
                  <c:v>6917.3595879133336</c:v>
                </c:pt>
                <c:pt idx="35">
                  <c:v>7063.1502543604629</c:v>
                </c:pt>
                <c:pt idx="36">
                  <c:v>7208.9409208075922</c:v>
                </c:pt>
                <c:pt idx="37">
                  <c:v>7354.7315872547215</c:v>
                </c:pt>
                <c:pt idx="38">
                  <c:v>7500.5222537018508</c:v>
                </c:pt>
                <c:pt idx="39">
                  <c:v>7646.3129201489801</c:v>
                </c:pt>
                <c:pt idx="40">
                  <c:v>7792.1035865961094</c:v>
                </c:pt>
                <c:pt idx="41">
                  <c:v>7937.8942530432387</c:v>
                </c:pt>
                <c:pt idx="42">
                  <c:v>8083.684919490368</c:v>
                </c:pt>
                <c:pt idx="43">
                  <c:v>8229.4755859375</c:v>
                </c:pt>
              </c:numCache>
            </c:numRef>
          </c:cat>
          <c:val>
            <c:numRef>
              <c:f>'Overall Metrics'!$U$2:$U$45</c:f>
              <c:numCache>
                <c:formatCode>General</c:formatCode>
                <c:ptCount val="44"/>
                <c:pt idx="0">
                  <c:v>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c:v>
                </c:pt>
                <c:pt idx="42">
                  <c:v>0</c:v>
                </c:pt>
                <c:pt idx="43">
                  <c:v>1</c:v>
                </c:pt>
              </c:numCache>
            </c:numRef>
          </c:val>
          <c:extLst>
            <c:ext xmlns:c16="http://schemas.microsoft.com/office/drawing/2014/chart" uri="{C3380CC4-5D6E-409C-BE32-E72D297353CC}">
              <c16:uniqueId val="{00000000-699F-498C-B707-E70EC6C059E3}"/>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F:\GIT-HUB\SDPM-project\CIs.xlsx" TargetMode="External"/><Relationship Id="rId1" Type="http://schemas.openxmlformats.org/officeDocument/2006/relationships/externalLinkPath" Target="CI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F:\DiscoMaribel\misanche\DOCENCIA\DireccionDeproyectosDesarrolloSoftware\TEMARIO\TEMA6-SCM\INGLES\ejemplificacion-relaciones-grafos\relationships%20-%20prueba.xlsx" TargetMode="External"/><Relationship Id="rId1" Type="http://schemas.openxmlformats.org/officeDocument/2006/relationships/externalLinkPath" Target="/DiscoMaribel/misanche/DOCENCIA/DireccionDeproyectosDesarrolloSoftware/TEMARIO/TEMA6-SCM/INGLES/ejemplificacion-relaciones-grafos/relationships%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ATUS ACCOUNTING CIs"/>
      <sheetName val="CIS"/>
      <sheetName val="Posibles ubicaciones"/>
    </sheetNames>
    <sheetDataSet>
      <sheetData sheetId="0"/>
      <sheetData sheetId="1"/>
      <sheetData sheetId="2">
        <row r="6">
          <cell r="C6" t="str">
            <v>Biblioteca de trabajo</v>
          </cell>
        </row>
        <row r="7">
          <cell r="C7" t="str">
            <v>Biblioteca de integración</v>
          </cell>
        </row>
        <row r="8">
          <cell r="C8" t="str">
            <v>Biblioteca de soporte</v>
          </cell>
        </row>
        <row r="9">
          <cell r="C9" t="str">
            <v>Biblioteca de producción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cesión"/>
      <sheetName val="Derivación"/>
      <sheetName val="Dependencia"/>
      <sheetName val="ListaDePotencialesCIs"/>
    </sheetNames>
    <sheetDataSet>
      <sheetData sheetId="0"/>
      <sheetData sheetId="1"/>
      <sheetData sheetId="2"/>
      <sheetData sheetId="3">
        <row r="5">
          <cell r="D5" t="str">
            <v xml:space="preserve">A </v>
          </cell>
        </row>
        <row r="6">
          <cell r="D6" t="str">
            <v>B</v>
          </cell>
        </row>
        <row r="7">
          <cell r="D7" t="str">
            <v>C</v>
          </cell>
        </row>
        <row r="8">
          <cell r="D8" t="str">
            <v>D</v>
          </cell>
        </row>
        <row r="9">
          <cell r="D9" t="str">
            <v>E</v>
          </cell>
        </row>
        <row r="10">
          <cell r="D10" t="str">
            <v>F</v>
          </cell>
        </row>
        <row r="11">
          <cell r="D11" t="str">
            <v>G</v>
          </cell>
        </row>
        <row r="12">
          <cell r="D12" t="str">
            <v>H</v>
          </cell>
        </row>
        <row r="13">
          <cell r="D13" t="str">
            <v>I</v>
          </cell>
        </row>
        <row r="14">
          <cell r="D14" t="str">
            <v>K</v>
          </cell>
        </row>
        <row r="15">
          <cell r="D15" t="str">
            <v xml:space="preserve">L </v>
          </cell>
        </row>
        <row r="16">
          <cell r="D16" t="str">
            <v xml:space="preserve">M </v>
          </cell>
        </row>
        <row r="17">
          <cell r="D17" t="str">
            <v>N</v>
          </cell>
        </row>
        <row r="18">
          <cell r="D18" t="str">
            <v>Ñ</v>
          </cell>
        </row>
        <row r="19">
          <cell r="D19" t="str">
            <v xml:space="preserve">O </v>
          </cell>
        </row>
        <row r="20">
          <cell r="D20" t="str">
            <v>P</v>
          </cell>
        </row>
        <row r="21">
          <cell r="D21" t="str">
            <v>Q</v>
          </cell>
        </row>
        <row r="22">
          <cell r="D22" t="str">
            <v>R</v>
          </cell>
        </row>
        <row r="23">
          <cell r="D23" t="str">
            <v>S</v>
          </cell>
        </row>
        <row r="24">
          <cell r="D24" t="str">
            <v>T</v>
          </cell>
        </row>
        <row r="25">
          <cell r="D25" t="str">
            <v>U</v>
          </cell>
        </row>
        <row r="26">
          <cell r="D26" t="str">
            <v>V</v>
          </cell>
        </row>
        <row r="27">
          <cell r="D27" t="str">
            <v>W</v>
          </cell>
        </row>
        <row r="28">
          <cell r="D28" t="str">
            <v>X</v>
          </cell>
        </row>
        <row r="29">
          <cell r="D29" t="str">
            <v xml:space="preserve">Y </v>
          </cell>
        </row>
        <row r="30">
          <cell r="D30" t="str">
            <v>Z</v>
          </cell>
        </row>
        <row r="31">
          <cell r="D31" t="str">
            <v>AA</v>
          </cell>
        </row>
        <row r="32">
          <cell r="D32" t="str">
            <v>BB</v>
          </cell>
        </row>
        <row r="33">
          <cell r="D33" t="str">
            <v>CC</v>
          </cell>
        </row>
        <row r="34">
          <cell r="D34" t="str">
            <v>DD</v>
          </cell>
        </row>
        <row r="35">
          <cell r="D35" t="str">
            <v>EE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9" totalsRowShown="0" headerRowDxfId="119" dataDxfId="118">
  <autoFilter ref="A2:N9" xr:uid="{00000000-0009-0000-0100-000001000000}"/>
  <tableColumns count="14">
    <tableColumn id="1" xr3:uid="{00000000-0010-0000-0000-000001000000}" name="Vertex 1" dataDxfId="117" dataCellStyle="NodeXL Required"/>
    <tableColumn id="2" xr3:uid="{00000000-0010-0000-0000-000002000000}" name="Vertex 2" dataDxfId="116" dataCellStyle="NodeXL Required"/>
    <tableColumn id="3" xr3:uid="{00000000-0010-0000-0000-000003000000}" name="Color" dataDxfId="115" dataCellStyle="NodeXL Visual Property"/>
    <tableColumn id="4" xr3:uid="{00000000-0010-0000-0000-000004000000}" name="Width" dataDxfId="114" dataCellStyle="NodeXL Visual Property"/>
    <tableColumn id="11" xr3:uid="{00000000-0010-0000-0000-00000B000000}" name="Style" dataDxfId="113" dataCellStyle="NodeXL Visual Property"/>
    <tableColumn id="5" xr3:uid="{00000000-0010-0000-0000-000005000000}" name="Opacity" dataDxfId="112" dataCellStyle="NodeXL Visual Property"/>
    <tableColumn id="6" xr3:uid="{00000000-0010-0000-0000-000006000000}" name="Visibility" dataDxfId="111" dataCellStyle="NodeXL Visual Property"/>
    <tableColumn id="10" xr3:uid="{00000000-0010-0000-0000-00000A000000}" name="Label" dataDxfId="110" dataCellStyle="NodeXL Label"/>
    <tableColumn id="12" xr3:uid="{00000000-0010-0000-0000-00000C000000}" name="Label Text Color" dataDxfId="109" dataCellStyle="NodeXL Label"/>
    <tableColumn id="13" xr3:uid="{00000000-0010-0000-0000-00000D000000}" name="Label Font Size" dataDxfId="108" dataCellStyle="NodeXL Label"/>
    <tableColumn id="14" xr3:uid="{00000000-0010-0000-0000-00000E000000}" name="Reciprocated?" dataDxfId="107" dataCellStyle="NodeXL Graph Metric"/>
    <tableColumn id="7" xr3:uid="{00000000-0010-0000-0000-000007000000}" name="ID" dataDxfId="106" dataCellStyle="NodeXL Do Not Edit"/>
    <tableColumn id="9" xr3:uid="{00000000-0010-0000-0000-000009000000}" name="Dynamic Filter" dataDxfId="105" dataCellStyle="NodeXL Do Not Edit">
      <calculatedColumnFormula xml:space="preserve"> IF(AND(TRUE), TRUE, FALSE)</calculatedColumnFormula>
    </tableColumn>
    <tableColumn id="8" xr3:uid="{00000000-0010-0000-0000-000008000000}" name="Add Your Own Columns Here" dataDxfId="104"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4" totalsRowShown="0" headerRowDxfId="16">
  <autoFilter ref="M1:P4"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K34" totalsRowShown="0" headerRowDxfId="103" dataDxfId="102">
  <autoFilter ref="A2:AK34" xr:uid="{00000000-0009-0000-0100-000002000000}"/>
  <tableColumns count="37">
    <tableColumn id="1" xr3:uid="{00000000-0010-0000-0100-000001000000}" name="Vertex" dataDxfId="101" dataCellStyle="NodeXL Required"/>
    <tableColumn id="2" xr3:uid="{00000000-0010-0000-0100-000002000000}" name="Color" dataDxfId="100" dataCellStyle="NodeXL Visual Property"/>
    <tableColumn id="5" xr3:uid="{00000000-0010-0000-0100-000005000000}" name="Shape" dataDxfId="99" dataCellStyle="NodeXL Visual Property"/>
    <tableColumn id="6" xr3:uid="{00000000-0010-0000-0100-000006000000}" name="Size" dataDxfId="98" dataCellStyle="NodeXL Visual Property"/>
    <tableColumn id="4" xr3:uid="{00000000-0010-0000-0100-000004000000}" name="Opacity" dataDxfId="97" dataCellStyle="NodeXL Visual Property"/>
    <tableColumn id="7" xr3:uid="{00000000-0010-0000-0100-000007000000}" name="Image File" dataDxfId="96" dataCellStyle="NodeXL Visual Property"/>
    <tableColumn id="3" xr3:uid="{00000000-0010-0000-0100-000003000000}" name="Visibility" dataDxfId="95" dataCellStyle="NodeXL Visual Property"/>
    <tableColumn id="10" xr3:uid="{00000000-0010-0000-0100-00000A000000}" name="Label" dataDxfId="94" dataCellStyle="NodeXL Label"/>
    <tableColumn id="16" xr3:uid="{00000000-0010-0000-0100-000010000000}" name="Label Fill Color" dataDxfId="93" dataCellStyle="NodeXL Label"/>
    <tableColumn id="9" xr3:uid="{00000000-0010-0000-0100-000009000000}" name="Label Position" dataDxfId="92" dataCellStyle="NodeXL Label"/>
    <tableColumn id="8" xr3:uid="{00000000-0010-0000-0100-000008000000}" name="Tooltip" dataDxfId="91" dataCellStyle="NodeXL Label"/>
    <tableColumn id="18" xr3:uid="{00000000-0010-0000-0100-000012000000}" name="Layout Order" dataDxfId="90" dataCellStyle="NodeXL Layout"/>
    <tableColumn id="13" xr3:uid="{00000000-0010-0000-0100-00000D000000}" name="X" dataDxfId="89" dataCellStyle="NodeXL Layout"/>
    <tableColumn id="14" xr3:uid="{00000000-0010-0000-0100-00000E000000}" name="Y" dataDxfId="88" dataCellStyle="NodeXL Layout"/>
    <tableColumn id="12" xr3:uid="{00000000-0010-0000-0100-00000C000000}" name="Locked?" dataDxfId="87" dataCellStyle="NodeXL Layout"/>
    <tableColumn id="19" xr3:uid="{00000000-0010-0000-0100-000013000000}" name="Polar R" dataDxfId="86" dataCellStyle="NodeXL Layout"/>
    <tableColumn id="20" xr3:uid="{00000000-0010-0000-0100-000014000000}" name="Polar Angle" dataDxfId="85" dataCellStyle="NodeXL Layout"/>
    <tableColumn id="21" xr3:uid="{00000000-0010-0000-0100-000015000000}" name="Degree" dataDxfId="84" dataCellStyle="NodeXL Graph Metric"/>
    <tableColumn id="22" xr3:uid="{00000000-0010-0000-0100-000016000000}" name="In-Degree" dataDxfId="83" dataCellStyle="NodeXL Graph Metric"/>
    <tableColumn id="23" xr3:uid="{00000000-0010-0000-0100-000017000000}" name="Out-Degree" dataDxfId="82" dataCellStyle="NodeXL Graph Metric"/>
    <tableColumn id="24" xr3:uid="{00000000-0010-0000-0100-000018000000}" name="Betweenness Centrality" dataDxfId="81" dataCellStyle="NodeXL Graph Metric"/>
    <tableColumn id="25" xr3:uid="{00000000-0010-0000-0100-000019000000}" name="Closeness Centrality" dataDxfId="80" dataCellStyle="NodeXL Graph Metric"/>
    <tableColumn id="26" xr3:uid="{00000000-0010-0000-0100-00001A000000}" name="Eigenvector Centrality" dataDxfId="79" dataCellStyle="NodeXL Graph Metric"/>
    <tableColumn id="15" xr3:uid="{00000000-0010-0000-0100-00000F000000}" name="PageRank" dataDxfId="78" dataCellStyle="NodeXL Graph Metric"/>
    <tableColumn id="27" xr3:uid="{00000000-0010-0000-0100-00001B000000}" name="Clustering Coefficient" dataDxfId="77" dataCellStyle="NodeXL Graph Metric"/>
    <tableColumn id="29" xr3:uid="{00000000-0010-0000-0100-00001D000000}" name="Reciprocated Vertex Pair Ratio" dataDxfId="76" dataCellStyle="NodeXL Graph Metric"/>
    <tableColumn id="11" xr3:uid="{00000000-0010-0000-0100-00000B000000}" name="ID" dataDxfId="75" dataCellStyle="NodeXL Do Not Edit"/>
    <tableColumn id="28" xr3:uid="{00000000-0010-0000-0100-00001C000000}" name="Dynamic Filter" dataDxfId="74" dataCellStyle="NodeXL Do Not Edit">
      <calculatedColumnFormula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calculatedColumnFormula>
    </tableColumn>
    <tableColumn id="17" xr3:uid="{00000000-0010-0000-0100-000011000000}" name="Add Your Own Columns Here" dataDxfId="73" dataCellStyle="NodeXL Other Column"/>
    <tableColumn id="30" xr3:uid="{CC42CEF9-1ACB-4F62-B289-3A0C23F83022}" name="Nombre del CI" dataDxfId="72"/>
    <tableColumn id="31" xr3:uid="{9D1C02E5-B152-45B7-965B-8A7CD33AFC2E}" name="Código del CI" dataDxfId="71"/>
    <tableColumn id="32" xr3:uid="{3457D55F-166B-4032-8DC0-66CD0F0F008D}" name="Descripción" dataDxfId="70"/>
    <tableColumn id="33" xr3:uid="{8A0AAEE5-E6BA-4E0E-96FC-2222B49BCF00}" name="Fecha de creación" dataDxfId="69"/>
    <tableColumn id="34" xr3:uid="{BFFF3F86-E8AC-4555-ADAB-57BD09D21E0B}" name="Línea base a la que pertenece" dataDxfId="68"/>
    <tableColumn id="35" xr3:uid="{C8D5B6BB-B935-4005-B604-204AEF801FDF}" name="Tipo de CI" dataDxfId="67"/>
    <tableColumn id="36" xr3:uid="{F6C8A295-3D90-419F-B3C8-6897C5451A82}" name="Propietario (la persona que lo ha creado)" dataDxfId="66"/>
    <tableColumn id="37" xr3:uid="{45001B95-01E4-4359-B881-CC95779C6C04}" name="Ubicación" dataDxfId="65"/>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64">
  <autoFilter ref="A2:X3" xr:uid="{00000000-0009-0000-0100-000004000000}"/>
  <tableColumns count="24">
    <tableColumn id="1" xr3:uid="{00000000-0010-0000-0200-000001000000}" name="Group" dataDxfId="63" dataCellStyle="NodeXL Required"/>
    <tableColumn id="2" xr3:uid="{00000000-0010-0000-0200-000002000000}" name="Vertex Color" dataDxfId="62" dataCellStyle="NodeXL Visual Property"/>
    <tableColumn id="3" xr3:uid="{00000000-0010-0000-0200-000003000000}" name="Vertex Shape" dataDxfId="61" dataCellStyle="NodeXL Visual Property"/>
    <tableColumn id="22" xr3:uid="{00000000-0010-0000-0200-000016000000}" name="Visibility" dataDxfId="60" dataCellStyle="NodeXL Visual Property"/>
    <tableColumn id="4" xr3:uid="{00000000-0010-0000-0200-000004000000}" name="Collapsed?" dataCellStyle="NodeXL Visual Property"/>
    <tableColumn id="18" xr3:uid="{00000000-0010-0000-0200-000012000000}" name="Label" dataDxfId="59"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58" dataCellStyle="NodeXL Do Not Edit"/>
    <tableColumn id="19" xr3:uid="{00000000-0010-0000-0200-000013000000}" name="Collapsed Properties" dataDxfId="57" dataCellStyle="NodeXL Do Not Edit"/>
    <tableColumn id="5" xr3:uid="{00000000-0010-0000-0200-000005000000}" name="Vertices" dataDxfId="56" dataCellStyle="NodeXL Graph Metric"/>
    <tableColumn id="7" xr3:uid="{00000000-0010-0000-0200-000007000000}" name="Unique Edges" dataDxfId="55" dataCellStyle="NodeXL Graph Metric"/>
    <tableColumn id="8" xr3:uid="{00000000-0010-0000-0200-000008000000}" name="Edges With Duplicates" dataDxfId="54" dataCellStyle="NodeXL Graph Metric"/>
    <tableColumn id="9" xr3:uid="{00000000-0010-0000-0200-000009000000}" name="Total Edges" dataDxfId="53" dataCellStyle="NodeXL Graph Metric"/>
    <tableColumn id="10" xr3:uid="{00000000-0010-0000-0200-00000A000000}" name="Self-Loops" dataDxfId="52" dataCellStyle="NodeXL Graph Metric"/>
    <tableColumn id="24" xr3:uid="{00000000-0010-0000-0200-000018000000}" name="Reciprocated Vertex Pair Ratio" dataDxfId="51" dataCellStyle="NodeXL Graph Metric"/>
    <tableColumn id="25" xr3:uid="{00000000-0010-0000-0200-000019000000}" name="Reciprocated Edge Ratio" dataDxfId="50" dataCellStyle="NodeXL Graph Metric"/>
    <tableColumn id="11" xr3:uid="{00000000-0010-0000-0200-00000B000000}" name="Connected Components" dataDxfId="49" dataCellStyle="NodeXL Graph Metric"/>
    <tableColumn id="12" xr3:uid="{00000000-0010-0000-0200-00000C000000}" name="Single-Vertex Connected Components" dataDxfId="48" dataCellStyle="NodeXL Graph Metric"/>
    <tableColumn id="13" xr3:uid="{00000000-0010-0000-0200-00000D000000}" name="Maximum Vertices in a Connected Component" dataDxfId="47" dataCellStyle="NodeXL Graph Metric"/>
    <tableColumn id="14" xr3:uid="{00000000-0010-0000-0200-00000E000000}" name="Maximum Edges in a Connected Component" dataDxfId="46" dataCellStyle="NodeXL Graph Metric"/>
    <tableColumn id="15" xr3:uid="{00000000-0010-0000-0200-00000F000000}" name="Maximum Geodesic Distance (Diameter)" dataDxfId="45" dataCellStyle="NodeXL Graph Metric"/>
    <tableColumn id="16" xr3:uid="{00000000-0010-0000-0200-000010000000}" name="Average Geodesic Distance" dataDxfId="44" dataCellStyle="NodeXL Graph Metric"/>
    <tableColumn id="17" xr3:uid="{00000000-0010-0000-0200-000011000000}" name="Graph Density" dataDxfId="43"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42" dataDxfId="41">
  <autoFilter ref="A1:C2" xr:uid="{00000000-0009-0000-0100-000005000000}"/>
  <tableColumns count="3">
    <tableColumn id="1" xr3:uid="{00000000-0010-0000-0300-000001000000}" name="Group" dataDxfId="40"/>
    <tableColumn id="2" xr3:uid="{00000000-0010-0000-0300-000002000000}" name="Vertex" dataDxfId="39"/>
    <tableColumn id="3" xr3:uid="{00000000-0010-0000-0300-000003000000}" name="Vertex ID" dataDxfId="38"/>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6" totalsRowShown="0" dataCellStyle="NodeXL Graph Metric">
  <autoFilter ref="A1:B26" xr:uid="{00000000-0009-0000-0100-000006000000}"/>
  <tableColumns count="2">
    <tableColumn id="1" xr3:uid="{00000000-0010-0000-0400-000001000000}" name="Graph Metric" dataDxfId="37" dataCellStyle="NodeXL Graph Metric"/>
    <tableColumn id="2" xr3:uid="{00000000-0010-0000-0400-000002000000}" name="Value" dataDxfId="36"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35"/>
    <tableColumn id="2" xr3:uid="{00000000-0010-0000-0500-000002000000}" name="Degree Frequency" dataDxfId="34">
      <calculatedColumnFormula>COUNTIF(Vertices[Degree], "&gt;= " &amp; D2) - COUNTIF(Vertices[Degree], "&gt;=" &amp; D3)</calculatedColumnFormula>
    </tableColumn>
    <tableColumn id="3" xr3:uid="{00000000-0010-0000-0500-000003000000}" name="In-Degree Bin" dataDxfId="33"/>
    <tableColumn id="4" xr3:uid="{00000000-0010-0000-0500-000004000000}" name="In-Degree Frequency" dataDxfId="32">
      <calculatedColumnFormula>COUNTIF(Vertices[In-Degree], "&gt;= " &amp; F2) - COUNTIF(Vertices[In-Degree], "&gt;=" &amp; F3)</calculatedColumnFormula>
    </tableColumn>
    <tableColumn id="5" xr3:uid="{00000000-0010-0000-0500-000005000000}" name="Out-Degree Bin" dataDxfId="31"/>
    <tableColumn id="6" xr3:uid="{00000000-0010-0000-0500-000006000000}" name="Out-Degree Frequency" dataDxfId="30">
      <calculatedColumnFormula>COUNTIF(Vertices[Out-Degree], "&gt;= " &amp; H2) - COUNTIF(Vertices[Out-Degree], "&gt;=" &amp; H3)</calculatedColumnFormula>
    </tableColumn>
    <tableColumn id="7" xr3:uid="{00000000-0010-0000-0500-000007000000}" name="Betweenness Centrality Bin" dataDxfId="29"/>
    <tableColumn id="8" xr3:uid="{00000000-0010-0000-0500-000008000000}" name="Betweenness Centrality Frequency" dataDxfId="28">
      <calculatedColumnFormula>COUNTIF(Vertices[Betweenness Centrality], "&gt;= " &amp; J2) - COUNTIF(Vertices[Betweenness Centrality], "&gt;=" &amp; J3)</calculatedColumnFormula>
    </tableColumn>
    <tableColumn id="9" xr3:uid="{00000000-0010-0000-0500-000009000000}" name="Closeness Centrality Bin" dataDxfId="27"/>
    <tableColumn id="10" xr3:uid="{00000000-0010-0000-0500-00000A000000}" name="Closeness Centrality Frequency" dataDxfId="26">
      <calculatedColumnFormula>COUNTIF(Vertices[Closeness Centrality], "&gt;= " &amp; L2) - COUNTIF(Vertices[Closeness Centrality], "&gt;=" &amp; L3)</calculatedColumnFormula>
    </tableColumn>
    <tableColumn id="11" xr3:uid="{00000000-0010-0000-0500-00000B000000}" name="Eigenvector Centrality Bin" dataDxfId="25"/>
    <tableColumn id="12" xr3:uid="{00000000-0010-0000-0500-00000C000000}" name="Eigenvector Centrality Frequency" dataDxfId="24">
      <calculatedColumnFormula>COUNTIF(Vertices[Eigenvector Centrality], "&gt;= " &amp; N2) - COUNTIF(Vertices[Eigenvector Centrality], "&gt;=" &amp; N3)</calculatedColumnFormula>
    </tableColumn>
    <tableColumn id="18" xr3:uid="{00000000-0010-0000-0500-000012000000}" name="PageRank Bin" dataDxfId="23"/>
    <tableColumn id="17" xr3:uid="{00000000-0010-0000-0500-000011000000}" name="PageRank Frequency" dataDxfId="22">
      <calculatedColumnFormula>COUNTIF(Vertices[Eigenvector Centrality], "&gt;= " &amp; P2) - COUNTIF(Vertices[Eigenvector Centrality], "&gt;=" &amp; P3)</calculatedColumnFormula>
    </tableColumn>
    <tableColumn id="13" xr3:uid="{00000000-0010-0000-0500-00000D000000}" name="Clustering Coefficient Bin" dataDxfId="21"/>
    <tableColumn id="14" xr3:uid="{00000000-0010-0000-0500-00000E000000}" name="Clustering Coefficient Frequency" dataDxfId="20">
      <calculatedColumnFormula>COUNTIF(Vertices[Clustering Coefficient], "&gt;= " &amp; R2) - COUNTIF(Vertices[Clustering Coefficient], "&gt;=" &amp; R3)</calculatedColumnFormula>
    </tableColumn>
    <tableColumn id="15" xr3:uid="{00000000-0010-0000-0500-00000F000000}" name="Dynamic Filter Bin" dataDxfId="19"/>
    <tableColumn id="16" xr3:uid="{00000000-0010-0000-0500-000010000000}" name="Dynamic Filter Frequency" dataDxfId="18">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2" totalsRowShown="0" dataCellStyle="NodeXL Graph Metric">
  <autoFilter ref="A29:B32"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7" totalsRowShown="0" headerRowDxfId="17">
  <autoFilter ref="J1:K7"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sheetPr>
  <dimension ref="A1:N21"/>
  <sheetViews>
    <sheetView workbookViewId="0">
      <pane xSplit="2" ySplit="2" topLeftCell="C3" activePane="bottomRight" state="frozen"/>
      <selection pane="topRight" activeCell="C1" sqref="C1"/>
      <selection pane="bottomLeft" activeCell="A3" sqref="A3"/>
      <selection pane="bottomRight" activeCell="A2" sqref="A2:N2"/>
    </sheetView>
  </sheetViews>
  <sheetFormatPr baseColWidth="10" defaultColWidth="9.140625" defaultRowHeight="15" x14ac:dyDescent="0.25"/>
  <cols>
    <col min="1" max="1" width="39.28515625" style="1" customWidth="1"/>
    <col min="2" max="2" width="29" style="1" customWidth="1"/>
    <col min="3" max="3" width="15" customWidth="1"/>
    <col min="4" max="4" width="8.7109375" style="2" bestFit="1" customWidth="1"/>
    <col min="5" max="5" width="7.7109375" style="2" bestFit="1" customWidth="1"/>
    <col min="6" max="6" width="9.85546875" style="2" bestFit="1" customWidth="1"/>
    <col min="7" max="7" width="11" bestFit="1" customWidth="1"/>
    <col min="8" max="8" width="15.5703125" style="1" customWidth="1"/>
    <col min="9" max="9" width="12.28515625" bestFit="1" customWidth="1"/>
    <col min="10" max="10" width="12.42578125" bestFit="1" customWidth="1"/>
    <col min="11" max="11" width="15.5703125" hidden="1" customWidth="1"/>
    <col min="12" max="12" width="11" hidden="1" customWidth="1"/>
    <col min="13" max="13" width="10.85546875" hidden="1" customWidth="1"/>
    <col min="14" max="14" width="16" bestFit="1" customWidth="1"/>
  </cols>
  <sheetData>
    <row r="1" spans="1:14" x14ac:dyDescent="0.25">
      <c r="C1" s="15" t="s">
        <v>40</v>
      </c>
      <c r="D1" s="16"/>
      <c r="E1" s="16"/>
      <c r="F1" s="16"/>
      <c r="G1" s="15"/>
      <c r="H1" s="13" t="s">
        <v>44</v>
      </c>
      <c r="I1" s="61"/>
      <c r="J1" s="61"/>
      <c r="K1" s="31" t="s">
        <v>43</v>
      </c>
      <c r="L1" s="17" t="s">
        <v>41</v>
      </c>
      <c r="M1" s="17"/>
      <c r="N1" s="14" t="s">
        <v>42</v>
      </c>
    </row>
    <row r="2" spans="1:14" ht="30" customHeight="1" x14ac:dyDescent="0.25">
      <c r="A2" s="10" t="s">
        <v>0</v>
      </c>
      <c r="B2" s="10" t="s">
        <v>1</v>
      </c>
      <c r="C2" s="7" t="s">
        <v>2</v>
      </c>
      <c r="D2" s="7" t="s">
        <v>3</v>
      </c>
      <c r="E2" s="7" t="s">
        <v>130</v>
      </c>
      <c r="F2" s="7" t="s">
        <v>4</v>
      </c>
      <c r="G2" s="7" t="s">
        <v>11</v>
      </c>
      <c r="H2" s="10" t="s">
        <v>47</v>
      </c>
      <c r="I2" s="7" t="s">
        <v>160</v>
      </c>
      <c r="J2" s="7" t="s">
        <v>161</v>
      </c>
      <c r="K2" s="7" t="s">
        <v>165</v>
      </c>
      <c r="L2" s="7" t="s">
        <v>12</v>
      </c>
      <c r="M2" s="7" t="s">
        <v>39</v>
      </c>
      <c r="N2" s="7" t="s">
        <v>26</v>
      </c>
    </row>
    <row r="3" spans="1:14" ht="15" customHeight="1" x14ac:dyDescent="0.25">
      <c r="A3" s="106" t="s">
        <v>231</v>
      </c>
      <c r="B3" s="106" t="s">
        <v>231</v>
      </c>
      <c r="C3" s="74" t="s">
        <v>175</v>
      </c>
      <c r="D3" s="50">
        <v>3</v>
      </c>
      <c r="E3" s="75"/>
      <c r="F3" s="51"/>
      <c r="G3" s="49"/>
      <c r="H3" s="53" t="s">
        <v>176</v>
      </c>
      <c r="I3" s="52" t="s">
        <v>177</v>
      </c>
      <c r="J3" s="52">
        <v>15</v>
      </c>
      <c r="K3" s="63"/>
      <c r="L3" s="58">
        <v>3</v>
      </c>
      <c r="M3" s="58" t="b">
        <f t="shared" ref="M3:M9" si="0" xml:space="preserve"> IF(AND(TRUE), TRUE, FALSE)</f>
        <v>1</v>
      </c>
      <c r="N3" s="59"/>
    </row>
    <row r="4" spans="1:14" ht="15" customHeight="1" x14ac:dyDescent="0.25">
      <c r="A4" s="106" t="s">
        <v>232</v>
      </c>
      <c r="B4" s="106" t="s">
        <v>232</v>
      </c>
      <c r="C4" s="74" t="s">
        <v>175</v>
      </c>
      <c r="D4" s="50">
        <v>3</v>
      </c>
      <c r="E4" s="75"/>
      <c r="F4" s="51"/>
      <c r="G4" s="49"/>
      <c r="H4" s="53" t="s">
        <v>176</v>
      </c>
      <c r="I4" s="52" t="s">
        <v>177</v>
      </c>
      <c r="J4" s="52">
        <v>15</v>
      </c>
      <c r="K4" s="63"/>
      <c r="L4" s="58">
        <v>4</v>
      </c>
      <c r="M4" s="58" t="b">
        <f t="shared" si="0"/>
        <v>1</v>
      </c>
      <c r="N4" s="59"/>
    </row>
    <row r="5" spans="1:14" x14ac:dyDescent="0.25">
      <c r="A5" s="106" t="s">
        <v>233</v>
      </c>
      <c r="B5" s="106" t="s">
        <v>233</v>
      </c>
      <c r="C5" s="74" t="s">
        <v>175</v>
      </c>
      <c r="D5" s="50">
        <v>3</v>
      </c>
      <c r="E5" s="75"/>
      <c r="F5" s="51"/>
      <c r="G5" s="49"/>
      <c r="H5" s="53" t="s">
        <v>176</v>
      </c>
      <c r="I5" s="52" t="s">
        <v>177</v>
      </c>
      <c r="J5" s="52">
        <v>15</v>
      </c>
      <c r="K5" s="63"/>
      <c r="L5" s="58">
        <v>5</v>
      </c>
      <c r="M5" s="58" t="b">
        <f t="shared" si="0"/>
        <v>1</v>
      </c>
      <c r="N5" s="59"/>
    </row>
    <row r="6" spans="1:14" x14ac:dyDescent="0.25">
      <c r="A6" s="106" t="s">
        <v>233</v>
      </c>
      <c r="B6" s="106" t="s">
        <v>232</v>
      </c>
      <c r="C6" s="74" t="s">
        <v>181</v>
      </c>
      <c r="D6" s="50">
        <v>3</v>
      </c>
      <c r="E6" s="49"/>
      <c r="F6" s="51"/>
      <c r="G6" s="49"/>
      <c r="H6" s="53" t="s">
        <v>182</v>
      </c>
      <c r="I6" s="52" t="s">
        <v>177</v>
      </c>
      <c r="J6" s="52">
        <v>15</v>
      </c>
      <c r="K6" s="63"/>
      <c r="L6" s="58">
        <v>6</v>
      </c>
      <c r="M6" s="58" t="b">
        <f t="shared" si="0"/>
        <v>1</v>
      </c>
      <c r="N6" s="59"/>
    </row>
    <row r="7" spans="1:14" x14ac:dyDescent="0.25">
      <c r="A7" s="106" t="s">
        <v>232</v>
      </c>
      <c r="B7" s="106" t="s">
        <v>231</v>
      </c>
      <c r="C7" s="74" t="s">
        <v>181</v>
      </c>
      <c r="D7" s="50">
        <v>3</v>
      </c>
      <c r="E7" s="49"/>
      <c r="F7" s="51"/>
      <c r="G7" s="49"/>
      <c r="H7" s="53" t="s">
        <v>182</v>
      </c>
      <c r="I7" s="52" t="s">
        <v>177</v>
      </c>
      <c r="J7" s="52">
        <v>15</v>
      </c>
      <c r="K7" s="63"/>
      <c r="L7" s="58">
        <v>7</v>
      </c>
      <c r="M7" s="58" t="b">
        <f t="shared" si="0"/>
        <v>1</v>
      </c>
      <c r="N7" s="59"/>
    </row>
    <row r="8" spans="1:14" x14ac:dyDescent="0.25">
      <c r="A8" s="106" t="s">
        <v>235</v>
      </c>
      <c r="B8" s="106" t="s">
        <v>232</v>
      </c>
      <c r="C8" s="74" t="s">
        <v>181</v>
      </c>
      <c r="D8" s="50">
        <v>3</v>
      </c>
      <c r="E8" s="76"/>
      <c r="F8" s="77"/>
      <c r="G8" s="76"/>
      <c r="H8" s="53" t="s">
        <v>182</v>
      </c>
      <c r="I8" s="52" t="s">
        <v>177</v>
      </c>
      <c r="J8" s="52">
        <v>15</v>
      </c>
      <c r="K8" s="63"/>
      <c r="L8" s="58">
        <v>8</v>
      </c>
      <c r="M8" s="58" t="b">
        <f t="shared" si="0"/>
        <v>1</v>
      </c>
      <c r="N8" s="59"/>
    </row>
    <row r="9" spans="1:14" x14ac:dyDescent="0.25">
      <c r="A9" s="106" t="s">
        <v>233</v>
      </c>
      <c r="B9" s="106" t="s">
        <v>232</v>
      </c>
      <c r="C9" s="66" t="s">
        <v>185</v>
      </c>
      <c r="D9" s="50">
        <v>3</v>
      </c>
      <c r="E9" s="49"/>
      <c r="F9" s="51"/>
      <c r="G9" s="49"/>
      <c r="H9" s="53" t="s">
        <v>186</v>
      </c>
      <c r="I9" s="52" t="s">
        <v>177</v>
      </c>
      <c r="J9" s="52">
        <v>15</v>
      </c>
      <c r="K9" s="63"/>
      <c r="L9" s="58">
        <v>9</v>
      </c>
      <c r="M9" s="58" t="b">
        <f t="shared" si="0"/>
        <v>1</v>
      </c>
      <c r="N9" s="59"/>
    </row>
    <row r="21" spans="13:13" x14ac:dyDescent="0.25">
      <c r="M21" s="6"/>
    </row>
  </sheetData>
  <dataConsolidate/>
  <dataValidations count="12">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9"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9" xr:uid="{00000000-0002-0000-0000-000001000000}"/>
    <dataValidation allowBlank="1" showErrorMessage="1" sqref="N2:N9"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9" xr:uid="{4A0144E6-442A-4581-9637-7E9DCA3128BB}"/>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9" xr:uid="{309BCF53-9A70-4394-AFDD-E6F97EC32F2C}"/>
    <dataValidation allowBlank="1" showInputMessage="1" errorTitle="Invalid Edge Width" error="The optional edge width must be a whole number between 1 and 10." promptTitle="Edge Width" prompt="Enter an optional edge width between 1 and 10." sqref="D3:D9" xr:uid="{A10F3C0B-6425-4694-B316-1C0511A36701}"/>
    <dataValidation allowBlank="1" showInputMessage="1" errorTitle="Invalid Edge Opacity" error="The optional edge opacity must be a whole number between 0 and 10." promptTitle="Edge Opacity" prompt="Enter an optional edge opacity between 0 (transparent) and 100 (opaque)." sqref="F3:F9" xr:uid="{871AB15C-9F44-4420-B85F-D11E39873E73}"/>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9" xr:uid="{22776422-BA87-4445-8BFF-6BECDEC3FAB8}">
      <formula1>ValidEdgeVisibilities</formula1>
    </dataValidation>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9" xr:uid="{53328810-EB42-4E36-80FA-7A72D59C4FAC}">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9" xr:uid="{00000000-0002-0000-0000-00000D000000}"/>
    <dataValidation allowBlank="1" showInputMessage="1" promptTitle="Vertex Color" prompt="To select an optional vertex color, right-click and select Select Color on the right-click menu." sqref="C9" xr:uid="{78FB014A-6C0F-4A9F-81FB-BDA01666D5F2}"/>
    <dataValidation type="list" allowBlank="1" showInputMessage="1" showErrorMessage="1" sqref="A3:A9 B3:B9" xr:uid="{448C76A0-9B2D-419D-BCD8-F6BC64E8EDA1}">
      <formula1>CINAME</formula1>
    </dataValidation>
  </dataValidations>
  <pageMargins left="0.7" right="0.7" top="0.75" bottom="0.75" header="0.3" footer="0.3"/>
  <pageSetup orientation="portrait" verticalDpi="0"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errorTitle="Invalid Edge Visibility" error="You have entered an unrecognized edge visibility.  Try selecting from the drop-down list instead." promptTitle="Edge Label" prompt="Enter an optional edge label." xr:uid="{2B362780-5560-492C-A458-47A4624711B5}">
          <x14:formula1>
            <xm:f>'TIPOS-DE-RELACIONES'!$B$4:$B$6</xm:f>
          </x14:formula1>
          <xm:sqref>H3:H9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68D18-3955-411B-B8A7-80C3CF439289}">
  <dimension ref="B3:I16"/>
  <sheetViews>
    <sheetView workbookViewId="0">
      <selection activeCell="I11" sqref="I11"/>
    </sheetView>
  </sheetViews>
  <sheetFormatPr baseColWidth="10" defaultRowHeight="15" x14ac:dyDescent="0.25"/>
  <cols>
    <col min="2" max="2" width="44.42578125" customWidth="1"/>
    <col min="3" max="3" width="24.7109375" customWidth="1"/>
    <col min="4" max="4" width="25.42578125" customWidth="1"/>
    <col min="5" max="5" width="27.42578125" customWidth="1"/>
    <col min="6" max="6" width="29.28515625" customWidth="1"/>
    <col min="8" max="8" width="30.85546875" customWidth="1"/>
    <col min="9" max="9" width="39.140625" customWidth="1"/>
  </cols>
  <sheetData>
    <row r="3" spans="2:9" ht="30" x14ac:dyDescent="0.25">
      <c r="B3" s="100" t="s">
        <v>214</v>
      </c>
      <c r="C3" s="100" t="s">
        <v>213</v>
      </c>
      <c r="D3" s="100" t="s">
        <v>263</v>
      </c>
      <c r="E3" s="100" t="s">
        <v>264</v>
      </c>
      <c r="F3" s="100" t="s">
        <v>265</v>
      </c>
      <c r="G3" s="100" t="s">
        <v>266</v>
      </c>
      <c r="H3" s="105" t="s">
        <v>267</v>
      </c>
      <c r="I3" s="100" t="s">
        <v>268</v>
      </c>
    </row>
    <row r="4" spans="2:9" x14ac:dyDescent="0.25">
      <c r="B4" s="99" t="s">
        <v>231</v>
      </c>
      <c r="C4" s="99"/>
      <c r="D4" s="99"/>
      <c r="E4" s="99"/>
      <c r="F4" s="99" t="s">
        <v>285</v>
      </c>
      <c r="G4" s="99"/>
      <c r="H4" s="99"/>
      <c r="I4" s="99" t="s">
        <v>228</v>
      </c>
    </row>
    <row r="5" spans="2:9" x14ac:dyDescent="0.25">
      <c r="B5" s="99" t="s">
        <v>232</v>
      </c>
      <c r="C5" s="99"/>
      <c r="D5" s="99"/>
      <c r="E5" s="99"/>
      <c r="F5" s="99" t="s">
        <v>285</v>
      </c>
      <c r="G5" s="99"/>
      <c r="H5" s="99"/>
      <c r="I5" s="99" t="s">
        <v>228</v>
      </c>
    </row>
    <row r="6" spans="2:9" x14ac:dyDescent="0.25">
      <c r="B6" s="99" t="s">
        <v>233</v>
      </c>
      <c r="C6" s="99"/>
      <c r="D6" s="99"/>
      <c r="E6" s="99"/>
      <c r="F6" s="99" t="s">
        <v>285</v>
      </c>
      <c r="G6" s="99"/>
      <c r="H6" s="99"/>
      <c r="I6" s="99" t="s">
        <v>228</v>
      </c>
    </row>
    <row r="7" spans="2:9" x14ac:dyDescent="0.25">
      <c r="B7" s="99" t="s">
        <v>235</v>
      </c>
      <c r="C7" s="99"/>
      <c r="D7" s="99"/>
      <c r="E7" s="99"/>
      <c r="F7" s="99" t="s">
        <v>286</v>
      </c>
      <c r="G7" s="99"/>
      <c r="H7" s="99"/>
      <c r="I7" s="99" t="s">
        <v>228</v>
      </c>
    </row>
    <row r="8" spans="2:9" x14ac:dyDescent="0.25">
      <c r="B8" s="99"/>
      <c r="C8" s="99"/>
      <c r="D8" s="99"/>
      <c r="E8" s="99"/>
      <c r="F8" s="99"/>
      <c r="G8" s="99"/>
      <c r="H8" s="99"/>
      <c r="I8" s="99"/>
    </row>
    <row r="9" spans="2:9" x14ac:dyDescent="0.25">
      <c r="B9" s="99"/>
      <c r="C9" s="99"/>
      <c r="D9" s="99"/>
      <c r="E9" s="99"/>
      <c r="F9" s="99"/>
      <c r="G9" s="99"/>
      <c r="H9" s="99"/>
      <c r="I9" s="99"/>
    </row>
    <row r="10" spans="2:9" x14ac:dyDescent="0.25">
      <c r="B10" s="99"/>
      <c r="C10" s="99"/>
      <c r="D10" s="99"/>
      <c r="E10" s="99"/>
      <c r="F10" s="99"/>
      <c r="G10" s="99"/>
      <c r="H10" s="99"/>
      <c r="I10" s="99"/>
    </row>
    <row r="11" spans="2:9" x14ac:dyDescent="0.25">
      <c r="B11" s="99"/>
      <c r="C11" s="99"/>
      <c r="D11" s="99"/>
      <c r="E11" s="99"/>
      <c r="F11" s="99"/>
      <c r="G11" s="99"/>
      <c r="H11" s="99"/>
      <c r="I11" s="99"/>
    </row>
    <row r="12" spans="2:9" x14ac:dyDescent="0.25">
      <c r="B12" s="99"/>
      <c r="C12" s="99"/>
      <c r="D12" s="99"/>
      <c r="E12" s="99"/>
      <c r="F12" s="99"/>
      <c r="G12" s="99"/>
      <c r="H12" s="99"/>
      <c r="I12" s="99"/>
    </row>
    <row r="13" spans="2:9" x14ac:dyDescent="0.25">
      <c r="B13" s="99"/>
      <c r="C13" s="99"/>
      <c r="D13" s="99"/>
      <c r="E13" s="99"/>
      <c r="F13" s="99"/>
      <c r="G13" s="99"/>
      <c r="H13" s="99"/>
      <c r="I13" s="99"/>
    </row>
    <row r="14" spans="2:9" x14ac:dyDescent="0.25">
      <c r="B14" s="99"/>
      <c r="C14" s="99"/>
      <c r="D14" s="99"/>
      <c r="E14" s="99"/>
      <c r="F14" s="99"/>
      <c r="G14" s="99"/>
      <c r="H14" s="99"/>
      <c r="I14" s="99"/>
    </row>
    <row r="15" spans="2:9" x14ac:dyDescent="0.25">
      <c r="B15" s="99"/>
      <c r="C15" s="99"/>
      <c r="D15" s="99"/>
      <c r="E15" s="99"/>
      <c r="F15" s="99"/>
      <c r="G15" s="99"/>
      <c r="H15" s="99"/>
      <c r="I15" s="99"/>
    </row>
    <row r="16" spans="2:9" x14ac:dyDescent="0.25">
      <c r="B16" s="99"/>
      <c r="C16" s="99"/>
      <c r="D16" s="99"/>
      <c r="E16" s="99"/>
      <c r="F16" s="99"/>
      <c r="G16" s="99"/>
      <c r="H16" s="99"/>
      <c r="I16" s="99"/>
    </row>
  </sheetData>
  <phoneticPr fontId="16" type="noConversion"/>
  <dataValidations count="1">
    <dataValidation type="list" allowBlank="1" showInputMessage="1" showErrorMessage="1" sqref="I4:I7" xr:uid="{3C1A0857-3261-4198-B916-B4E800905EB2}">
      <formula1>bibliotecas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BB5B354-39F6-4C83-97FB-24AD7A78EE4C}">
          <x14:formula1>
            <xm:f>'POSIBLES-CIS'!$D$4:$D$34</xm:f>
          </x14:formula1>
          <xm:sqref>B4:B16</xm:sqref>
        </x14:dataValidation>
        <x14:dataValidation type="list" allowBlank="1" showInputMessage="1" showErrorMessage="1" xr:uid="{866F17C5-C6C8-434C-9850-5EE7DCD4860A}">
          <x14:formula1>
            <xm:f>'BASE-LINES'!$C$6:$C$13</xm:f>
          </x14:formula1>
          <xm:sqref>F4:F16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72B31-E182-4BD5-921F-7FB3ED11C381}">
  <dimension ref="B2:D9"/>
  <sheetViews>
    <sheetView workbookViewId="0">
      <selection activeCell="B3" sqref="B3"/>
    </sheetView>
  </sheetViews>
  <sheetFormatPr baseColWidth="10" defaultRowHeight="15" x14ac:dyDescent="0.25"/>
  <cols>
    <col min="2" max="2" width="38.85546875" customWidth="1"/>
    <col min="3" max="3" width="35.28515625" customWidth="1"/>
    <col min="4" max="4" width="56" customWidth="1"/>
  </cols>
  <sheetData>
    <row r="2" spans="2:4" x14ac:dyDescent="0.25">
      <c r="B2" t="s">
        <v>281</v>
      </c>
    </row>
    <row r="3" spans="2:4" x14ac:dyDescent="0.25">
      <c r="B3" s="100" t="s">
        <v>279</v>
      </c>
      <c r="C3" s="100" t="s">
        <v>264</v>
      </c>
      <c r="D3" s="100" t="s">
        <v>280</v>
      </c>
    </row>
    <row r="4" spans="2:4" x14ac:dyDescent="0.25">
      <c r="B4" s="99"/>
      <c r="C4" s="99"/>
      <c r="D4" s="99"/>
    </row>
    <row r="5" spans="2:4" x14ac:dyDescent="0.25">
      <c r="B5" s="99"/>
      <c r="C5" s="99"/>
      <c r="D5" s="99"/>
    </row>
    <row r="6" spans="2:4" x14ac:dyDescent="0.25">
      <c r="B6" s="99"/>
      <c r="C6" s="99"/>
      <c r="D6" s="99"/>
    </row>
    <row r="7" spans="2:4" x14ac:dyDescent="0.25">
      <c r="B7" s="99"/>
      <c r="C7" s="99"/>
      <c r="D7" s="99"/>
    </row>
    <row r="8" spans="2:4" x14ac:dyDescent="0.25">
      <c r="B8" s="99"/>
      <c r="C8" s="99"/>
      <c r="D8" s="99"/>
    </row>
    <row r="9" spans="2:4" x14ac:dyDescent="0.25">
      <c r="B9" s="99"/>
      <c r="C9" s="99"/>
      <c r="D9" s="99"/>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76B115F-31D9-4DF9-B4A7-4DB461EBBF94}">
          <x14:formula1>
            <xm:f>'BASE-LINES'!$C$6:$C$13</xm:f>
          </x14:formula1>
          <xm:sqref>B4:B9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10195-DD69-41F9-A61D-9595C4932A66}">
  <sheetPr>
    <tabColor rgb="FF7030A0"/>
  </sheetPr>
  <dimension ref="B3:B6"/>
  <sheetViews>
    <sheetView workbookViewId="0">
      <selection activeCell="B3" sqref="B3:B6"/>
    </sheetView>
  </sheetViews>
  <sheetFormatPr baseColWidth="10" defaultRowHeight="15" x14ac:dyDescent="0.25"/>
  <cols>
    <col min="2" max="2" width="38" customWidth="1"/>
  </cols>
  <sheetData>
    <row r="3" spans="2:2" x14ac:dyDescent="0.25">
      <c r="B3" s="99" t="s">
        <v>284</v>
      </c>
    </row>
    <row r="4" spans="2:2" x14ac:dyDescent="0.25">
      <c r="B4" s="99" t="s">
        <v>176</v>
      </c>
    </row>
    <row r="5" spans="2:2" x14ac:dyDescent="0.25">
      <c r="B5" s="99" t="s">
        <v>186</v>
      </c>
    </row>
    <row r="6" spans="2:2" x14ac:dyDescent="0.25">
      <c r="B6" s="99" t="s">
        <v>182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41A42-602A-42AF-9145-1478A600B3D3}">
  <sheetPr>
    <tabColor rgb="FF7030A0"/>
  </sheetPr>
  <dimension ref="C4:J16"/>
  <sheetViews>
    <sheetView workbookViewId="0">
      <selection activeCell="C14" sqref="C14"/>
    </sheetView>
  </sheetViews>
  <sheetFormatPr baseColWidth="10" defaultRowHeight="15" x14ac:dyDescent="0.25"/>
  <cols>
    <col min="3" max="3" width="25.7109375" customWidth="1"/>
    <col min="4" max="4" width="40.28515625" customWidth="1"/>
    <col min="5" max="5" width="38.140625" customWidth="1"/>
    <col min="6" max="6" width="50.42578125" customWidth="1"/>
    <col min="7" max="7" width="52.140625" customWidth="1"/>
    <col min="8" max="8" width="28.5703125" customWidth="1"/>
    <col min="9" max="9" width="28.7109375" customWidth="1"/>
    <col min="10" max="10" width="25.85546875" customWidth="1"/>
  </cols>
  <sheetData>
    <row r="4" spans="3:10" ht="18.75" x14ac:dyDescent="0.3">
      <c r="D4" s="114" t="s">
        <v>269</v>
      </c>
      <c r="E4" s="114"/>
      <c r="F4" s="114"/>
      <c r="G4" s="114"/>
      <c r="H4" s="114"/>
      <c r="I4" s="114"/>
      <c r="J4" s="114"/>
    </row>
    <row r="5" spans="3:10" ht="56.25" x14ac:dyDescent="0.3">
      <c r="C5" s="100" t="s">
        <v>270</v>
      </c>
      <c r="D5" s="112" t="s">
        <v>278</v>
      </c>
      <c r="E5" s="112" t="s">
        <v>277</v>
      </c>
      <c r="F5" s="115" t="s">
        <v>276</v>
      </c>
      <c r="G5" s="116"/>
      <c r="H5" s="116"/>
      <c r="I5" s="116"/>
      <c r="J5" s="112" t="s">
        <v>275</v>
      </c>
    </row>
    <row r="6" spans="3:10" ht="18.75" x14ac:dyDescent="0.3">
      <c r="C6" s="108" t="s">
        <v>285</v>
      </c>
      <c r="D6" s="99" t="s">
        <v>231</v>
      </c>
      <c r="E6" s="99" t="s">
        <v>235</v>
      </c>
      <c r="F6" s="107" t="s">
        <v>271</v>
      </c>
      <c r="G6" s="107" t="s">
        <v>272</v>
      </c>
      <c r="H6" s="107" t="s">
        <v>273</v>
      </c>
      <c r="I6" s="107" t="s">
        <v>274</v>
      </c>
      <c r="J6" s="99"/>
    </row>
    <row r="7" spans="3:10" ht="18.75" x14ac:dyDescent="0.3">
      <c r="C7" s="108" t="s">
        <v>286</v>
      </c>
      <c r="D7" s="99" t="s">
        <v>232</v>
      </c>
      <c r="E7" s="99" t="s">
        <v>236</v>
      </c>
      <c r="F7" s="109" t="s">
        <v>250</v>
      </c>
      <c r="G7" s="109" t="s">
        <v>256</v>
      </c>
      <c r="H7" s="99"/>
      <c r="I7" s="99"/>
      <c r="J7" s="99"/>
    </row>
    <row r="8" spans="3:10" ht="18.75" x14ac:dyDescent="0.3">
      <c r="C8" s="108" t="s">
        <v>287</v>
      </c>
      <c r="D8" s="99" t="s">
        <v>233</v>
      </c>
      <c r="E8" s="99" t="s">
        <v>239</v>
      </c>
      <c r="F8" s="109" t="s">
        <v>251</v>
      </c>
      <c r="G8" s="109" t="s">
        <v>257</v>
      </c>
      <c r="H8" s="99"/>
      <c r="I8" s="99"/>
      <c r="J8" s="99"/>
    </row>
    <row r="9" spans="3:10" ht="18.75" x14ac:dyDescent="0.3">
      <c r="C9" s="110" t="s">
        <v>271</v>
      </c>
      <c r="D9" s="99" t="s">
        <v>234</v>
      </c>
      <c r="E9" s="99" t="s">
        <v>240</v>
      </c>
      <c r="F9" s="109" t="s">
        <v>252</v>
      </c>
      <c r="G9" s="109" t="s">
        <v>258</v>
      </c>
      <c r="H9" s="99"/>
      <c r="I9" s="99"/>
      <c r="J9" s="99"/>
    </row>
    <row r="10" spans="3:10" ht="18.75" x14ac:dyDescent="0.3">
      <c r="C10" s="110" t="s">
        <v>272</v>
      </c>
      <c r="D10" s="99" t="s">
        <v>237</v>
      </c>
      <c r="E10" s="99" t="s">
        <v>242</v>
      </c>
      <c r="F10" s="109" t="s">
        <v>253</v>
      </c>
      <c r="G10" s="109" t="s">
        <v>259</v>
      </c>
      <c r="H10" s="99"/>
      <c r="I10" s="99"/>
      <c r="J10" s="99"/>
    </row>
    <row r="11" spans="3:10" ht="18.75" x14ac:dyDescent="0.3">
      <c r="C11" s="110" t="s">
        <v>273</v>
      </c>
      <c r="D11" s="99" t="s">
        <v>238</v>
      </c>
      <c r="E11" s="99" t="s">
        <v>243</v>
      </c>
      <c r="F11" s="109" t="s">
        <v>254</v>
      </c>
      <c r="G11" s="109" t="s">
        <v>260</v>
      </c>
      <c r="H11" s="99"/>
      <c r="I11" s="99"/>
      <c r="J11" s="99"/>
    </row>
    <row r="12" spans="3:10" ht="18.75" x14ac:dyDescent="0.3">
      <c r="C12" s="110" t="s">
        <v>274</v>
      </c>
      <c r="D12" s="99" t="s">
        <v>241</v>
      </c>
      <c r="E12" s="99" t="s">
        <v>244</v>
      </c>
      <c r="F12" s="109" t="s">
        <v>255</v>
      </c>
      <c r="G12" s="109" t="s">
        <v>261</v>
      </c>
      <c r="H12" s="99"/>
      <c r="I12" s="99"/>
      <c r="J12" s="99"/>
    </row>
    <row r="13" spans="3:10" ht="18.75" x14ac:dyDescent="0.3">
      <c r="C13" s="111" t="s">
        <v>288</v>
      </c>
      <c r="D13" s="99" t="s">
        <v>246</v>
      </c>
      <c r="E13" s="99" t="s">
        <v>245</v>
      </c>
      <c r="F13" s="99"/>
      <c r="G13" s="99"/>
      <c r="H13" s="99"/>
      <c r="I13" s="99"/>
      <c r="J13" s="99"/>
    </row>
    <row r="14" spans="3:10" x14ac:dyDescent="0.25">
      <c r="C14" s="99"/>
      <c r="D14" s="99" t="s">
        <v>247</v>
      </c>
      <c r="E14" s="99"/>
      <c r="F14" s="99"/>
      <c r="G14" s="99"/>
      <c r="H14" s="99"/>
      <c r="I14" s="99"/>
      <c r="J14" s="99"/>
    </row>
    <row r="15" spans="3:10" x14ac:dyDescent="0.25">
      <c r="C15" s="99"/>
      <c r="D15" s="99" t="s">
        <v>248</v>
      </c>
      <c r="E15" s="99"/>
      <c r="F15" s="99"/>
      <c r="G15" s="99"/>
      <c r="H15" s="99"/>
      <c r="I15" s="99"/>
      <c r="J15" s="99"/>
    </row>
    <row r="16" spans="3:10" x14ac:dyDescent="0.25">
      <c r="C16" s="99"/>
      <c r="D16" s="99" t="s">
        <v>249</v>
      </c>
      <c r="E16" s="99"/>
      <c r="F16" s="99"/>
      <c r="G16" s="99"/>
      <c r="H16" s="99"/>
      <c r="I16" s="99"/>
      <c r="J16" s="99"/>
    </row>
  </sheetData>
  <mergeCells count="2">
    <mergeCell ref="D4:J4"/>
    <mergeCell ref="F5:I5"/>
  </mergeCells>
  <conditionalFormatting sqref="D6:D9">
    <cfRule type="duplicateValues" dxfId="8" priority="7"/>
  </conditionalFormatting>
  <conditionalFormatting sqref="D10:D11">
    <cfRule type="duplicateValues" dxfId="7" priority="6"/>
  </conditionalFormatting>
  <conditionalFormatting sqref="D12">
    <cfRule type="duplicateValues" dxfId="6" priority="5"/>
  </conditionalFormatting>
  <conditionalFormatting sqref="D13">
    <cfRule type="duplicateValues" dxfId="5" priority="1"/>
  </conditionalFormatting>
  <conditionalFormatting sqref="E6:E7">
    <cfRule type="duplicateValues" dxfId="4" priority="4"/>
  </conditionalFormatting>
  <conditionalFormatting sqref="E8:E9">
    <cfRule type="duplicateValues" dxfId="3" priority="3"/>
  </conditionalFormatting>
  <conditionalFormatting sqref="E10:E13">
    <cfRule type="duplicateValues" dxfId="2" priority="2"/>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2F300-2DED-411B-8699-B313E7F47DE2}">
  <sheetPr>
    <tabColor rgb="FF7030A0"/>
  </sheetPr>
  <dimension ref="B3:D34"/>
  <sheetViews>
    <sheetView workbookViewId="0">
      <selection activeCell="D4" sqref="D4:D34"/>
    </sheetView>
  </sheetViews>
  <sheetFormatPr baseColWidth="10" defaultRowHeight="15" x14ac:dyDescent="0.25"/>
  <cols>
    <col min="2" max="2" width="18" customWidth="1"/>
    <col min="3" max="3" width="32.28515625" customWidth="1"/>
    <col min="4" max="4" width="61" customWidth="1"/>
  </cols>
  <sheetData>
    <row r="3" spans="2:4" x14ac:dyDescent="0.25">
      <c r="B3" s="100" t="s">
        <v>213</v>
      </c>
      <c r="C3" s="99" t="s">
        <v>214</v>
      </c>
      <c r="D3" s="99" t="s">
        <v>262</v>
      </c>
    </row>
    <row r="4" spans="2:4" x14ac:dyDescent="0.25">
      <c r="B4" s="99">
        <v>1</v>
      </c>
      <c r="C4" s="99" t="s">
        <v>180</v>
      </c>
      <c r="D4" s="102" t="s">
        <v>231</v>
      </c>
    </row>
    <row r="5" spans="2:4" x14ac:dyDescent="0.25">
      <c r="B5" s="99">
        <v>2</v>
      </c>
      <c r="C5" s="99" t="s">
        <v>174</v>
      </c>
      <c r="D5" s="102" t="s">
        <v>232</v>
      </c>
    </row>
    <row r="6" spans="2:4" x14ac:dyDescent="0.25">
      <c r="B6" s="99">
        <v>3</v>
      </c>
      <c r="C6" s="99" t="s">
        <v>184</v>
      </c>
      <c r="D6" s="102" t="s">
        <v>233</v>
      </c>
    </row>
    <row r="7" spans="2:4" x14ac:dyDescent="0.25">
      <c r="B7" s="99">
        <v>4</v>
      </c>
      <c r="C7" s="99" t="s">
        <v>183</v>
      </c>
      <c r="D7" s="102" t="s">
        <v>234</v>
      </c>
    </row>
    <row r="8" spans="2:4" x14ac:dyDescent="0.25">
      <c r="B8" s="99">
        <v>5</v>
      </c>
      <c r="C8" s="99" t="s">
        <v>178</v>
      </c>
      <c r="D8" s="102" t="s">
        <v>235</v>
      </c>
    </row>
    <row r="9" spans="2:4" x14ac:dyDescent="0.25">
      <c r="B9" s="99">
        <v>6</v>
      </c>
      <c r="C9" s="99" t="s">
        <v>179</v>
      </c>
      <c r="D9" s="102" t="s">
        <v>236</v>
      </c>
    </row>
    <row r="10" spans="2:4" x14ac:dyDescent="0.25">
      <c r="B10" s="99">
        <v>7</v>
      </c>
      <c r="C10" s="99" t="s">
        <v>188</v>
      </c>
      <c r="D10" s="102" t="s">
        <v>237</v>
      </c>
    </row>
    <row r="11" spans="2:4" x14ac:dyDescent="0.25">
      <c r="B11" s="99">
        <v>7</v>
      </c>
      <c r="C11" s="99" t="s">
        <v>189</v>
      </c>
      <c r="D11" s="102" t="s">
        <v>238</v>
      </c>
    </row>
    <row r="12" spans="2:4" x14ac:dyDescent="0.25">
      <c r="B12" s="99">
        <v>8</v>
      </c>
      <c r="C12" s="99" t="s">
        <v>190</v>
      </c>
      <c r="D12" s="102" t="s">
        <v>239</v>
      </c>
    </row>
    <row r="13" spans="2:4" x14ac:dyDescent="0.25">
      <c r="B13" s="99">
        <v>9</v>
      </c>
      <c r="C13" s="99" t="s">
        <v>191</v>
      </c>
      <c r="D13" s="102" t="s">
        <v>240</v>
      </c>
    </row>
    <row r="14" spans="2:4" x14ac:dyDescent="0.25">
      <c r="B14" s="99">
        <v>9</v>
      </c>
      <c r="C14" s="99" t="s">
        <v>192</v>
      </c>
      <c r="D14" s="102" t="s">
        <v>241</v>
      </c>
    </row>
    <row r="15" spans="2:4" x14ac:dyDescent="0.25">
      <c r="B15" s="99">
        <v>10</v>
      </c>
      <c r="C15" s="99" t="s">
        <v>193</v>
      </c>
      <c r="D15" s="102" t="s">
        <v>242</v>
      </c>
    </row>
    <row r="16" spans="2:4" x14ac:dyDescent="0.25">
      <c r="B16" s="99">
        <v>11</v>
      </c>
      <c r="C16" s="99" t="s">
        <v>194</v>
      </c>
      <c r="D16" s="102" t="s">
        <v>243</v>
      </c>
    </row>
    <row r="17" spans="2:4" x14ac:dyDescent="0.25">
      <c r="B17" s="99">
        <v>12</v>
      </c>
      <c r="C17" s="99" t="s">
        <v>195</v>
      </c>
      <c r="D17" s="102" t="s">
        <v>244</v>
      </c>
    </row>
    <row r="18" spans="2:4" x14ac:dyDescent="0.25">
      <c r="B18" s="99">
        <v>13</v>
      </c>
      <c r="C18" s="99" t="s">
        <v>196</v>
      </c>
      <c r="D18" s="102" t="s">
        <v>245</v>
      </c>
    </row>
    <row r="19" spans="2:4" x14ac:dyDescent="0.25">
      <c r="B19" s="99">
        <v>14</v>
      </c>
      <c r="C19" s="99" t="s">
        <v>197</v>
      </c>
      <c r="D19" s="102" t="s">
        <v>246</v>
      </c>
    </row>
    <row r="20" spans="2:4" x14ac:dyDescent="0.25">
      <c r="B20" s="99">
        <v>15</v>
      </c>
      <c r="C20" s="99" t="s">
        <v>198</v>
      </c>
      <c r="D20" s="102" t="s">
        <v>247</v>
      </c>
    </row>
    <row r="21" spans="2:4" x14ac:dyDescent="0.25">
      <c r="B21" s="99">
        <v>16</v>
      </c>
      <c r="C21" s="99" t="s">
        <v>199</v>
      </c>
      <c r="D21" s="102" t="s">
        <v>248</v>
      </c>
    </row>
    <row r="22" spans="2:4" x14ac:dyDescent="0.25">
      <c r="B22" s="99">
        <v>17</v>
      </c>
      <c r="C22" s="99" t="s">
        <v>200</v>
      </c>
      <c r="D22" s="102" t="s">
        <v>249</v>
      </c>
    </row>
    <row r="23" spans="2:4" x14ac:dyDescent="0.25">
      <c r="B23" s="99">
        <v>18</v>
      </c>
      <c r="C23" s="99" t="s">
        <v>201</v>
      </c>
      <c r="D23" s="103" t="s">
        <v>250</v>
      </c>
    </row>
    <row r="24" spans="2:4" x14ac:dyDescent="0.25">
      <c r="B24" s="99">
        <v>19</v>
      </c>
      <c r="C24" s="99" t="s">
        <v>202</v>
      </c>
      <c r="D24" s="104" t="s">
        <v>251</v>
      </c>
    </row>
    <row r="25" spans="2:4" x14ac:dyDescent="0.25">
      <c r="B25" s="99">
        <v>20</v>
      </c>
      <c r="C25" s="99" t="s">
        <v>203</v>
      </c>
      <c r="D25" s="103" t="s">
        <v>252</v>
      </c>
    </row>
    <row r="26" spans="2:4" x14ac:dyDescent="0.25">
      <c r="B26" s="99">
        <v>21</v>
      </c>
      <c r="C26" s="99" t="s">
        <v>204</v>
      </c>
      <c r="D26" s="104" t="s">
        <v>253</v>
      </c>
    </row>
    <row r="27" spans="2:4" x14ac:dyDescent="0.25">
      <c r="B27" s="99">
        <v>22</v>
      </c>
      <c r="C27" s="99" t="s">
        <v>15</v>
      </c>
      <c r="D27" s="103" t="s">
        <v>254</v>
      </c>
    </row>
    <row r="28" spans="2:4" x14ac:dyDescent="0.25">
      <c r="B28" s="99">
        <v>23</v>
      </c>
      <c r="C28" s="99" t="s">
        <v>205</v>
      </c>
      <c r="D28" s="104" t="s">
        <v>255</v>
      </c>
    </row>
    <row r="29" spans="2:4" x14ac:dyDescent="0.25">
      <c r="B29" s="99">
        <v>24</v>
      </c>
      <c r="C29" s="99" t="s">
        <v>206</v>
      </c>
      <c r="D29" s="103" t="s">
        <v>256</v>
      </c>
    </row>
    <row r="30" spans="2:4" x14ac:dyDescent="0.25">
      <c r="B30" s="99">
        <v>25</v>
      </c>
      <c r="C30" s="99" t="s">
        <v>207</v>
      </c>
      <c r="D30" s="104" t="s">
        <v>257</v>
      </c>
    </row>
    <row r="31" spans="2:4" x14ac:dyDescent="0.25">
      <c r="B31" s="99">
        <v>26</v>
      </c>
      <c r="C31" s="99" t="s">
        <v>208</v>
      </c>
      <c r="D31" s="103" t="s">
        <v>258</v>
      </c>
    </row>
    <row r="32" spans="2:4" x14ac:dyDescent="0.25">
      <c r="B32" s="99">
        <v>27</v>
      </c>
      <c r="C32" s="99" t="s">
        <v>209</v>
      </c>
      <c r="D32" s="104" t="s">
        <v>259</v>
      </c>
    </row>
    <row r="33" spans="2:4" x14ac:dyDescent="0.25">
      <c r="B33" s="99">
        <v>28</v>
      </c>
      <c r="C33" s="99" t="s">
        <v>210</v>
      </c>
      <c r="D33" s="103" t="s">
        <v>260</v>
      </c>
    </row>
    <row r="34" spans="2:4" x14ac:dyDescent="0.25">
      <c r="B34" s="99">
        <v>29</v>
      </c>
      <c r="C34" s="99" t="s">
        <v>211</v>
      </c>
      <c r="D34" s="104" t="s">
        <v>261</v>
      </c>
    </row>
  </sheetData>
  <conditionalFormatting sqref="C4:C34">
    <cfRule type="duplicateValues" dxfId="1" priority="2"/>
  </conditionalFormatting>
  <conditionalFormatting sqref="D4:D19">
    <cfRule type="duplicateValues" dxfId="0"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84C55-2437-4BCF-BFCF-7B9ABD484A5C}">
  <sheetPr>
    <tabColor rgb="FF7030A0"/>
  </sheetPr>
  <dimension ref="C3:C8"/>
  <sheetViews>
    <sheetView tabSelected="1" workbookViewId="0">
      <selection activeCell="C4" sqref="C4"/>
    </sheetView>
  </sheetViews>
  <sheetFormatPr baseColWidth="10" defaultRowHeight="15" x14ac:dyDescent="0.25"/>
  <cols>
    <col min="3" max="3" width="36.5703125" customWidth="1"/>
  </cols>
  <sheetData>
    <row r="3" spans="3:3" x14ac:dyDescent="0.25">
      <c r="C3" t="s">
        <v>230</v>
      </c>
    </row>
    <row r="4" spans="3:3" x14ac:dyDescent="0.25">
      <c r="C4" s="100" t="s">
        <v>225</v>
      </c>
    </row>
    <row r="5" spans="3:3" x14ac:dyDescent="0.25">
      <c r="C5" s="99" t="s">
        <v>226</v>
      </c>
    </row>
    <row r="6" spans="3:3" x14ac:dyDescent="0.25">
      <c r="C6" s="99" t="s">
        <v>227</v>
      </c>
    </row>
    <row r="7" spans="3:3" x14ac:dyDescent="0.25">
      <c r="C7" s="99" t="s">
        <v>228</v>
      </c>
    </row>
    <row r="8" spans="3:3" x14ac:dyDescent="0.25">
      <c r="C8" s="99" t="s">
        <v>229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baseColWidth="10" defaultColWidth="9.140625"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3" customFormat="1" ht="36" customHeight="1" x14ac:dyDescent="0.25">
      <c r="A1" s="4" t="s">
        <v>6</v>
      </c>
      <c r="B1" s="4" t="s">
        <v>131</v>
      </c>
      <c r="C1" s="3" t="s">
        <v>7</v>
      </c>
      <c r="D1" s="3" t="s">
        <v>9</v>
      </c>
      <c r="E1" s="3" t="s">
        <v>164</v>
      </c>
      <c r="F1" s="4" t="s">
        <v>169</v>
      </c>
      <c r="G1" s="3" t="s">
        <v>14</v>
      </c>
      <c r="H1" s="3" t="s">
        <v>68</v>
      </c>
      <c r="J1" s="3" t="s">
        <v>18</v>
      </c>
      <c r="K1" s="3" t="s">
        <v>17</v>
      </c>
      <c r="M1" s="3" t="s">
        <v>22</v>
      </c>
      <c r="N1" s="3" t="s">
        <v>23</v>
      </c>
      <c r="O1" s="3" t="s">
        <v>24</v>
      </c>
      <c r="P1" s="3" t="s">
        <v>25</v>
      </c>
    </row>
    <row r="2" spans="1:18" x14ac:dyDescent="0.25">
      <c r="A2" s="1" t="s">
        <v>52</v>
      </c>
      <c r="B2" s="1" t="s">
        <v>132</v>
      </c>
      <c r="C2" t="s">
        <v>55</v>
      </c>
      <c r="D2" t="s">
        <v>56</v>
      </c>
      <c r="E2" t="s">
        <v>56</v>
      </c>
      <c r="F2" s="1" t="s">
        <v>52</v>
      </c>
      <c r="G2" t="s">
        <v>66</v>
      </c>
      <c r="H2" t="s">
        <v>159</v>
      </c>
      <c r="J2" t="s">
        <v>19</v>
      </c>
      <c r="K2">
        <v>108</v>
      </c>
      <c r="M2" t="s">
        <v>146</v>
      </c>
      <c r="N2" t="s">
        <v>10</v>
      </c>
      <c r="O2">
        <v>1</v>
      </c>
      <c r="P2">
        <v>29</v>
      </c>
    </row>
    <row r="3" spans="1:18" x14ac:dyDescent="0.25">
      <c r="A3" s="1" t="s">
        <v>53</v>
      </c>
      <c r="B3" s="1" t="s">
        <v>133</v>
      </c>
      <c r="C3" t="s">
        <v>53</v>
      </c>
      <c r="D3" t="s">
        <v>57</v>
      </c>
      <c r="E3" t="s">
        <v>57</v>
      </c>
      <c r="F3" s="1" t="s">
        <v>53</v>
      </c>
      <c r="G3" t="s">
        <v>67</v>
      </c>
      <c r="H3" t="s">
        <v>69</v>
      </c>
      <c r="J3" t="s">
        <v>30</v>
      </c>
      <c r="K3" t="s">
        <v>31</v>
      </c>
      <c r="M3" t="s">
        <v>146</v>
      </c>
      <c r="N3" t="s">
        <v>15</v>
      </c>
      <c r="O3">
        <v>345.24591064453102</v>
      </c>
      <c r="P3">
        <v>7183.130859375</v>
      </c>
    </row>
    <row r="4" spans="1:18" x14ac:dyDescent="0.25">
      <c r="A4" s="1" t="s">
        <v>54</v>
      </c>
      <c r="B4" s="1" t="s">
        <v>134</v>
      </c>
      <c r="C4" t="s">
        <v>54</v>
      </c>
      <c r="D4" t="s">
        <v>58</v>
      </c>
      <c r="E4" t="s">
        <v>58</v>
      </c>
      <c r="F4" s="1" t="s">
        <v>54</v>
      </c>
      <c r="G4">
        <v>0</v>
      </c>
      <c r="H4" t="s">
        <v>70</v>
      </c>
      <c r="J4" t="s">
        <v>79</v>
      </c>
      <c r="M4" t="s">
        <v>146</v>
      </c>
      <c r="N4" t="s">
        <v>16</v>
      </c>
      <c r="O4">
        <v>1989.2001953125</v>
      </c>
      <c r="P4">
        <v>8009.4619140625</v>
      </c>
    </row>
    <row r="5" spans="1:18" ht="409.5" x14ac:dyDescent="0.25">
      <c r="A5">
        <v>1</v>
      </c>
      <c r="B5" s="1" t="s">
        <v>135</v>
      </c>
      <c r="C5" t="s">
        <v>52</v>
      </c>
      <c r="D5" t="s">
        <v>59</v>
      </c>
      <c r="E5" t="s">
        <v>59</v>
      </c>
      <c r="F5">
        <v>1</v>
      </c>
      <c r="G5">
        <v>1</v>
      </c>
      <c r="H5" t="s">
        <v>71</v>
      </c>
      <c r="J5" t="s">
        <v>172</v>
      </c>
      <c r="K5" s="7" t="s">
        <v>283</v>
      </c>
    </row>
    <row r="6" spans="1:18" x14ac:dyDescent="0.25">
      <c r="A6">
        <v>0</v>
      </c>
      <c r="B6" s="1" t="s">
        <v>136</v>
      </c>
      <c r="C6">
        <v>1</v>
      </c>
      <c r="D6" t="s">
        <v>60</v>
      </c>
      <c r="E6" t="s">
        <v>60</v>
      </c>
      <c r="F6">
        <v>0</v>
      </c>
      <c r="H6" t="s">
        <v>72</v>
      </c>
      <c r="J6" t="s">
        <v>173</v>
      </c>
      <c r="K6">
        <v>1</v>
      </c>
      <c r="R6" t="s">
        <v>129</v>
      </c>
    </row>
    <row r="7" spans="1:18" x14ac:dyDescent="0.25">
      <c r="A7">
        <v>2</v>
      </c>
      <c r="B7">
        <v>1</v>
      </c>
      <c r="C7">
        <v>0</v>
      </c>
      <c r="D7" t="s">
        <v>61</v>
      </c>
      <c r="E7" t="s">
        <v>61</v>
      </c>
      <c r="F7">
        <v>2</v>
      </c>
      <c r="H7" t="s">
        <v>73</v>
      </c>
      <c r="J7" t="s">
        <v>187</v>
      </c>
      <c r="K7" t="s">
        <v>212</v>
      </c>
    </row>
    <row r="8" spans="1:18" x14ac:dyDescent="0.25">
      <c r="A8"/>
      <c r="B8">
        <v>2</v>
      </c>
      <c r="C8">
        <v>2</v>
      </c>
      <c r="D8" t="s">
        <v>62</v>
      </c>
      <c r="E8" t="s">
        <v>62</v>
      </c>
      <c r="H8" t="s">
        <v>74</v>
      </c>
    </row>
    <row r="9" spans="1:18" x14ac:dyDescent="0.25">
      <c r="A9"/>
      <c r="B9">
        <v>3</v>
      </c>
      <c r="C9">
        <v>4</v>
      </c>
      <c r="D9" t="s">
        <v>63</v>
      </c>
      <c r="E9" t="s">
        <v>63</v>
      </c>
      <c r="H9" t="s">
        <v>75</v>
      </c>
    </row>
    <row r="10" spans="1:18" x14ac:dyDescent="0.25">
      <c r="A10"/>
      <c r="B10">
        <v>4</v>
      </c>
      <c r="D10" t="s">
        <v>64</v>
      </c>
      <c r="E10" t="s">
        <v>64</v>
      </c>
      <c r="H10" t="s">
        <v>76</v>
      </c>
    </row>
    <row r="11" spans="1:18" x14ac:dyDescent="0.25">
      <c r="A11"/>
      <c r="B11">
        <v>5</v>
      </c>
      <c r="D11" t="s">
        <v>47</v>
      </c>
      <c r="E11">
        <v>1</v>
      </c>
      <c r="H11" t="s">
        <v>77</v>
      </c>
    </row>
    <row r="12" spans="1:18" x14ac:dyDescent="0.25">
      <c r="A12"/>
      <c r="B12"/>
      <c r="D12" t="s">
        <v>65</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AK34"/>
  <sheetViews>
    <sheetView workbookViewId="0">
      <pane xSplit="1" ySplit="2" topLeftCell="B3" activePane="bottomRight" state="frozen"/>
      <selection pane="topRight" activeCell="B1" sqref="B1"/>
      <selection pane="bottomLeft" activeCell="A3" sqref="A3"/>
      <selection pane="bottomRight" activeCell="AC6" sqref="AC6:AK6"/>
    </sheetView>
  </sheetViews>
  <sheetFormatPr baseColWidth="10" defaultColWidth="9.140625" defaultRowHeight="15" x14ac:dyDescent="0.25"/>
  <cols>
    <col min="1" max="1" width="43.140625" style="1" customWidth="1"/>
    <col min="2" max="2" width="7.85546875" customWidth="1"/>
    <col min="3" max="3" width="9.42578125" customWidth="1"/>
    <col min="4" max="4" width="6.7109375" customWidth="1"/>
    <col min="5" max="5" width="9.85546875" customWidth="1"/>
    <col min="6" max="6" width="7.7109375" customWidth="1"/>
    <col min="7" max="7" width="11" customWidth="1"/>
    <col min="8" max="8" width="26.5703125" customWidth="1"/>
    <col min="9" max="9" width="9.7109375" customWidth="1"/>
    <col min="10" max="10" width="10.5703125"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hidden="1" customWidth="1"/>
    <col min="28" max="28" width="16" hidden="1" customWidth="1"/>
    <col min="29" max="29" width="16" style="5" bestFit="1" customWidth="1"/>
    <col min="30" max="30" width="24.7109375" style="2" customWidth="1"/>
    <col min="31" max="31" width="16.7109375" customWidth="1"/>
    <col min="32" max="32" width="19.28515625" customWidth="1"/>
    <col min="33" max="33" width="24" customWidth="1"/>
    <col min="34" max="34" width="22.42578125" customWidth="1"/>
    <col min="35" max="35" width="13.7109375" customWidth="1"/>
    <col min="36" max="36" width="16" customWidth="1"/>
    <col min="37" max="37" width="25.42578125" customWidth="1"/>
    <col min="38" max="39" width="9.140625" customWidth="1"/>
  </cols>
  <sheetData>
    <row r="1" spans="1:37" x14ac:dyDescent="0.25">
      <c r="B1" s="22" t="s">
        <v>40</v>
      </c>
      <c r="C1" s="15"/>
      <c r="D1" s="15"/>
      <c r="E1" s="15"/>
      <c r="F1" s="15"/>
      <c r="G1" s="15"/>
      <c r="H1" s="24" t="s">
        <v>44</v>
      </c>
      <c r="I1" s="23"/>
      <c r="J1" s="23"/>
      <c r="K1" s="23"/>
      <c r="L1" s="26" t="s">
        <v>45</v>
      </c>
      <c r="M1" s="25"/>
      <c r="N1" s="25"/>
      <c r="O1" s="25"/>
      <c r="P1" s="25"/>
      <c r="Q1" s="25"/>
      <c r="R1" s="21" t="s">
        <v>43</v>
      </c>
      <c r="S1" s="18"/>
      <c r="T1" s="19"/>
      <c r="U1" s="20"/>
      <c r="V1" s="18"/>
      <c r="W1" s="18"/>
      <c r="X1" s="18"/>
      <c r="Y1" s="18"/>
      <c r="Z1" s="18"/>
      <c r="AA1" s="27" t="s">
        <v>41</v>
      </c>
      <c r="AB1" s="17"/>
      <c r="AC1" s="28" t="s">
        <v>42</v>
      </c>
      <c r="AD1"/>
    </row>
    <row r="2" spans="1:37" ht="30" customHeight="1" x14ac:dyDescent="0.25">
      <c r="A2" s="10" t="s">
        <v>5</v>
      </c>
      <c r="B2" s="7" t="s">
        <v>2</v>
      </c>
      <c r="C2" s="7" t="s">
        <v>8</v>
      </c>
      <c r="D2" s="8" t="s">
        <v>46</v>
      </c>
      <c r="E2" s="9" t="s">
        <v>4</v>
      </c>
      <c r="F2" s="7" t="s">
        <v>49</v>
      </c>
      <c r="G2" s="7" t="s">
        <v>11</v>
      </c>
      <c r="H2" s="7" t="s">
        <v>47</v>
      </c>
      <c r="I2" s="7" t="s">
        <v>48</v>
      </c>
      <c r="J2" s="7" t="s">
        <v>78</v>
      </c>
      <c r="K2" s="7" t="s">
        <v>10</v>
      </c>
      <c r="L2" s="7" t="s">
        <v>27</v>
      </c>
      <c r="M2" s="7" t="s">
        <v>15</v>
      </c>
      <c r="N2" s="7" t="s">
        <v>16</v>
      </c>
      <c r="O2" s="7" t="s">
        <v>13</v>
      </c>
      <c r="P2" s="7" t="s">
        <v>28</v>
      </c>
      <c r="Q2" s="7" t="s">
        <v>29</v>
      </c>
      <c r="R2" s="7" t="s">
        <v>32</v>
      </c>
      <c r="S2" s="7" t="s">
        <v>33</v>
      </c>
      <c r="T2" s="7" t="s">
        <v>34</v>
      </c>
      <c r="U2" s="7" t="s">
        <v>35</v>
      </c>
      <c r="V2" s="7" t="s">
        <v>36</v>
      </c>
      <c r="W2" s="7" t="s">
        <v>37</v>
      </c>
      <c r="X2" s="7" t="s">
        <v>137</v>
      </c>
      <c r="Y2" s="7" t="s">
        <v>38</v>
      </c>
      <c r="Z2" s="7" t="s">
        <v>170</v>
      </c>
      <c r="AA2" s="10" t="s">
        <v>12</v>
      </c>
      <c r="AB2" s="10" t="s">
        <v>39</v>
      </c>
      <c r="AC2" s="7" t="s">
        <v>26</v>
      </c>
      <c r="AD2" s="113" t="s">
        <v>214</v>
      </c>
      <c r="AE2" s="113" t="s">
        <v>213</v>
      </c>
      <c r="AF2" s="113" t="s">
        <v>263</v>
      </c>
      <c r="AG2" s="113" t="s">
        <v>264</v>
      </c>
      <c r="AH2" s="113" t="s">
        <v>265</v>
      </c>
      <c r="AI2" s="113" t="s">
        <v>266</v>
      </c>
      <c r="AJ2" s="113" t="s">
        <v>267</v>
      </c>
      <c r="AK2" s="113" t="s">
        <v>268</v>
      </c>
    </row>
    <row r="3" spans="1:37" ht="15" customHeight="1" x14ac:dyDescent="0.25">
      <c r="A3" s="99" t="s">
        <v>231</v>
      </c>
      <c r="B3" s="49"/>
      <c r="C3" s="86" t="s">
        <v>60</v>
      </c>
      <c r="D3" s="50">
        <v>20</v>
      </c>
      <c r="E3" s="51"/>
      <c r="F3" s="49"/>
      <c r="G3" s="49"/>
      <c r="H3" s="120" t="s">
        <v>231</v>
      </c>
      <c r="I3" s="52"/>
      <c r="J3" s="52" t="s">
        <v>73</v>
      </c>
      <c r="K3" s="53">
        <v>1</v>
      </c>
      <c r="L3" s="55"/>
      <c r="M3" s="56">
        <v>3267.822021484375</v>
      </c>
      <c r="N3" s="56">
        <v>1960.4769287109375</v>
      </c>
      <c r="O3" s="54"/>
      <c r="P3" s="57"/>
      <c r="Q3" s="57"/>
      <c r="R3" s="46"/>
      <c r="S3" s="46"/>
      <c r="T3" s="46"/>
      <c r="U3" s="46"/>
      <c r="V3" s="47"/>
      <c r="W3" s="47"/>
      <c r="X3" s="48"/>
      <c r="Y3" s="47"/>
      <c r="Z3" s="47"/>
      <c r="AA3" s="58">
        <v>3</v>
      </c>
      <c r="AB3" s="125"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0</v>
      </c>
      <c r="AC3" s="127"/>
      <c r="AD3" s="124" t="s">
        <v>231</v>
      </c>
      <c r="AE3" s="106"/>
      <c r="AF3" s="106"/>
      <c r="AG3" s="106"/>
      <c r="AH3" s="135" t="s">
        <v>285</v>
      </c>
      <c r="AI3" s="106"/>
      <c r="AJ3" s="106"/>
      <c r="AK3" s="106" t="s">
        <v>228</v>
      </c>
    </row>
    <row r="4" spans="1:37" ht="30" x14ac:dyDescent="0.25">
      <c r="A4" s="99" t="s">
        <v>232</v>
      </c>
      <c r="B4" s="49"/>
      <c r="C4" s="86" t="s">
        <v>60</v>
      </c>
      <c r="D4" s="50">
        <v>20</v>
      </c>
      <c r="E4" s="79"/>
      <c r="F4" s="12"/>
      <c r="G4" s="64"/>
      <c r="H4" s="122" t="s">
        <v>232</v>
      </c>
      <c r="I4" s="118"/>
      <c r="J4" s="52" t="s">
        <v>73</v>
      </c>
      <c r="K4" s="13">
        <v>2</v>
      </c>
      <c r="L4" s="80"/>
      <c r="M4" s="81">
        <v>3267.822021484375</v>
      </c>
      <c r="N4" s="81">
        <v>4999.25634765625</v>
      </c>
      <c r="O4" s="73"/>
      <c r="P4" s="82"/>
      <c r="Q4" s="82"/>
      <c r="R4" s="83"/>
      <c r="S4" s="83"/>
      <c r="T4" s="83"/>
      <c r="U4" s="83"/>
      <c r="V4" s="84"/>
      <c r="W4" s="84"/>
      <c r="X4" s="84"/>
      <c r="Y4" s="84"/>
      <c r="Z4" s="47"/>
      <c r="AA4" s="78">
        <v>4</v>
      </c>
      <c r="AB4" s="126"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4" s="128"/>
      <c r="AD4" s="124" t="s">
        <v>232</v>
      </c>
      <c r="AE4" s="106"/>
      <c r="AF4" s="106"/>
      <c r="AG4" s="106"/>
      <c r="AH4" s="135" t="s">
        <v>285</v>
      </c>
      <c r="AI4" s="106"/>
      <c r="AJ4" s="106"/>
      <c r="AK4" s="106" t="s">
        <v>228</v>
      </c>
    </row>
    <row r="5" spans="1:37" ht="30" x14ac:dyDescent="0.25">
      <c r="A5" s="99" t="s">
        <v>233</v>
      </c>
      <c r="B5" s="12"/>
      <c r="C5" s="86" t="s">
        <v>60</v>
      </c>
      <c r="D5" s="50">
        <v>20</v>
      </c>
      <c r="E5" s="79"/>
      <c r="F5" s="12"/>
      <c r="G5" s="64"/>
      <c r="H5" s="123" t="s">
        <v>233</v>
      </c>
      <c r="I5" s="118"/>
      <c r="J5" s="52" t="s">
        <v>73</v>
      </c>
      <c r="K5" s="13">
        <v>3</v>
      </c>
      <c r="L5" s="80"/>
      <c r="M5" s="81">
        <v>2757.790771484375</v>
      </c>
      <c r="N5" s="81">
        <v>8038.03662109375</v>
      </c>
      <c r="O5" s="73"/>
      <c r="P5" s="82"/>
      <c r="Q5" s="82"/>
      <c r="R5" s="83"/>
      <c r="S5" s="83"/>
      <c r="T5" s="83"/>
      <c r="U5" s="83"/>
      <c r="V5" s="84"/>
      <c r="W5" s="84"/>
      <c r="X5" s="84"/>
      <c r="Y5" s="84"/>
      <c r="Z5" s="47"/>
      <c r="AA5" s="78">
        <v>5</v>
      </c>
      <c r="AB5" s="126"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0</v>
      </c>
      <c r="AC5" s="128"/>
      <c r="AD5" s="124" t="s">
        <v>233</v>
      </c>
      <c r="AE5" s="106"/>
      <c r="AF5" s="106"/>
      <c r="AG5" s="106"/>
      <c r="AH5" s="135" t="s">
        <v>285</v>
      </c>
      <c r="AI5" s="106"/>
      <c r="AJ5" s="106"/>
      <c r="AK5" s="106" t="s">
        <v>228</v>
      </c>
    </row>
    <row r="6" spans="1:37" ht="45" x14ac:dyDescent="0.25">
      <c r="A6" s="99" t="s">
        <v>235</v>
      </c>
      <c r="B6" s="12"/>
      <c r="C6" s="86" t="s">
        <v>60</v>
      </c>
      <c r="D6" s="50">
        <v>20</v>
      </c>
      <c r="E6" s="79"/>
      <c r="F6" s="12"/>
      <c r="G6" s="64"/>
      <c r="H6" s="123" t="s">
        <v>235</v>
      </c>
      <c r="I6" s="118"/>
      <c r="J6" s="52" t="s">
        <v>73</v>
      </c>
      <c r="K6" s="13">
        <v>4</v>
      </c>
      <c r="L6" s="80"/>
      <c r="M6" s="81">
        <v>7321.49853515625</v>
      </c>
      <c r="N6" s="81">
        <v>8229.4755859375</v>
      </c>
      <c r="O6" s="73"/>
      <c r="P6" s="82"/>
      <c r="Q6" s="82"/>
      <c r="R6" s="83"/>
      <c r="S6" s="83"/>
      <c r="T6" s="83"/>
      <c r="U6" s="83"/>
      <c r="V6" s="84"/>
      <c r="W6" s="84"/>
      <c r="X6" s="84"/>
      <c r="Y6" s="84"/>
      <c r="Z6" s="47"/>
      <c r="AA6" s="78">
        <v>6</v>
      </c>
      <c r="AB6" s="126"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0</v>
      </c>
      <c r="AC6" s="128"/>
      <c r="AD6" s="124" t="s">
        <v>235</v>
      </c>
      <c r="AE6" s="106"/>
      <c r="AF6" s="106"/>
      <c r="AG6" s="106"/>
      <c r="AH6" s="135" t="s">
        <v>286</v>
      </c>
      <c r="AI6" s="106"/>
      <c r="AJ6" s="106"/>
      <c r="AK6" s="106" t="s">
        <v>228</v>
      </c>
    </row>
    <row r="7" spans="1:37" ht="30" x14ac:dyDescent="0.25">
      <c r="A7" s="99"/>
      <c r="B7" s="86"/>
      <c r="C7" s="86" t="s">
        <v>60</v>
      </c>
      <c r="D7" s="50">
        <v>20</v>
      </c>
      <c r="E7" s="87"/>
      <c r="F7" s="86"/>
      <c r="G7" s="117"/>
      <c r="H7" s="123"/>
      <c r="I7" s="119"/>
      <c r="J7" s="52" t="s">
        <v>73</v>
      </c>
      <c r="K7" s="88">
        <v>5</v>
      </c>
      <c r="L7" s="80"/>
      <c r="M7" s="81">
        <v>9533.9208984375</v>
      </c>
      <c r="N7" s="81">
        <v>8038.03662109375</v>
      </c>
      <c r="O7" s="73"/>
      <c r="P7" s="82"/>
      <c r="Q7" s="82"/>
      <c r="R7" s="83"/>
      <c r="S7" s="83"/>
      <c r="T7" s="83"/>
      <c r="U7" s="83"/>
      <c r="V7" s="84"/>
      <c r="W7" s="84"/>
      <c r="X7" s="84"/>
      <c r="Y7" s="84"/>
      <c r="Z7" s="47"/>
      <c r="AA7" s="78">
        <v>7</v>
      </c>
      <c r="AB7"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0</v>
      </c>
      <c r="AC7" s="85"/>
      <c r="AD7" s="1"/>
      <c r="AE7" s="1"/>
      <c r="AF7" s="1"/>
      <c r="AG7" s="1"/>
      <c r="AH7" s="1"/>
      <c r="AI7" s="1"/>
      <c r="AJ7" s="1"/>
      <c r="AK7" s="1"/>
    </row>
    <row r="8" spans="1:37" ht="30" x14ac:dyDescent="0.25">
      <c r="A8" s="99"/>
      <c r="B8" s="12"/>
      <c r="C8" s="86" t="s">
        <v>60</v>
      </c>
      <c r="D8" s="50">
        <v>20</v>
      </c>
      <c r="E8" s="79"/>
      <c r="F8" s="12"/>
      <c r="G8" s="64"/>
      <c r="H8" s="123"/>
      <c r="I8" s="118"/>
      <c r="J8" s="52" t="s">
        <v>73</v>
      </c>
      <c r="K8" s="13">
        <v>6</v>
      </c>
      <c r="L8" s="90"/>
      <c r="M8" s="91">
        <v>7183.130859375</v>
      </c>
      <c r="N8" s="91">
        <v>1989.2001953125</v>
      </c>
      <c r="O8" s="92"/>
      <c r="P8" s="93"/>
      <c r="Q8" s="93"/>
      <c r="R8" s="94"/>
      <c r="S8" s="94"/>
      <c r="T8" s="94"/>
      <c r="U8" s="94"/>
      <c r="V8" s="95"/>
      <c r="W8" s="95"/>
      <c r="X8" s="95"/>
      <c r="Y8" s="95"/>
      <c r="Z8" s="96"/>
      <c r="AA8" s="97">
        <v>8</v>
      </c>
      <c r="AB8" s="97"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8" s="98"/>
      <c r="AD8" s="1"/>
      <c r="AE8" s="1"/>
      <c r="AF8" s="1"/>
      <c r="AG8" s="1"/>
      <c r="AH8" s="1"/>
      <c r="AI8" s="1"/>
      <c r="AJ8" s="1"/>
      <c r="AK8" s="1"/>
    </row>
    <row r="9" spans="1:37" ht="30" x14ac:dyDescent="0.25">
      <c r="A9" s="99"/>
      <c r="B9" s="12"/>
      <c r="C9" s="86" t="s">
        <v>60</v>
      </c>
      <c r="D9" s="50">
        <v>20</v>
      </c>
      <c r="E9" s="79"/>
      <c r="F9" s="12"/>
      <c r="G9" s="12"/>
      <c r="H9" s="121"/>
      <c r="I9" s="62"/>
      <c r="J9" s="52" t="s">
        <v>73</v>
      </c>
      <c r="K9" s="13">
        <v>7</v>
      </c>
      <c r="L9" s="80"/>
      <c r="M9" s="81"/>
      <c r="N9" s="81"/>
      <c r="O9" s="73"/>
      <c r="P9" s="82"/>
      <c r="Q9" s="82"/>
      <c r="R9" s="83"/>
      <c r="S9" s="83"/>
      <c r="T9" s="83"/>
      <c r="U9" s="83"/>
      <c r="V9" s="84"/>
      <c r="W9" s="84"/>
      <c r="X9" s="84"/>
      <c r="Y9" s="84"/>
      <c r="Z9" s="47"/>
      <c r="AA9" s="78">
        <v>9</v>
      </c>
      <c r="AB9"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9" s="85"/>
      <c r="AD9" s="1"/>
      <c r="AE9" s="1"/>
      <c r="AF9" s="1"/>
      <c r="AG9" s="1"/>
      <c r="AH9" s="1"/>
      <c r="AI9" s="1"/>
      <c r="AJ9" s="1"/>
      <c r="AK9" s="1"/>
    </row>
    <row r="10" spans="1:37" ht="30" x14ac:dyDescent="0.25">
      <c r="A10" s="99"/>
      <c r="B10" s="12"/>
      <c r="C10" s="86" t="s">
        <v>60</v>
      </c>
      <c r="D10" s="50">
        <v>20</v>
      </c>
      <c r="E10" s="79"/>
      <c r="F10" s="12"/>
      <c r="G10" s="12"/>
      <c r="H10" s="13"/>
      <c r="I10" s="62"/>
      <c r="J10" s="52" t="s">
        <v>73</v>
      </c>
      <c r="K10" s="13">
        <v>7</v>
      </c>
      <c r="L10" s="80"/>
      <c r="M10" s="81"/>
      <c r="N10" s="81"/>
      <c r="O10" s="73"/>
      <c r="P10" s="82"/>
      <c r="Q10" s="82"/>
      <c r="R10" s="83"/>
      <c r="S10" s="83"/>
      <c r="T10" s="83"/>
      <c r="U10" s="83"/>
      <c r="V10" s="84"/>
      <c r="W10" s="84"/>
      <c r="X10" s="84"/>
      <c r="Y10" s="84"/>
      <c r="Z10" s="47"/>
      <c r="AA10" s="78">
        <v>10</v>
      </c>
      <c r="AB10"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10" s="85"/>
      <c r="AD10" s="1"/>
      <c r="AE10" s="1"/>
      <c r="AF10" s="1"/>
      <c r="AG10" s="1"/>
      <c r="AH10" s="1"/>
      <c r="AI10" s="1"/>
      <c r="AJ10" s="1"/>
      <c r="AK10" s="1"/>
    </row>
    <row r="11" spans="1:37" ht="30" x14ac:dyDescent="0.25">
      <c r="A11" s="99"/>
      <c r="B11" s="12"/>
      <c r="C11" s="86" t="s">
        <v>60</v>
      </c>
      <c r="D11" s="50">
        <v>20</v>
      </c>
      <c r="E11" s="79"/>
      <c r="F11" s="12"/>
      <c r="G11" s="12"/>
      <c r="H11" s="13"/>
      <c r="I11" s="62"/>
      <c r="J11" s="52" t="s">
        <v>73</v>
      </c>
      <c r="K11" s="13">
        <v>8</v>
      </c>
      <c r="L11" s="80"/>
      <c r="M11" s="81"/>
      <c r="N11" s="81"/>
      <c r="O11" s="73"/>
      <c r="P11" s="82"/>
      <c r="Q11" s="82"/>
      <c r="R11" s="83"/>
      <c r="S11" s="83"/>
      <c r="T11" s="83"/>
      <c r="U11" s="83"/>
      <c r="V11" s="84"/>
      <c r="W11" s="84"/>
      <c r="X11" s="84"/>
      <c r="Y11" s="84"/>
      <c r="Z11" s="47"/>
      <c r="AA11" s="78">
        <v>11</v>
      </c>
      <c r="AB11"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11" s="85"/>
      <c r="AD11" s="1"/>
      <c r="AE11" s="1"/>
      <c r="AF11" s="1"/>
      <c r="AG11" s="1"/>
      <c r="AH11" s="1"/>
      <c r="AI11" s="1"/>
      <c r="AJ11" s="1"/>
      <c r="AK11" s="1"/>
    </row>
    <row r="12" spans="1:37" ht="30" x14ac:dyDescent="0.25">
      <c r="A12" s="99"/>
      <c r="B12" s="12"/>
      <c r="C12" s="86" t="s">
        <v>60</v>
      </c>
      <c r="D12" s="50">
        <v>20</v>
      </c>
      <c r="E12" s="79"/>
      <c r="F12" s="12"/>
      <c r="G12" s="12"/>
      <c r="H12" s="13"/>
      <c r="I12" s="62"/>
      <c r="J12" s="52" t="s">
        <v>73</v>
      </c>
      <c r="K12" s="13">
        <v>9</v>
      </c>
      <c r="L12" s="80"/>
      <c r="M12" s="81"/>
      <c r="N12" s="81"/>
      <c r="O12" s="73"/>
      <c r="P12" s="82"/>
      <c r="Q12" s="82"/>
      <c r="R12" s="83"/>
      <c r="S12" s="83"/>
      <c r="T12" s="83"/>
      <c r="U12" s="83"/>
      <c r="V12" s="84"/>
      <c r="W12" s="84"/>
      <c r="X12" s="84"/>
      <c r="Y12" s="84"/>
      <c r="Z12" s="47"/>
      <c r="AA12" s="78">
        <v>12</v>
      </c>
      <c r="AB12"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12" s="85"/>
      <c r="AD12" s="1"/>
      <c r="AE12" s="1"/>
      <c r="AF12" s="1"/>
      <c r="AG12" s="1"/>
      <c r="AH12" s="1"/>
      <c r="AI12" s="1"/>
      <c r="AJ12" s="1"/>
      <c r="AK12" s="1"/>
    </row>
    <row r="13" spans="1:37" ht="30" x14ac:dyDescent="0.25">
      <c r="A13" s="99"/>
      <c r="B13" s="12"/>
      <c r="C13" s="86" t="s">
        <v>60</v>
      </c>
      <c r="D13" s="50">
        <v>20</v>
      </c>
      <c r="E13" s="79"/>
      <c r="F13" s="12"/>
      <c r="G13" s="12"/>
      <c r="H13" s="13"/>
      <c r="I13" s="62"/>
      <c r="J13" s="52" t="s">
        <v>73</v>
      </c>
      <c r="K13" s="13">
        <v>9</v>
      </c>
      <c r="L13" s="80"/>
      <c r="M13" s="81"/>
      <c r="N13" s="81"/>
      <c r="O13" s="73"/>
      <c r="P13" s="82"/>
      <c r="Q13" s="82"/>
      <c r="R13" s="83"/>
      <c r="S13" s="83"/>
      <c r="T13" s="83"/>
      <c r="U13" s="83"/>
      <c r="V13" s="84"/>
      <c r="W13" s="84"/>
      <c r="X13" s="84"/>
      <c r="Y13" s="84"/>
      <c r="Z13" s="47"/>
      <c r="AA13" s="78">
        <v>13</v>
      </c>
      <c r="AB13"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13" s="85"/>
      <c r="AD13" s="1"/>
      <c r="AE13" s="1"/>
      <c r="AF13" s="1"/>
      <c r="AG13" s="1"/>
      <c r="AH13" s="1"/>
      <c r="AI13" s="1"/>
      <c r="AJ13" s="1"/>
      <c r="AK13" s="1"/>
    </row>
    <row r="14" spans="1:37" ht="30" x14ac:dyDescent="0.25">
      <c r="A14" s="99"/>
      <c r="B14" s="12"/>
      <c r="C14" s="86" t="s">
        <v>60</v>
      </c>
      <c r="D14" s="50">
        <v>20</v>
      </c>
      <c r="E14" s="79"/>
      <c r="F14" s="12"/>
      <c r="G14" s="12"/>
      <c r="H14" s="13"/>
      <c r="I14" s="62"/>
      <c r="J14" s="52" t="s">
        <v>73</v>
      </c>
      <c r="K14" s="13">
        <v>10</v>
      </c>
      <c r="L14" s="80"/>
      <c r="M14" s="81"/>
      <c r="N14" s="81"/>
      <c r="O14" s="73"/>
      <c r="P14" s="82"/>
      <c r="Q14" s="82"/>
      <c r="R14" s="83"/>
      <c r="S14" s="83"/>
      <c r="T14" s="83"/>
      <c r="U14" s="83"/>
      <c r="V14" s="84"/>
      <c r="W14" s="84"/>
      <c r="X14" s="84"/>
      <c r="Y14" s="84"/>
      <c r="Z14" s="47"/>
      <c r="AA14" s="78">
        <v>14</v>
      </c>
      <c r="AB14"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14" s="85"/>
      <c r="AD14" s="1"/>
      <c r="AE14" s="1"/>
      <c r="AF14" s="1"/>
      <c r="AG14" s="1"/>
      <c r="AH14" s="1"/>
      <c r="AI14" s="1"/>
      <c r="AJ14" s="1"/>
      <c r="AK14" s="1"/>
    </row>
    <row r="15" spans="1:37" ht="30" x14ac:dyDescent="0.25">
      <c r="A15" s="99"/>
      <c r="B15" s="12"/>
      <c r="C15" s="86" t="s">
        <v>60</v>
      </c>
      <c r="D15" s="50">
        <v>20</v>
      </c>
      <c r="E15" s="79"/>
      <c r="F15" s="12"/>
      <c r="G15" s="12"/>
      <c r="H15" s="13"/>
      <c r="I15" s="62"/>
      <c r="J15" s="52" t="s">
        <v>73</v>
      </c>
      <c r="K15" s="13">
        <v>11</v>
      </c>
      <c r="L15" s="80"/>
      <c r="M15" s="81"/>
      <c r="N15" s="81"/>
      <c r="O15" s="73"/>
      <c r="P15" s="82"/>
      <c r="Q15" s="82"/>
      <c r="R15" s="83"/>
      <c r="S15" s="83"/>
      <c r="T15" s="83"/>
      <c r="U15" s="83"/>
      <c r="V15" s="84"/>
      <c r="W15" s="84"/>
      <c r="X15" s="84"/>
      <c r="Y15" s="84"/>
      <c r="Z15" s="47"/>
      <c r="AA15" s="78">
        <v>15</v>
      </c>
      <c r="AB15"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15" s="85"/>
      <c r="AD15" s="1"/>
      <c r="AE15" s="1"/>
      <c r="AF15" s="1"/>
      <c r="AG15" s="1"/>
      <c r="AH15" s="1"/>
      <c r="AI15" s="1"/>
      <c r="AJ15" s="1"/>
      <c r="AK15" s="1"/>
    </row>
    <row r="16" spans="1:37" ht="30" x14ac:dyDescent="0.25">
      <c r="A16" s="99"/>
      <c r="B16" s="12"/>
      <c r="C16" s="86" t="s">
        <v>60</v>
      </c>
      <c r="D16" s="50">
        <v>20</v>
      </c>
      <c r="E16" s="79"/>
      <c r="F16" s="12"/>
      <c r="G16" s="12"/>
      <c r="H16" s="13"/>
      <c r="I16" s="62"/>
      <c r="J16" s="52" t="s">
        <v>73</v>
      </c>
      <c r="K16" s="13">
        <v>12</v>
      </c>
      <c r="L16" s="80"/>
      <c r="M16" s="81"/>
      <c r="N16" s="81"/>
      <c r="O16" s="73"/>
      <c r="P16" s="82"/>
      <c r="Q16" s="82"/>
      <c r="R16" s="83"/>
      <c r="S16" s="83"/>
      <c r="T16" s="83"/>
      <c r="U16" s="83"/>
      <c r="V16" s="84"/>
      <c r="W16" s="84"/>
      <c r="X16" s="84"/>
      <c r="Y16" s="84"/>
      <c r="Z16" s="47"/>
      <c r="AA16" s="78">
        <v>16</v>
      </c>
      <c r="AB16"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16" s="85"/>
      <c r="AD16" s="1"/>
      <c r="AE16" s="1"/>
      <c r="AF16" s="1"/>
      <c r="AG16" s="1"/>
      <c r="AH16" s="1"/>
      <c r="AI16" s="1"/>
      <c r="AJ16" s="1"/>
      <c r="AK16" s="1"/>
    </row>
    <row r="17" spans="1:37" ht="30" x14ac:dyDescent="0.25">
      <c r="A17" s="99"/>
      <c r="B17" s="12"/>
      <c r="C17" s="86" t="s">
        <v>60</v>
      </c>
      <c r="D17" s="50">
        <v>20</v>
      </c>
      <c r="E17" s="79"/>
      <c r="F17" s="12"/>
      <c r="G17" s="12"/>
      <c r="H17" s="13"/>
      <c r="I17" s="62"/>
      <c r="J17" s="52" t="s">
        <v>73</v>
      </c>
      <c r="K17" s="13">
        <v>13</v>
      </c>
      <c r="L17" s="80"/>
      <c r="M17" s="81"/>
      <c r="N17" s="81"/>
      <c r="O17" s="73"/>
      <c r="P17" s="82"/>
      <c r="Q17" s="82"/>
      <c r="R17" s="83"/>
      <c r="S17" s="83"/>
      <c r="T17" s="83"/>
      <c r="U17" s="83"/>
      <c r="V17" s="84"/>
      <c r="W17" s="84"/>
      <c r="X17" s="84"/>
      <c r="Y17" s="84"/>
      <c r="Z17" s="47"/>
      <c r="AA17" s="78">
        <v>17</v>
      </c>
      <c r="AB17"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17" s="85"/>
      <c r="AD17" s="1"/>
      <c r="AE17" s="1"/>
      <c r="AF17" s="1"/>
      <c r="AG17" s="1"/>
      <c r="AH17" s="1"/>
      <c r="AI17" s="1"/>
      <c r="AJ17" s="1"/>
      <c r="AK17" s="1"/>
    </row>
    <row r="18" spans="1:37" ht="30" x14ac:dyDescent="0.25">
      <c r="A18" s="99"/>
      <c r="B18" s="12"/>
      <c r="C18" s="86" t="s">
        <v>60</v>
      </c>
      <c r="D18" s="50">
        <v>20</v>
      </c>
      <c r="E18" s="79"/>
      <c r="F18" s="12"/>
      <c r="G18" s="12"/>
      <c r="H18" s="13"/>
      <c r="I18" s="62"/>
      <c r="J18" s="52" t="s">
        <v>73</v>
      </c>
      <c r="K18" s="13">
        <v>14</v>
      </c>
      <c r="L18" s="80"/>
      <c r="M18" s="81"/>
      <c r="N18" s="81"/>
      <c r="O18" s="73"/>
      <c r="P18" s="82"/>
      <c r="Q18" s="82"/>
      <c r="R18" s="83"/>
      <c r="S18" s="83"/>
      <c r="T18" s="83"/>
      <c r="U18" s="83"/>
      <c r="V18" s="84"/>
      <c r="W18" s="84"/>
      <c r="X18" s="84"/>
      <c r="Y18" s="84"/>
      <c r="Z18" s="47"/>
      <c r="AA18" s="78">
        <v>18</v>
      </c>
      <c r="AB18"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18" s="85"/>
      <c r="AD18" s="1"/>
      <c r="AE18" s="1"/>
      <c r="AF18" s="1"/>
      <c r="AG18" s="1"/>
      <c r="AH18" s="1"/>
      <c r="AI18" s="1"/>
      <c r="AJ18" s="1"/>
      <c r="AK18" s="1"/>
    </row>
    <row r="19" spans="1:37" ht="30" x14ac:dyDescent="0.25">
      <c r="A19" s="99"/>
      <c r="B19" s="12"/>
      <c r="C19" s="86" t="s">
        <v>60</v>
      </c>
      <c r="D19" s="50">
        <v>20</v>
      </c>
      <c r="E19" s="79"/>
      <c r="F19" s="12"/>
      <c r="G19" s="12"/>
      <c r="H19" s="13"/>
      <c r="I19" s="62"/>
      <c r="J19" s="52" t="s">
        <v>73</v>
      </c>
      <c r="K19" s="13">
        <v>15</v>
      </c>
      <c r="L19" s="80"/>
      <c r="M19" s="81"/>
      <c r="N19" s="81"/>
      <c r="O19" s="73"/>
      <c r="P19" s="82"/>
      <c r="Q19" s="82"/>
      <c r="R19" s="83"/>
      <c r="S19" s="83"/>
      <c r="T19" s="83"/>
      <c r="U19" s="83"/>
      <c r="V19" s="84"/>
      <c r="W19" s="84"/>
      <c r="X19" s="84"/>
      <c r="Y19" s="84"/>
      <c r="Z19" s="47"/>
      <c r="AA19" s="78">
        <v>19</v>
      </c>
      <c r="AB19"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19" s="85"/>
      <c r="AD19" s="1"/>
      <c r="AE19" s="1"/>
      <c r="AF19" s="1"/>
      <c r="AG19" s="1"/>
      <c r="AH19" s="1"/>
      <c r="AI19" s="1"/>
      <c r="AJ19" s="1"/>
      <c r="AK19" s="1"/>
    </row>
    <row r="20" spans="1:37" ht="30" x14ac:dyDescent="0.25">
      <c r="A20" s="99"/>
      <c r="B20" s="12"/>
      <c r="C20" s="86" t="s">
        <v>60</v>
      </c>
      <c r="D20" s="50">
        <v>20</v>
      </c>
      <c r="E20" s="79"/>
      <c r="F20" s="12"/>
      <c r="G20" s="12"/>
      <c r="H20" s="13"/>
      <c r="I20" s="62"/>
      <c r="J20" s="52" t="s">
        <v>73</v>
      </c>
      <c r="K20" s="13">
        <v>16</v>
      </c>
      <c r="L20" s="80"/>
      <c r="M20" s="81"/>
      <c r="N20" s="81"/>
      <c r="O20" s="73"/>
      <c r="P20" s="82"/>
      <c r="Q20" s="82"/>
      <c r="R20" s="83"/>
      <c r="S20" s="83"/>
      <c r="T20" s="83"/>
      <c r="U20" s="83"/>
      <c r="V20" s="84"/>
      <c r="W20" s="84"/>
      <c r="X20" s="84"/>
      <c r="Y20" s="84"/>
      <c r="Z20" s="47"/>
      <c r="AA20" s="78">
        <v>20</v>
      </c>
      <c r="AB20"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20" s="85"/>
      <c r="AD20" s="1"/>
      <c r="AE20" s="1"/>
      <c r="AF20" s="1"/>
      <c r="AG20" s="1"/>
      <c r="AH20" s="1"/>
      <c r="AI20" s="1"/>
      <c r="AJ20" s="1"/>
      <c r="AK20" s="1"/>
    </row>
    <row r="21" spans="1:37" ht="30" x14ac:dyDescent="0.25">
      <c r="A21" s="99"/>
      <c r="B21" s="12"/>
      <c r="C21" s="86" t="s">
        <v>60</v>
      </c>
      <c r="D21" s="50">
        <v>20</v>
      </c>
      <c r="E21" s="79"/>
      <c r="F21" s="12"/>
      <c r="G21" s="12"/>
      <c r="H21" s="13"/>
      <c r="I21" s="62"/>
      <c r="J21" s="52" t="s">
        <v>73</v>
      </c>
      <c r="K21" s="13">
        <v>17</v>
      </c>
      <c r="L21" s="80"/>
      <c r="M21" s="81"/>
      <c r="N21" s="81"/>
      <c r="O21" s="73"/>
      <c r="P21" s="82"/>
      <c r="Q21" s="82"/>
      <c r="R21" s="83"/>
      <c r="S21" s="83"/>
      <c r="T21" s="83"/>
      <c r="U21" s="83"/>
      <c r="V21" s="84"/>
      <c r="W21" s="84"/>
      <c r="X21" s="84"/>
      <c r="Y21" s="84"/>
      <c r="Z21" s="47"/>
      <c r="AA21" s="78">
        <v>21</v>
      </c>
      <c r="AB21"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21" s="85"/>
      <c r="AD21" s="1"/>
      <c r="AE21" s="1"/>
      <c r="AF21" s="1"/>
      <c r="AG21" s="1"/>
      <c r="AH21" s="1"/>
      <c r="AI21" s="1"/>
      <c r="AJ21" s="1"/>
      <c r="AK21" s="1"/>
    </row>
    <row r="22" spans="1:37" ht="30" x14ac:dyDescent="0.25">
      <c r="A22" s="99"/>
      <c r="B22" s="12"/>
      <c r="C22" s="86" t="s">
        <v>60</v>
      </c>
      <c r="D22" s="50">
        <v>20</v>
      </c>
      <c r="E22" s="79"/>
      <c r="F22" s="12"/>
      <c r="G22" s="12"/>
      <c r="H22" s="13"/>
      <c r="I22" s="62"/>
      <c r="J22" s="52" t="s">
        <v>73</v>
      </c>
      <c r="K22" s="13">
        <v>18</v>
      </c>
      <c r="L22" s="80"/>
      <c r="M22" s="81"/>
      <c r="N22" s="81"/>
      <c r="O22" s="73"/>
      <c r="P22" s="82"/>
      <c r="Q22" s="82"/>
      <c r="R22" s="83"/>
      <c r="S22" s="83"/>
      <c r="T22" s="83"/>
      <c r="U22" s="83"/>
      <c r="V22" s="84"/>
      <c r="W22" s="84"/>
      <c r="X22" s="84"/>
      <c r="Y22" s="84"/>
      <c r="Z22" s="47"/>
      <c r="AA22" s="78">
        <v>22</v>
      </c>
      <c r="AB22"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22" s="85"/>
      <c r="AD22" s="1"/>
      <c r="AE22" s="1"/>
      <c r="AF22" s="1"/>
      <c r="AG22" s="1"/>
      <c r="AH22" s="1"/>
      <c r="AI22" s="1"/>
      <c r="AJ22" s="1"/>
      <c r="AK22" s="1"/>
    </row>
    <row r="23" spans="1:37" ht="30" x14ac:dyDescent="0.25">
      <c r="A23" s="99"/>
      <c r="B23" s="12"/>
      <c r="C23" s="86" t="s">
        <v>60</v>
      </c>
      <c r="D23" s="50">
        <v>20</v>
      </c>
      <c r="E23" s="79"/>
      <c r="F23" s="12"/>
      <c r="G23" s="12"/>
      <c r="H23" s="13"/>
      <c r="I23" s="62"/>
      <c r="J23" s="52" t="s">
        <v>73</v>
      </c>
      <c r="K23" s="13">
        <v>19</v>
      </c>
      <c r="L23" s="80"/>
      <c r="M23" s="81"/>
      <c r="N23" s="81"/>
      <c r="O23" s="73"/>
      <c r="P23" s="82"/>
      <c r="Q23" s="82"/>
      <c r="R23" s="83"/>
      <c r="S23" s="83"/>
      <c r="T23" s="83"/>
      <c r="U23" s="83"/>
      <c r="V23" s="84"/>
      <c r="W23" s="84"/>
      <c r="X23" s="84"/>
      <c r="Y23" s="84"/>
      <c r="Z23" s="47"/>
      <c r="AA23" s="78">
        <v>23</v>
      </c>
      <c r="AB23"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23" s="85"/>
      <c r="AD23" s="1"/>
      <c r="AE23" s="1"/>
      <c r="AF23" s="1"/>
      <c r="AG23" s="1"/>
      <c r="AH23" s="1"/>
      <c r="AI23" s="1"/>
      <c r="AJ23" s="1"/>
      <c r="AK23" s="1"/>
    </row>
    <row r="24" spans="1:37" ht="30" x14ac:dyDescent="0.25">
      <c r="A24" s="99"/>
      <c r="B24" s="12"/>
      <c r="C24" s="86" t="s">
        <v>60</v>
      </c>
      <c r="D24" s="50">
        <v>20</v>
      </c>
      <c r="E24" s="79"/>
      <c r="F24" s="12"/>
      <c r="G24" s="12"/>
      <c r="H24" s="13"/>
      <c r="I24" s="62"/>
      <c r="J24" s="52" t="s">
        <v>73</v>
      </c>
      <c r="K24" s="13">
        <v>20</v>
      </c>
      <c r="L24" s="80"/>
      <c r="M24" s="81"/>
      <c r="N24" s="81"/>
      <c r="O24" s="73"/>
      <c r="P24" s="82"/>
      <c r="Q24" s="82"/>
      <c r="R24" s="83"/>
      <c r="S24" s="83"/>
      <c r="T24" s="83"/>
      <c r="U24" s="83"/>
      <c r="V24" s="84"/>
      <c r="W24" s="84"/>
      <c r="X24" s="84"/>
      <c r="Y24" s="84"/>
      <c r="Z24" s="47"/>
      <c r="AA24" s="78">
        <v>24</v>
      </c>
      <c r="AB24"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24" s="85"/>
      <c r="AD24" s="1"/>
      <c r="AE24" s="1"/>
      <c r="AF24" s="1"/>
      <c r="AG24" s="1"/>
      <c r="AH24" s="1"/>
      <c r="AI24" s="1"/>
      <c r="AJ24" s="1"/>
      <c r="AK24" s="1"/>
    </row>
    <row r="25" spans="1:37" ht="30" x14ac:dyDescent="0.25">
      <c r="A25" s="99"/>
      <c r="B25" s="12"/>
      <c r="C25" s="86" t="s">
        <v>60</v>
      </c>
      <c r="D25" s="50">
        <v>20</v>
      </c>
      <c r="E25" s="79"/>
      <c r="F25" s="12"/>
      <c r="G25" s="12"/>
      <c r="H25" s="13"/>
      <c r="I25" s="62"/>
      <c r="J25" s="52" t="s">
        <v>73</v>
      </c>
      <c r="K25" s="13">
        <v>21</v>
      </c>
      <c r="L25" s="80"/>
      <c r="M25" s="81"/>
      <c r="N25" s="81"/>
      <c r="O25" s="73"/>
      <c r="P25" s="82"/>
      <c r="Q25" s="82"/>
      <c r="R25" s="83"/>
      <c r="S25" s="83"/>
      <c r="T25" s="83"/>
      <c r="U25" s="83"/>
      <c r="V25" s="84"/>
      <c r="W25" s="84"/>
      <c r="X25" s="84"/>
      <c r="Y25" s="84"/>
      <c r="Z25" s="47"/>
      <c r="AA25" s="78">
        <v>25</v>
      </c>
      <c r="AB25"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25" s="85"/>
      <c r="AD25" s="1"/>
      <c r="AE25" s="1"/>
      <c r="AF25" s="1"/>
      <c r="AG25" s="1"/>
      <c r="AH25" s="1"/>
      <c r="AI25" s="1"/>
      <c r="AJ25" s="1"/>
      <c r="AK25" s="1"/>
    </row>
    <row r="26" spans="1:37" ht="30" x14ac:dyDescent="0.25">
      <c r="A26" s="99"/>
      <c r="B26" s="12"/>
      <c r="C26" s="86" t="s">
        <v>60</v>
      </c>
      <c r="D26" s="50">
        <v>20</v>
      </c>
      <c r="E26" s="79"/>
      <c r="F26" s="12"/>
      <c r="G26" s="12"/>
      <c r="H26" s="13"/>
      <c r="I26" s="62"/>
      <c r="J26" s="52" t="s">
        <v>73</v>
      </c>
      <c r="K26" s="13">
        <v>22</v>
      </c>
      <c r="L26" s="80"/>
      <c r="M26" s="81"/>
      <c r="N26" s="81"/>
      <c r="O26" s="73"/>
      <c r="P26" s="82"/>
      <c r="Q26" s="82"/>
      <c r="R26" s="83"/>
      <c r="S26" s="83"/>
      <c r="T26" s="83"/>
      <c r="U26" s="83"/>
      <c r="V26" s="84"/>
      <c r="W26" s="84"/>
      <c r="X26" s="84"/>
      <c r="Y26" s="84"/>
      <c r="Z26" s="47"/>
      <c r="AA26" s="78">
        <v>26</v>
      </c>
      <c r="AB26"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26" s="85"/>
      <c r="AD26" s="1"/>
      <c r="AE26" s="1"/>
      <c r="AF26" s="1"/>
      <c r="AG26" s="1"/>
      <c r="AH26" s="1"/>
      <c r="AI26" s="1"/>
      <c r="AJ26" s="1"/>
      <c r="AK26" s="1"/>
    </row>
    <row r="27" spans="1:37" ht="30" x14ac:dyDescent="0.25">
      <c r="A27" s="99"/>
      <c r="B27" s="12"/>
      <c r="C27" s="86" t="s">
        <v>60</v>
      </c>
      <c r="D27" s="50">
        <v>20</v>
      </c>
      <c r="E27" s="79"/>
      <c r="F27" s="12"/>
      <c r="G27" s="12"/>
      <c r="H27" s="13"/>
      <c r="I27" s="62"/>
      <c r="J27" s="52" t="s">
        <v>73</v>
      </c>
      <c r="K27" s="13">
        <v>23</v>
      </c>
      <c r="L27" s="80"/>
      <c r="M27" s="81"/>
      <c r="N27" s="81"/>
      <c r="O27" s="73"/>
      <c r="P27" s="82"/>
      <c r="Q27" s="82"/>
      <c r="R27" s="83"/>
      <c r="S27" s="83"/>
      <c r="T27" s="83"/>
      <c r="U27" s="83"/>
      <c r="V27" s="84"/>
      <c r="W27" s="84"/>
      <c r="X27" s="84"/>
      <c r="Y27" s="84"/>
      <c r="Z27" s="47"/>
      <c r="AA27" s="78">
        <v>27</v>
      </c>
      <c r="AB27"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27" s="85"/>
      <c r="AD27" s="1"/>
      <c r="AE27" s="1"/>
      <c r="AF27" s="1"/>
      <c r="AG27" s="1"/>
      <c r="AH27" s="1"/>
      <c r="AI27" s="1"/>
      <c r="AJ27" s="1"/>
      <c r="AK27" s="1"/>
    </row>
    <row r="28" spans="1:37" ht="30" x14ac:dyDescent="0.25">
      <c r="A28" s="99"/>
      <c r="B28" s="12"/>
      <c r="C28" s="86" t="s">
        <v>60</v>
      </c>
      <c r="D28" s="50">
        <v>20</v>
      </c>
      <c r="E28" s="79"/>
      <c r="F28" s="12"/>
      <c r="G28" s="12"/>
      <c r="H28" s="13"/>
      <c r="I28" s="62"/>
      <c r="J28" s="52" t="s">
        <v>73</v>
      </c>
      <c r="K28" s="13">
        <v>24</v>
      </c>
      <c r="L28" s="80"/>
      <c r="M28" s="81"/>
      <c r="N28" s="81"/>
      <c r="O28" s="73"/>
      <c r="P28" s="82"/>
      <c r="Q28" s="82"/>
      <c r="R28" s="83"/>
      <c r="S28" s="83"/>
      <c r="T28" s="83"/>
      <c r="U28" s="83"/>
      <c r="V28" s="84"/>
      <c r="W28" s="84"/>
      <c r="X28" s="84"/>
      <c r="Y28" s="84"/>
      <c r="Z28" s="47"/>
      <c r="AA28" s="78">
        <v>28</v>
      </c>
      <c r="AB28"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28" s="85"/>
      <c r="AD28" s="1"/>
      <c r="AE28" s="1"/>
      <c r="AF28" s="1"/>
      <c r="AG28" s="1"/>
      <c r="AH28" s="1"/>
      <c r="AI28" s="1"/>
      <c r="AJ28" s="1"/>
      <c r="AK28" s="1"/>
    </row>
    <row r="29" spans="1:37" ht="30" x14ac:dyDescent="0.25">
      <c r="A29" s="99"/>
      <c r="B29" s="12"/>
      <c r="C29" s="86" t="s">
        <v>60</v>
      </c>
      <c r="D29" s="50">
        <v>20</v>
      </c>
      <c r="E29" s="79"/>
      <c r="F29" s="12"/>
      <c r="G29" s="12"/>
      <c r="H29" s="13"/>
      <c r="I29" s="62"/>
      <c r="J29" s="52" t="s">
        <v>73</v>
      </c>
      <c r="K29" s="13">
        <v>25</v>
      </c>
      <c r="L29" s="80"/>
      <c r="M29" s="81"/>
      <c r="N29" s="81"/>
      <c r="O29" s="73"/>
      <c r="P29" s="82"/>
      <c r="Q29" s="82"/>
      <c r="R29" s="83"/>
      <c r="S29" s="83"/>
      <c r="T29" s="83"/>
      <c r="U29" s="83"/>
      <c r="V29" s="84"/>
      <c r="W29" s="84"/>
      <c r="X29" s="84"/>
      <c r="Y29" s="84"/>
      <c r="Z29" s="47"/>
      <c r="AA29" s="78">
        <v>29</v>
      </c>
      <c r="AB29"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29" s="85"/>
      <c r="AD29" s="1"/>
      <c r="AE29" s="1"/>
      <c r="AF29" s="1"/>
      <c r="AG29" s="1"/>
      <c r="AH29" s="1"/>
      <c r="AI29" s="1"/>
      <c r="AJ29" s="1"/>
      <c r="AK29" s="1"/>
    </row>
    <row r="30" spans="1:37" ht="30" x14ac:dyDescent="0.25">
      <c r="A30" s="99"/>
      <c r="B30" s="12"/>
      <c r="C30" s="86" t="s">
        <v>60</v>
      </c>
      <c r="D30" s="50">
        <v>20</v>
      </c>
      <c r="E30" s="79"/>
      <c r="F30" s="12"/>
      <c r="G30" s="12"/>
      <c r="H30" s="13"/>
      <c r="I30" s="62"/>
      <c r="J30" s="52" t="s">
        <v>73</v>
      </c>
      <c r="K30" s="13">
        <v>26</v>
      </c>
      <c r="L30" s="80"/>
      <c r="M30" s="81"/>
      <c r="N30" s="81"/>
      <c r="O30" s="73"/>
      <c r="P30" s="82"/>
      <c r="Q30" s="82"/>
      <c r="R30" s="83"/>
      <c r="S30" s="83"/>
      <c r="T30" s="83"/>
      <c r="U30" s="83"/>
      <c r="V30" s="84"/>
      <c r="W30" s="84"/>
      <c r="X30" s="84"/>
      <c r="Y30" s="84"/>
      <c r="Z30" s="47"/>
      <c r="AA30" s="78">
        <v>30</v>
      </c>
      <c r="AB30"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30" s="85"/>
      <c r="AD30" s="1"/>
      <c r="AE30" s="1"/>
      <c r="AF30" s="1"/>
      <c r="AG30" s="1"/>
      <c r="AH30" s="1"/>
      <c r="AI30" s="1"/>
      <c r="AJ30" s="1"/>
      <c r="AK30" s="1"/>
    </row>
    <row r="31" spans="1:37" ht="30" x14ac:dyDescent="0.25">
      <c r="A31" s="99"/>
      <c r="B31" s="12"/>
      <c r="C31" s="86" t="s">
        <v>60</v>
      </c>
      <c r="D31" s="50">
        <v>20</v>
      </c>
      <c r="E31" s="79"/>
      <c r="F31" s="12"/>
      <c r="G31" s="12"/>
      <c r="H31" s="13"/>
      <c r="I31" s="62"/>
      <c r="J31" s="52" t="s">
        <v>73</v>
      </c>
      <c r="K31" s="13">
        <v>27</v>
      </c>
      <c r="L31" s="80"/>
      <c r="M31" s="81"/>
      <c r="N31" s="81"/>
      <c r="O31" s="73"/>
      <c r="P31" s="82"/>
      <c r="Q31" s="82"/>
      <c r="R31" s="83"/>
      <c r="S31" s="83"/>
      <c r="T31" s="83"/>
      <c r="U31" s="83"/>
      <c r="V31" s="84"/>
      <c r="W31" s="84"/>
      <c r="X31" s="84"/>
      <c r="Y31" s="84"/>
      <c r="Z31" s="47"/>
      <c r="AA31" s="78">
        <v>31</v>
      </c>
      <c r="AB31"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31" s="85"/>
      <c r="AD31" s="1"/>
      <c r="AE31" s="1"/>
      <c r="AF31" s="1"/>
      <c r="AG31" s="1"/>
      <c r="AH31" s="1"/>
      <c r="AI31" s="1"/>
      <c r="AJ31" s="1"/>
      <c r="AK31" s="1"/>
    </row>
    <row r="32" spans="1:37" ht="30" x14ac:dyDescent="0.25">
      <c r="A32" s="99"/>
      <c r="B32" s="12"/>
      <c r="C32" s="86" t="s">
        <v>60</v>
      </c>
      <c r="D32" s="50">
        <v>20</v>
      </c>
      <c r="E32" s="79"/>
      <c r="F32" s="12"/>
      <c r="G32" s="12"/>
      <c r="H32" s="13"/>
      <c r="I32" s="62"/>
      <c r="J32" s="52" t="s">
        <v>73</v>
      </c>
      <c r="K32" s="13">
        <v>28</v>
      </c>
      <c r="L32" s="80"/>
      <c r="M32" s="81"/>
      <c r="N32" s="81"/>
      <c r="O32" s="73"/>
      <c r="P32" s="82"/>
      <c r="Q32" s="82"/>
      <c r="R32" s="83"/>
      <c r="S32" s="83"/>
      <c r="T32" s="83"/>
      <c r="U32" s="83"/>
      <c r="V32" s="84"/>
      <c r="W32" s="84"/>
      <c r="X32" s="84"/>
      <c r="Y32" s="84"/>
      <c r="Z32" s="47"/>
      <c r="AA32" s="78">
        <v>32</v>
      </c>
      <c r="AB32"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32" s="85"/>
      <c r="AD32" s="1"/>
      <c r="AE32" s="1"/>
      <c r="AF32" s="1"/>
      <c r="AG32" s="1"/>
      <c r="AH32" s="1"/>
      <c r="AI32" s="1"/>
      <c r="AJ32" s="1"/>
      <c r="AK32" s="1"/>
    </row>
    <row r="33" spans="1:37" ht="30" x14ac:dyDescent="0.25">
      <c r="A33" s="99"/>
      <c r="B33" s="12"/>
      <c r="C33" s="86" t="s">
        <v>60</v>
      </c>
      <c r="D33" s="50">
        <v>20</v>
      </c>
      <c r="E33" s="79"/>
      <c r="F33" s="12"/>
      <c r="G33" s="12"/>
      <c r="H33" s="13"/>
      <c r="I33" s="62"/>
      <c r="J33" s="52" t="s">
        <v>73</v>
      </c>
      <c r="K33" s="13">
        <v>29</v>
      </c>
      <c r="L33" s="80"/>
      <c r="M33" s="81"/>
      <c r="N33" s="81"/>
      <c r="O33" s="73"/>
      <c r="P33" s="82"/>
      <c r="Q33" s="82"/>
      <c r="R33" s="83"/>
      <c r="S33" s="83"/>
      <c r="T33" s="83"/>
      <c r="U33" s="83"/>
      <c r="V33" s="84"/>
      <c r="W33" s="84"/>
      <c r="X33" s="84"/>
      <c r="Y33" s="84"/>
      <c r="Z33" s="47"/>
      <c r="AA33" s="78">
        <v>33</v>
      </c>
      <c r="AB33" s="78"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1</v>
      </c>
      <c r="AC33" s="85"/>
      <c r="AD33" s="1"/>
      <c r="AE33" s="1"/>
      <c r="AF33" s="1"/>
      <c r="AG33" s="1"/>
      <c r="AH33" s="1"/>
      <c r="AI33" s="1"/>
      <c r="AJ33" s="1"/>
      <c r="AK33" s="1"/>
    </row>
    <row r="34" spans="1:37" x14ac:dyDescent="0.25">
      <c r="A34" s="129"/>
      <c r="B34" s="86"/>
      <c r="C34" s="86"/>
      <c r="D34" s="130"/>
      <c r="E34" s="87"/>
      <c r="F34" s="86"/>
      <c r="G34" s="86"/>
      <c r="H34" s="88"/>
      <c r="I34" s="89"/>
      <c r="J34" s="131"/>
      <c r="K34" s="88"/>
      <c r="L34" s="90"/>
      <c r="M34" s="91">
        <v>9533.9208984375</v>
      </c>
      <c r="N34" s="91">
        <v>8038.03662109375</v>
      </c>
      <c r="O34" s="92"/>
      <c r="P34" s="93"/>
      <c r="Q34" s="93"/>
      <c r="R34" s="132"/>
      <c r="S34" s="132"/>
      <c r="T34" s="132"/>
      <c r="U34" s="132"/>
      <c r="V34" s="133"/>
      <c r="W34" s="133"/>
      <c r="X34" s="133"/>
      <c r="Y34" s="133"/>
      <c r="Z34" s="96"/>
      <c r="AA34" s="97">
        <v>34</v>
      </c>
      <c r="AB34" s="97" t="b">
        <f xml:space="preserve"> IF(AND(OR(NOT(ISNUMBER(Vertices[[#This Row],[Tooltip]])), Vertices[[#This Row],[Tooltip]] &gt;= Misc!$O$2), OR(NOT(ISNUMBER(Vertices[[#This Row],[Tooltip]])), Vertices[[#This Row],[Tooltip]] &lt;= Misc!$P$2),OR(NOT(ISNUMBER(Vertices[[#This Row],[X]])), Vertices[[#This Row],[X]] &gt;= Misc!$O$3), OR(NOT(ISNUMBER(Vertices[[#This Row],[X]])), Vertices[[#This Row],[X]] &lt;= Misc!$P$3),OR(NOT(ISNUMBER(Vertices[[#This Row],[Y]])), Vertices[[#This Row],[Y]] &gt;= Misc!$O$4), OR(NOT(ISNUMBER(Vertices[[#This Row],[Y]])), Vertices[[#This Row],[Y]] &lt;= Misc!$P$4),TRUE), TRUE, FALSE)</f>
        <v>0</v>
      </c>
      <c r="AC34" s="98"/>
      <c r="AD34" s="134"/>
      <c r="AE34" s="134"/>
      <c r="AF34" s="134"/>
      <c r="AG34" s="134"/>
      <c r="AH34" s="134"/>
      <c r="AI34" s="134"/>
      <c r="AJ34" s="134"/>
      <c r="AK34" s="134"/>
    </row>
  </sheetData>
  <dataConsolidate/>
  <conditionalFormatting sqref="A3:A34">
    <cfRule type="duplicateValues" dxfId="15" priority="7"/>
  </conditionalFormatting>
  <conditionalFormatting sqref="AD3">
    <cfRule type="duplicateValues" dxfId="13" priority="5"/>
  </conditionalFormatting>
  <conditionalFormatting sqref="AD4">
    <cfRule type="duplicateValues" dxfId="12" priority="4"/>
  </conditionalFormatting>
  <conditionalFormatting sqref="AD5:AD6">
    <cfRule type="duplicateValues" dxfId="11" priority="3"/>
  </conditionalFormatting>
  <dataValidations count="18">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34" xr:uid="{00000000-0002-0000-0100-000000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34"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4"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34"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34"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34" xr:uid="{00000000-0002-0000-0100-000007000000}"/>
    <dataValidation allowBlank="1" showInputMessage="1" errorTitle="Invalid Vertex Image Key" promptTitle="Vertex Tooltip" prompt="Enter optional text that will pop up when the mouse is hovered over the vertex." sqref="K3:K34" xr:uid="{0FFAEFEC-3776-4DBB-8DE3-362F8366E0CA}"/>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34"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34" xr:uid="{68B2950F-1032-4535-B0AD-7822E37EE1BF}">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8:H33" xr:uid="{89EBF6D1-DA06-4102-B9F6-706EDF6AA200}"/>
    <dataValidation allowBlank="1" showInputMessage="1" promptTitle="Vertex Label Fill Color" prompt="To select an optional fill color for the Label shape, right-click and select Select Color on the right-click menu." sqref="I3:I34" xr:uid="{C04B97F4-DE66-49F8-AC49-43B9B3290EC3}"/>
    <dataValidation allowBlank="1" showInputMessage="1" errorTitle="Invalid Vertex Image Key" promptTitle="Vertex Image File" prompt="Enter the path to an image file.  Hover over the column header for examples." sqref="F3:F34" xr:uid="{79E997CC-057C-47D1-BCF4-D7B45BC26CBF}"/>
    <dataValidation allowBlank="1" showInputMessage="1" promptTitle="Vertex Color" prompt="To select an optional vertex color, right-click and select Select Color on the right-click menu." sqref="B3:B34" xr:uid="{9F93A306-331E-48F2-81C1-7BAF0B489942}"/>
    <dataValidation allowBlank="1" showInputMessage="1" errorTitle="Invalid Vertex Opacity" error="The optional vertex opacity must be a whole number between 0 and 10." promptTitle="Vertex Opacity" prompt="Enter an optional vertex opacity between 0 (transparent) and 100 (opaque)." sqref="E3:E34" xr:uid="{9FD60945-8555-4DCE-93D1-9AE2998D816A}"/>
    <dataValidation type="list" allowBlank="1" showInputMessage="1" showErrorMessage="1" errorTitle="Invalid Vertex Shape" error="You have entered an invalid vertex shape.  Try selecting from the drop-down list instead." promptTitle="Vertex Shape" prompt="Select an optional vertex shape." sqref="C3:C34" xr:uid="{25C9C101-C041-4751-BE63-A3A544BC128A}">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34" xr:uid="{8ACB8FAF-2CA7-498E-8A62-0F68A8D7CE03}"/>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34" xr:uid="{F2B543FF-4137-468E-A9D9-135ECEA91F4B}">
      <formula1>ValidVertexLabelPositions</formula1>
    </dataValidation>
    <dataValidation type="list" allowBlank="1" showInputMessage="1" showErrorMessage="1" promptTitle="Vertex Name" prompt="Enter the name of the vertex." sqref="A3:A34 AD3:AD6 H3:H7" xr:uid="{52F9913B-3D68-4E29-A49E-4D302BABB5DC}">
      <formula1>CINAME</formula1>
    </dataValidation>
  </dataValidations>
  <pageMargins left="0.7" right="0.7" top="0.75" bottom="0.75" header="0.3" footer="0.3"/>
  <pageSetup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58030017-D07F-443F-9C35-B7D604B65BA2}">
          <x14:formula1>
            <xm:f>'POSIBLES-UBICACIONES'!$C$5:$C$8</xm:f>
          </x14:formula1>
          <xm:sqref>AK3:AK6</xm:sqref>
        </x14:dataValidation>
        <x14:dataValidation type="list" allowBlank="1" showInputMessage="1" showErrorMessage="1" xr:uid="{0FAE05D6-FA7B-4266-8A4B-6B52DF593C10}">
          <x14:formula1>
            <xm:f>'BASE-LINES'!$C$6:$C$13</xm:f>
          </x14:formula1>
          <xm:sqref>AH3:AH6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baseColWidth="10" defaultColWidth="9.140625" defaultRowHeight="15" x14ac:dyDescent="0.25"/>
  <cols>
    <col min="1" max="1" width="10.85546875" bestFit="1" customWidth="1"/>
    <col min="2" max="2" width="16.85546875" bestFit="1" customWidth="1"/>
    <col min="4" max="5" width="9.140625" customWidth="1"/>
  </cols>
  <sheetData>
    <row r="1" spans="1:1" x14ac:dyDescent="0.25">
      <c r="A1" t="s">
        <v>50</v>
      </c>
    </row>
    <row r="2" spans="1:1" ht="15" customHeight="1" x14ac:dyDescent="0.25"/>
    <row r="3" spans="1:1" ht="15" customHeight="1" x14ac:dyDescent="0.25">
      <c r="A3" s="29" t="s">
        <v>51</v>
      </c>
    </row>
    <row r="21" spans="4:4" x14ac:dyDescent="0.25">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92D050"/>
  </sheetPr>
  <dimension ref="A1:X10"/>
  <sheetViews>
    <sheetView workbookViewId="0">
      <pane ySplit="2" topLeftCell="A3" activePane="bottomLeft" state="frozen"/>
      <selection pane="bottomLeft" activeCell="A2" sqref="A2:X2"/>
    </sheetView>
  </sheetViews>
  <sheetFormatPr baseColWidth="10" defaultColWidth="9.140625"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64" t="s">
        <v>40</v>
      </c>
      <c r="C1" s="65"/>
      <c r="D1" s="65"/>
      <c r="E1" s="66"/>
      <c r="F1" s="62" t="s">
        <v>44</v>
      </c>
      <c r="G1" s="67" t="s">
        <v>45</v>
      </c>
      <c r="H1" s="68"/>
      <c r="I1" s="69" t="s">
        <v>41</v>
      </c>
      <c r="J1" s="70"/>
      <c r="K1" s="71" t="s">
        <v>43</v>
      </c>
      <c r="L1" s="72"/>
      <c r="M1" s="72"/>
      <c r="N1" s="72"/>
      <c r="O1" s="72"/>
      <c r="P1" s="72"/>
      <c r="Q1" s="72"/>
      <c r="R1" s="72"/>
      <c r="S1" s="72"/>
      <c r="T1" s="72"/>
      <c r="U1" s="72"/>
      <c r="V1" s="72"/>
      <c r="W1" s="72"/>
      <c r="X1" s="72"/>
    </row>
    <row r="2" spans="1:24" s="7" customFormat="1" ht="30" customHeight="1" x14ac:dyDescent="0.25">
      <c r="A2" s="10" t="s">
        <v>144</v>
      </c>
      <c r="B2" s="7" t="s">
        <v>21</v>
      </c>
      <c r="C2" s="7" t="s">
        <v>20</v>
      </c>
      <c r="D2" s="7" t="s">
        <v>11</v>
      </c>
      <c r="E2" s="7" t="s">
        <v>145</v>
      </c>
      <c r="F2" s="7" t="s">
        <v>47</v>
      </c>
      <c r="G2" s="7" t="s">
        <v>167</v>
      </c>
      <c r="H2" s="7" t="s">
        <v>168</v>
      </c>
      <c r="I2" s="7" t="s">
        <v>12</v>
      </c>
      <c r="J2" s="7" t="s">
        <v>166</v>
      </c>
      <c r="K2" s="7" t="s">
        <v>146</v>
      </c>
      <c r="L2" s="7" t="s">
        <v>148</v>
      </c>
      <c r="M2" s="7" t="s">
        <v>149</v>
      </c>
      <c r="N2" s="7" t="s">
        <v>150</v>
      </c>
      <c r="O2" s="7" t="s">
        <v>151</v>
      </c>
      <c r="P2" s="7" t="s">
        <v>170</v>
      </c>
      <c r="Q2" s="7" t="s">
        <v>171</v>
      </c>
      <c r="R2" s="7" t="s">
        <v>152</v>
      </c>
      <c r="S2" s="7" t="s">
        <v>153</v>
      </c>
      <c r="T2" s="7" t="s">
        <v>154</v>
      </c>
      <c r="U2" s="7" t="s">
        <v>155</v>
      </c>
      <c r="V2" s="7" t="s">
        <v>156</v>
      </c>
      <c r="W2" s="7" t="s">
        <v>157</v>
      </c>
      <c r="X2" s="7" t="s">
        <v>158</v>
      </c>
    </row>
    <row r="3" spans="1:24" x14ac:dyDescent="0.25">
      <c r="A3" s="11"/>
      <c r="B3" s="12"/>
      <c r="C3" s="12"/>
      <c r="D3" s="12"/>
      <c r="E3" s="12"/>
      <c r="F3" s="13"/>
      <c r="G3" s="73"/>
      <c r="H3" s="73"/>
      <c r="I3" s="60"/>
      <c r="J3" s="60"/>
      <c r="K3" s="44"/>
      <c r="L3" s="44"/>
      <c r="M3" s="44"/>
      <c r="N3" s="44"/>
      <c r="O3" s="44"/>
      <c r="P3" s="44"/>
      <c r="Q3" s="44"/>
      <c r="R3" s="44"/>
      <c r="S3" s="44"/>
      <c r="T3" s="44"/>
      <c r="U3" s="44"/>
      <c r="V3" s="44"/>
      <c r="W3" s="45"/>
      <c r="X3" s="45"/>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92D050"/>
  </sheetPr>
  <dimension ref="A1:C1"/>
  <sheetViews>
    <sheetView workbookViewId="0">
      <selection activeCell="A2" sqref="A2"/>
    </sheetView>
  </sheetViews>
  <sheetFormatPr baseColWidth="10" defaultColWidth="9.140625"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92D050"/>
  </sheetPr>
  <dimension ref="A1:X144"/>
  <sheetViews>
    <sheetView workbookViewId="0">
      <selection activeCell="Y37" sqref="Y37"/>
    </sheetView>
  </sheetViews>
  <sheetFormatPr baseColWidth="10" defaultColWidth="9.140625"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7" t="s">
        <v>162</v>
      </c>
      <c r="B1" s="7" t="s">
        <v>17</v>
      </c>
      <c r="D1" t="s">
        <v>80</v>
      </c>
      <c r="E1" t="s">
        <v>81</v>
      </c>
      <c r="F1" s="33" t="s">
        <v>87</v>
      </c>
      <c r="G1" s="34" t="s">
        <v>88</v>
      </c>
      <c r="H1" s="33" t="s">
        <v>93</v>
      </c>
      <c r="I1" s="34" t="s">
        <v>94</v>
      </c>
      <c r="J1" s="33" t="s">
        <v>99</v>
      </c>
      <c r="K1" s="34" t="s">
        <v>100</v>
      </c>
      <c r="L1" s="33" t="s">
        <v>105</v>
      </c>
      <c r="M1" s="34" t="s">
        <v>106</v>
      </c>
      <c r="N1" s="33" t="s">
        <v>111</v>
      </c>
      <c r="O1" s="34" t="s">
        <v>112</v>
      </c>
      <c r="P1" s="34" t="s">
        <v>138</v>
      </c>
      <c r="Q1" s="34" t="s">
        <v>139</v>
      </c>
      <c r="R1" s="33" t="s">
        <v>117</v>
      </c>
      <c r="S1" s="33" t="s">
        <v>118</v>
      </c>
      <c r="T1" s="33" t="s">
        <v>123</v>
      </c>
      <c r="U1" s="34" t="s">
        <v>124</v>
      </c>
      <c r="W1" t="s">
        <v>128</v>
      </c>
      <c r="X1" t="s">
        <v>17</v>
      </c>
    </row>
    <row r="2" spans="1:24" ht="15.75" thickTop="1" x14ac:dyDescent="0.25">
      <c r="A2" s="32"/>
      <c r="B2" s="32"/>
      <c r="D2" s="30">
        <f>MIN(Vertices[Degree])</f>
        <v>0</v>
      </c>
      <c r="E2">
        <f>COUNTIF(Vertices[Degree], "&gt;= " &amp; D2) - COUNTIF(Vertices[Degree], "&gt;=" &amp; D3)</f>
        <v>0</v>
      </c>
      <c r="F2" s="35">
        <f>MIN(Vertices[In-Degree])</f>
        <v>0</v>
      </c>
      <c r="G2" s="36">
        <f>COUNTIF(Vertices[In-Degree], "&gt;= " &amp; F2) - COUNTIF(Vertices[In-Degree], "&gt;=" &amp; F3)</f>
        <v>0</v>
      </c>
      <c r="H2" s="35">
        <f>MIN(Vertices[Out-Degree])</f>
        <v>0</v>
      </c>
      <c r="I2" s="36">
        <f>COUNTIF(Vertices[Out-Degree], "&gt;= " &amp; H2) - COUNTIF(Vertices[Out-Degree], "&gt;=" &amp; H3)</f>
        <v>0</v>
      </c>
      <c r="J2" s="35">
        <f>MIN(Vertices[Betweenness Centrality])</f>
        <v>0</v>
      </c>
      <c r="K2" s="36">
        <f>COUNTIF(Vertices[Betweenness Centrality], "&gt;= " &amp; J2) - COUNTIF(Vertices[Betweenness Centrality], "&gt;=" &amp; J3)</f>
        <v>0</v>
      </c>
      <c r="L2" s="35">
        <f>MIN(Vertices[Closeness Centrality])</f>
        <v>0</v>
      </c>
      <c r="M2" s="36">
        <f>COUNTIF(Vertices[Closeness Centrality], "&gt;= " &amp; L2) - COUNTIF(Vertices[Closeness Centrality], "&gt;=" &amp; L3)</f>
        <v>0</v>
      </c>
      <c r="N2" s="35">
        <f>MIN(Vertices[Eigenvector Centrality])</f>
        <v>0</v>
      </c>
      <c r="O2" s="36">
        <f>COUNTIF(Vertices[Eigenvector Centrality], "&gt;= " &amp; N2) - COUNTIF(Vertices[Eigenvector Centrality], "&gt;=" &amp; N3)</f>
        <v>0</v>
      </c>
      <c r="P2" s="35">
        <f>MIN(Vertices[PageRank])</f>
        <v>0</v>
      </c>
      <c r="Q2" s="36">
        <f>COUNTIF(Vertices[PageRank], "&gt;= " &amp; P2) - COUNTIF(Vertices[PageRank], "&gt;=" &amp; P3)</f>
        <v>0</v>
      </c>
      <c r="R2" s="35">
        <f>MIN(Vertices[Clustering Coefficient])</f>
        <v>0</v>
      </c>
      <c r="S2" s="41">
        <f>COUNTIF(Vertices[Clustering Coefficient], "&gt;= " &amp; R2) - COUNTIF(Vertices[Clustering Coefficient], "&gt;=" &amp; R3)</f>
        <v>0</v>
      </c>
      <c r="T2" s="35">
        <f ca="1">MIN(INDIRECT(DynamicFilterSourceColumnRange))</f>
        <v>1960.4769287109375</v>
      </c>
      <c r="U2" s="36">
        <f t="shared" ref="U2:U45" ca="1" si="0">COUNTIF(INDIRECT(DynamicFilterSourceColumnRange), "&gt;= " &amp; T2) - COUNTIF(INDIRECT(DynamicFilterSourceColumnRange), "&gt;=" &amp; T3)</f>
        <v>2</v>
      </c>
      <c r="W2" t="s">
        <v>125</v>
      </c>
      <c r="X2">
        <f>ROWS(HistogramBins[Degree Bin]) - 1</f>
        <v>43</v>
      </c>
    </row>
    <row r="3" spans="1:24" x14ac:dyDescent="0.25">
      <c r="A3" s="32"/>
      <c r="B3" s="32"/>
      <c r="D3" s="30">
        <f t="shared" ref="D3:D44" si="1">D2+($D$45-$D$2)/BinDivisor</f>
        <v>0</v>
      </c>
      <c r="E3">
        <f>COUNTIF(Vertices[Degree], "&gt;= " &amp; D3) - COUNTIF(Vertices[Degree], "&gt;=" &amp; D4)</f>
        <v>0</v>
      </c>
      <c r="F3" s="37">
        <f t="shared" ref="F3:F44" si="2">F2+($F$45-$F$2)/BinDivisor</f>
        <v>0</v>
      </c>
      <c r="G3" s="38">
        <f>COUNTIF(Vertices[In-Degree], "&gt;= " &amp; F3) - COUNTIF(Vertices[In-Degree], "&gt;=" &amp; F4)</f>
        <v>0</v>
      </c>
      <c r="H3" s="37">
        <f t="shared" ref="H3:H44" si="3">H2+($H$45-$H$2)/BinDivisor</f>
        <v>0</v>
      </c>
      <c r="I3" s="38">
        <f>COUNTIF(Vertices[Out-Degree], "&gt;= " &amp; H3) - COUNTIF(Vertices[Out-Degree], "&gt;=" &amp; H4)</f>
        <v>0</v>
      </c>
      <c r="J3" s="37">
        <f t="shared" ref="J3:J44" si="4">J2+($J$45-$J$2)/BinDivisor</f>
        <v>0</v>
      </c>
      <c r="K3" s="38">
        <f>COUNTIF(Vertices[Betweenness Centrality], "&gt;= " &amp; J3) - COUNTIF(Vertices[Betweenness Centrality], "&gt;=" &amp; J4)</f>
        <v>0</v>
      </c>
      <c r="L3" s="37">
        <f t="shared" ref="L3:L44" si="5">L2+($L$45-$L$2)/BinDivisor</f>
        <v>0</v>
      </c>
      <c r="M3" s="38">
        <f>COUNTIF(Vertices[Closeness Centrality], "&gt;= " &amp; L3) - COUNTIF(Vertices[Closeness Centrality], "&gt;=" &amp; L4)</f>
        <v>0</v>
      </c>
      <c r="N3" s="37">
        <f t="shared" ref="N3:N44" si="6">N2+($N$45-$N$2)/BinDivisor</f>
        <v>0</v>
      </c>
      <c r="O3" s="38">
        <f>COUNTIF(Vertices[Eigenvector Centrality], "&gt;= " &amp; N3) - COUNTIF(Vertices[Eigenvector Centrality], "&gt;=" &amp; N4)</f>
        <v>0</v>
      </c>
      <c r="P3" s="37">
        <f t="shared" ref="P3:P44" si="7">P2+($P$45-$P$2)/BinDivisor</f>
        <v>0</v>
      </c>
      <c r="Q3" s="38">
        <f>COUNTIF(Vertices[PageRank], "&gt;= " &amp; P3) - COUNTIF(Vertices[PageRank], "&gt;=" &amp; P4)</f>
        <v>0</v>
      </c>
      <c r="R3" s="37">
        <f t="shared" ref="R3:R44" si="8">R2+($R$45-$R$2)/BinDivisor</f>
        <v>0</v>
      </c>
      <c r="S3" s="42">
        <f>COUNTIF(Vertices[Clustering Coefficient], "&gt;= " &amp; R3) - COUNTIF(Vertices[Clustering Coefficient], "&gt;=" &amp; R4)</f>
        <v>0</v>
      </c>
      <c r="T3" s="37">
        <f t="shared" ref="T3:T44" ca="1" si="9">T2+($T$45-$T$2)/BinDivisor</f>
        <v>2106.2675951580668</v>
      </c>
      <c r="U3" s="38">
        <f t="shared" ca="1" si="0"/>
        <v>0</v>
      </c>
      <c r="W3" t="s">
        <v>126</v>
      </c>
      <c r="X3" t="s">
        <v>86</v>
      </c>
    </row>
    <row r="4" spans="1:24" x14ac:dyDescent="0.25">
      <c r="A4" s="32"/>
      <c r="B4" s="32"/>
      <c r="D4" s="30">
        <f t="shared" si="1"/>
        <v>0</v>
      </c>
      <c r="E4">
        <f>COUNTIF(Vertices[Degree], "&gt;= " &amp; D4) - COUNTIF(Vertices[Degree], "&gt;=" &amp; D5)</f>
        <v>0</v>
      </c>
      <c r="F4" s="35">
        <f t="shared" si="2"/>
        <v>0</v>
      </c>
      <c r="G4" s="36">
        <f>COUNTIF(Vertices[In-Degree], "&gt;= " &amp; F4) - COUNTIF(Vertices[In-Degree], "&gt;=" &amp; F5)</f>
        <v>0</v>
      </c>
      <c r="H4" s="35">
        <f t="shared" si="3"/>
        <v>0</v>
      </c>
      <c r="I4" s="36">
        <f>COUNTIF(Vertices[Out-Degree], "&gt;= " &amp; H4) - COUNTIF(Vertices[Out-Degree], "&gt;=" &amp; H5)</f>
        <v>0</v>
      </c>
      <c r="J4" s="35">
        <f t="shared" si="4"/>
        <v>0</v>
      </c>
      <c r="K4" s="36">
        <f>COUNTIF(Vertices[Betweenness Centrality], "&gt;= " &amp; J4) - COUNTIF(Vertices[Betweenness Centrality], "&gt;=" &amp; J5)</f>
        <v>0</v>
      </c>
      <c r="L4" s="35">
        <f t="shared" si="5"/>
        <v>0</v>
      </c>
      <c r="M4" s="36">
        <f>COUNTIF(Vertices[Closeness Centrality], "&gt;= " &amp; L4) - COUNTIF(Vertices[Closeness Centrality], "&gt;=" &amp; L5)</f>
        <v>0</v>
      </c>
      <c r="N4" s="35">
        <f t="shared" si="6"/>
        <v>0</v>
      </c>
      <c r="O4" s="36">
        <f>COUNTIF(Vertices[Eigenvector Centrality], "&gt;= " &amp; N4) - COUNTIF(Vertices[Eigenvector Centrality], "&gt;=" &amp; N5)</f>
        <v>0</v>
      </c>
      <c r="P4" s="35">
        <f t="shared" si="7"/>
        <v>0</v>
      </c>
      <c r="Q4" s="36">
        <f>COUNTIF(Vertices[PageRank], "&gt;= " &amp; P4) - COUNTIF(Vertices[PageRank], "&gt;=" &amp; P5)</f>
        <v>0</v>
      </c>
      <c r="R4" s="35">
        <f t="shared" si="8"/>
        <v>0</v>
      </c>
      <c r="S4" s="41">
        <f>COUNTIF(Vertices[Clustering Coefficient], "&gt;= " &amp; R4) - COUNTIF(Vertices[Clustering Coefficient], "&gt;=" &amp; R5)</f>
        <v>0</v>
      </c>
      <c r="T4" s="35">
        <f t="shared" ca="1" si="9"/>
        <v>2252.0582616051961</v>
      </c>
      <c r="U4" s="36">
        <f t="shared" ca="1" si="0"/>
        <v>0</v>
      </c>
      <c r="W4" t="s">
        <v>127</v>
      </c>
      <c r="X4" t="s">
        <v>282</v>
      </c>
    </row>
    <row r="5" spans="1:24" x14ac:dyDescent="0.25">
      <c r="A5" s="32"/>
      <c r="B5" s="32"/>
      <c r="D5" s="30">
        <f t="shared" si="1"/>
        <v>0</v>
      </c>
      <c r="E5">
        <f>COUNTIF(Vertices[Degree], "&gt;= " &amp; D5) - COUNTIF(Vertices[Degree], "&gt;=" &amp; D6)</f>
        <v>0</v>
      </c>
      <c r="F5" s="37">
        <f t="shared" si="2"/>
        <v>0</v>
      </c>
      <c r="G5" s="38">
        <f>COUNTIF(Vertices[In-Degree], "&gt;= " &amp; F5) - COUNTIF(Vertices[In-Degree], "&gt;=" &amp; F6)</f>
        <v>0</v>
      </c>
      <c r="H5" s="37">
        <f t="shared" si="3"/>
        <v>0</v>
      </c>
      <c r="I5" s="38">
        <f>COUNTIF(Vertices[Out-Degree], "&gt;= " &amp; H5) - COUNTIF(Vertices[Out-Degree], "&gt;=" &amp; H6)</f>
        <v>0</v>
      </c>
      <c r="J5" s="37">
        <f t="shared" si="4"/>
        <v>0</v>
      </c>
      <c r="K5" s="38">
        <f>COUNTIF(Vertices[Betweenness Centrality], "&gt;= " &amp; J5) - COUNTIF(Vertices[Betweenness Centrality], "&gt;=" &amp; J6)</f>
        <v>0</v>
      </c>
      <c r="L5" s="37">
        <f t="shared" si="5"/>
        <v>0</v>
      </c>
      <c r="M5" s="38">
        <f>COUNTIF(Vertices[Closeness Centrality], "&gt;= " &amp; L5) - COUNTIF(Vertices[Closeness Centrality], "&gt;=" &amp; L6)</f>
        <v>0</v>
      </c>
      <c r="N5" s="37">
        <f t="shared" si="6"/>
        <v>0</v>
      </c>
      <c r="O5" s="38">
        <f>COUNTIF(Vertices[Eigenvector Centrality], "&gt;= " &amp; N5) - COUNTIF(Vertices[Eigenvector Centrality], "&gt;=" &amp; N6)</f>
        <v>0</v>
      </c>
      <c r="P5" s="37">
        <f t="shared" si="7"/>
        <v>0</v>
      </c>
      <c r="Q5" s="38">
        <f>COUNTIF(Vertices[PageRank], "&gt;= " &amp; P5) - COUNTIF(Vertices[PageRank], "&gt;=" &amp; P6)</f>
        <v>0</v>
      </c>
      <c r="R5" s="37">
        <f t="shared" si="8"/>
        <v>0</v>
      </c>
      <c r="S5" s="42">
        <f>COUNTIF(Vertices[Clustering Coefficient], "&gt;= " &amp; R5) - COUNTIF(Vertices[Clustering Coefficient], "&gt;=" &amp; R6)</f>
        <v>0</v>
      </c>
      <c r="T5" s="37">
        <f t="shared" ca="1" si="9"/>
        <v>2397.8489280523254</v>
      </c>
      <c r="U5" s="38">
        <f t="shared" ca="1" si="0"/>
        <v>0</v>
      </c>
    </row>
    <row r="6" spans="1:24" x14ac:dyDescent="0.25">
      <c r="A6" s="32"/>
      <c r="B6" s="32"/>
      <c r="D6" s="30">
        <f t="shared" si="1"/>
        <v>0</v>
      </c>
      <c r="E6">
        <f>COUNTIF(Vertices[Degree], "&gt;= " &amp; D6) - COUNTIF(Vertices[Degree], "&gt;=" &amp; D7)</f>
        <v>0</v>
      </c>
      <c r="F6" s="35">
        <f t="shared" si="2"/>
        <v>0</v>
      </c>
      <c r="G6" s="36">
        <f>COUNTIF(Vertices[In-Degree], "&gt;= " &amp; F6) - COUNTIF(Vertices[In-Degree], "&gt;=" &amp; F7)</f>
        <v>0</v>
      </c>
      <c r="H6" s="35">
        <f t="shared" si="3"/>
        <v>0</v>
      </c>
      <c r="I6" s="36">
        <f>COUNTIF(Vertices[Out-Degree], "&gt;= " &amp; H6) - COUNTIF(Vertices[Out-Degree], "&gt;=" &amp; H7)</f>
        <v>0</v>
      </c>
      <c r="J6" s="35">
        <f t="shared" si="4"/>
        <v>0</v>
      </c>
      <c r="K6" s="36">
        <f>COUNTIF(Vertices[Betweenness Centrality], "&gt;= " &amp; J6) - COUNTIF(Vertices[Betweenness Centrality], "&gt;=" &amp; J7)</f>
        <v>0</v>
      </c>
      <c r="L6" s="35">
        <f t="shared" si="5"/>
        <v>0</v>
      </c>
      <c r="M6" s="36">
        <f>COUNTIF(Vertices[Closeness Centrality], "&gt;= " &amp; L6) - COUNTIF(Vertices[Closeness Centrality], "&gt;=" &amp; L7)</f>
        <v>0</v>
      </c>
      <c r="N6" s="35">
        <f t="shared" si="6"/>
        <v>0</v>
      </c>
      <c r="O6" s="36">
        <f>COUNTIF(Vertices[Eigenvector Centrality], "&gt;= " &amp; N6) - COUNTIF(Vertices[Eigenvector Centrality], "&gt;=" &amp; N7)</f>
        <v>0</v>
      </c>
      <c r="P6" s="35">
        <f t="shared" si="7"/>
        <v>0</v>
      </c>
      <c r="Q6" s="36">
        <f>COUNTIF(Vertices[PageRank], "&gt;= " &amp; P6) - COUNTIF(Vertices[PageRank], "&gt;=" &amp; P7)</f>
        <v>0</v>
      </c>
      <c r="R6" s="35">
        <f t="shared" si="8"/>
        <v>0</v>
      </c>
      <c r="S6" s="41">
        <f>COUNTIF(Vertices[Clustering Coefficient], "&gt;= " &amp; R6) - COUNTIF(Vertices[Clustering Coefficient], "&gt;=" &amp; R7)</f>
        <v>0</v>
      </c>
      <c r="T6" s="35">
        <f t="shared" ca="1" si="9"/>
        <v>2543.6395944994547</v>
      </c>
      <c r="U6" s="36">
        <f t="shared" ca="1" si="0"/>
        <v>0</v>
      </c>
    </row>
    <row r="7" spans="1:24" x14ac:dyDescent="0.25">
      <c r="A7" s="32"/>
      <c r="B7" s="32"/>
      <c r="D7" s="30">
        <f t="shared" si="1"/>
        <v>0</v>
      </c>
      <c r="E7">
        <f>COUNTIF(Vertices[Degree], "&gt;= " &amp; D7) - COUNTIF(Vertices[Degree], "&gt;=" &amp; D8)</f>
        <v>0</v>
      </c>
      <c r="F7" s="37">
        <f t="shared" si="2"/>
        <v>0</v>
      </c>
      <c r="G7" s="38">
        <f>COUNTIF(Vertices[In-Degree], "&gt;= " &amp; F7) - COUNTIF(Vertices[In-Degree], "&gt;=" &amp; F8)</f>
        <v>0</v>
      </c>
      <c r="H7" s="37">
        <f t="shared" si="3"/>
        <v>0</v>
      </c>
      <c r="I7" s="38">
        <f>COUNTIF(Vertices[Out-Degree], "&gt;= " &amp; H7) - COUNTIF(Vertices[Out-Degree], "&gt;=" &amp; H8)</f>
        <v>0</v>
      </c>
      <c r="J7" s="37">
        <f t="shared" si="4"/>
        <v>0</v>
      </c>
      <c r="K7" s="38">
        <f>COUNTIF(Vertices[Betweenness Centrality], "&gt;= " &amp; J7) - COUNTIF(Vertices[Betweenness Centrality], "&gt;=" &amp; J8)</f>
        <v>0</v>
      </c>
      <c r="L7" s="37">
        <f t="shared" si="5"/>
        <v>0</v>
      </c>
      <c r="M7" s="38">
        <f>COUNTIF(Vertices[Closeness Centrality], "&gt;= " &amp; L7) - COUNTIF(Vertices[Closeness Centrality], "&gt;=" &amp; L8)</f>
        <v>0</v>
      </c>
      <c r="N7" s="37">
        <f t="shared" si="6"/>
        <v>0</v>
      </c>
      <c r="O7" s="38">
        <f>COUNTIF(Vertices[Eigenvector Centrality], "&gt;= " &amp; N7) - COUNTIF(Vertices[Eigenvector Centrality], "&gt;=" &amp; N8)</f>
        <v>0</v>
      </c>
      <c r="P7" s="37">
        <f t="shared" si="7"/>
        <v>0</v>
      </c>
      <c r="Q7" s="38">
        <f>COUNTIF(Vertices[PageRank], "&gt;= " &amp; P7) - COUNTIF(Vertices[PageRank], "&gt;=" &amp; P8)</f>
        <v>0</v>
      </c>
      <c r="R7" s="37">
        <f t="shared" si="8"/>
        <v>0</v>
      </c>
      <c r="S7" s="42">
        <f>COUNTIF(Vertices[Clustering Coefficient], "&gt;= " &amp; R7) - COUNTIF(Vertices[Clustering Coefficient], "&gt;=" &amp; R8)</f>
        <v>0</v>
      </c>
      <c r="T7" s="37">
        <f t="shared" ca="1" si="9"/>
        <v>2689.430260946584</v>
      </c>
      <c r="U7" s="38">
        <f t="shared" ca="1" si="0"/>
        <v>0</v>
      </c>
    </row>
    <row r="8" spans="1:24" x14ac:dyDescent="0.25">
      <c r="A8" s="32"/>
      <c r="B8" s="32"/>
      <c r="D8" s="30">
        <f t="shared" si="1"/>
        <v>0</v>
      </c>
      <c r="E8">
        <f>COUNTIF(Vertices[Degree], "&gt;= " &amp; D8) - COUNTIF(Vertices[Degree], "&gt;=" &amp; D9)</f>
        <v>0</v>
      </c>
      <c r="F8" s="35">
        <f t="shared" si="2"/>
        <v>0</v>
      </c>
      <c r="G8" s="36">
        <f>COUNTIF(Vertices[In-Degree], "&gt;= " &amp; F8) - COUNTIF(Vertices[In-Degree], "&gt;=" &amp; F9)</f>
        <v>0</v>
      </c>
      <c r="H8" s="35">
        <f t="shared" si="3"/>
        <v>0</v>
      </c>
      <c r="I8" s="36">
        <f>COUNTIF(Vertices[Out-Degree], "&gt;= " &amp; H8) - COUNTIF(Vertices[Out-Degree], "&gt;=" &amp; H9)</f>
        <v>0</v>
      </c>
      <c r="J8" s="35">
        <f t="shared" si="4"/>
        <v>0</v>
      </c>
      <c r="K8" s="36">
        <f>COUNTIF(Vertices[Betweenness Centrality], "&gt;= " &amp; J8) - COUNTIF(Vertices[Betweenness Centrality], "&gt;=" &amp; J9)</f>
        <v>0</v>
      </c>
      <c r="L8" s="35">
        <f t="shared" si="5"/>
        <v>0</v>
      </c>
      <c r="M8" s="36">
        <f>COUNTIF(Vertices[Closeness Centrality], "&gt;= " &amp; L8) - COUNTIF(Vertices[Closeness Centrality], "&gt;=" &amp; L9)</f>
        <v>0</v>
      </c>
      <c r="N8" s="35">
        <f t="shared" si="6"/>
        <v>0</v>
      </c>
      <c r="O8" s="36">
        <f>COUNTIF(Vertices[Eigenvector Centrality], "&gt;= " &amp; N8) - COUNTIF(Vertices[Eigenvector Centrality], "&gt;=" &amp; N9)</f>
        <v>0</v>
      </c>
      <c r="P8" s="35">
        <f t="shared" si="7"/>
        <v>0</v>
      </c>
      <c r="Q8" s="36">
        <f>COUNTIF(Vertices[PageRank], "&gt;= " &amp; P8) - COUNTIF(Vertices[PageRank], "&gt;=" &amp; P9)</f>
        <v>0</v>
      </c>
      <c r="R8" s="35">
        <f t="shared" si="8"/>
        <v>0</v>
      </c>
      <c r="S8" s="41">
        <f>COUNTIF(Vertices[Clustering Coefficient], "&gt;= " &amp; R8) - COUNTIF(Vertices[Clustering Coefficient], "&gt;=" &amp; R9)</f>
        <v>0</v>
      </c>
      <c r="T8" s="35">
        <f t="shared" ca="1" si="9"/>
        <v>2835.2209273937133</v>
      </c>
      <c r="U8" s="36">
        <f t="shared" ca="1" si="0"/>
        <v>0</v>
      </c>
    </row>
    <row r="9" spans="1:24" x14ac:dyDescent="0.25">
      <c r="A9" s="32"/>
      <c r="B9" s="32"/>
      <c r="D9" s="30">
        <f t="shared" si="1"/>
        <v>0</v>
      </c>
      <c r="E9">
        <f>COUNTIF(Vertices[Degree], "&gt;= " &amp; D9) - COUNTIF(Vertices[Degree], "&gt;=" &amp; D10)</f>
        <v>0</v>
      </c>
      <c r="F9" s="37">
        <f t="shared" si="2"/>
        <v>0</v>
      </c>
      <c r="G9" s="38">
        <f>COUNTIF(Vertices[In-Degree], "&gt;= " &amp; F9) - COUNTIF(Vertices[In-Degree], "&gt;=" &amp; F10)</f>
        <v>0</v>
      </c>
      <c r="H9" s="37">
        <f t="shared" si="3"/>
        <v>0</v>
      </c>
      <c r="I9" s="38">
        <f>COUNTIF(Vertices[Out-Degree], "&gt;= " &amp; H9) - COUNTIF(Vertices[Out-Degree], "&gt;=" &amp; H10)</f>
        <v>0</v>
      </c>
      <c r="J9" s="37">
        <f t="shared" si="4"/>
        <v>0</v>
      </c>
      <c r="K9" s="38">
        <f>COUNTIF(Vertices[Betweenness Centrality], "&gt;= " &amp; J9) - COUNTIF(Vertices[Betweenness Centrality], "&gt;=" &amp; J10)</f>
        <v>0</v>
      </c>
      <c r="L9" s="37">
        <f t="shared" si="5"/>
        <v>0</v>
      </c>
      <c r="M9" s="38">
        <f>COUNTIF(Vertices[Closeness Centrality], "&gt;= " &amp; L9) - COUNTIF(Vertices[Closeness Centrality], "&gt;=" &amp; L10)</f>
        <v>0</v>
      </c>
      <c r="N9" s="37">
        <f t="shared" si="6"/>
        <v>0</v>
      </c>
      <c r="O9" s="38">
        <f>COUNTIF(Vertices[Eigenvector Centrality], "&gt;= " &amp; N9) - COUNTIF(Vertices[Eigenvector Centrality], "&gt;=" &amp; N10)</f>
        <v>0</v>
      </c>
      <c r="P9" s="37">
        <f t="shared" si="7"/>
        <v>0</v>
      </c>
      <c r="Q9" s="38">
        <f>COUNTIF(Vertices[PageRank], "&gt;= " &amp; P9) - COUNTIF(Vertices[PageRank], "&gt;=" &amp; P10)</f>
        <v>0</v>
      </c>
      <c r="R9" s="37">
        <f t="shared" si="8"/>
        <v>0</v>
      </c>
      <c r="S9" s="42">
        <f>COUNTIF(Vertices[Clustering Coefficient], "&gt;= " &amp; R9) - COUNTIF(Vertices[Clustering Coefficient], "&gt;=" &amp; R10)</f>
        <v>0</v>
      </c>
      <c r="T9" s="37">
        <f t="shared" ca="1" si="9"/>
        <v>2981.0115938408426</v>
      </c>
      <c r="U9" s="38">
        <f t="shared" ca="1" si="0"/>
        <v>0</v>
      </c>
    </row>
    <row r="10" spans="1:24" x14ac:dyDescent="0.25">
      <c r="A10" s="32"/>
      <c r="B10" s="32"/>
      <c r="D10" s="30">
        <f t="shared" si="1"/>
        <v>0</v>
      </c>
      <c r="E10">
        <f>COUNTIF(Vertices[Degree], "&gt;= " &amp; D10) - COUNTIF(Vertices[Degree], "&gt;=" &amp; D11)</f>
        <v>0</v>
      </c>
      <c r="F10" s="35">
        <f t="shared" si="2"/>
        <v>0</v>
      </c>
      <c r="G10" s="36">
        <f>COUNTIF(Vertices[In-Degree], "&gt;= " &amp; F10) - COUNTIF(Vertices[In-Degree], "&gt;=" &amp; F11)</f>
        <v>0</v>
      </c>
      <c r="H10" s="35">
        <f t="shared" si="3"/>
        <v>0</v>
      </c>
      <c r="I10" s="36">
        <f>COUNTIF(Vertices[Out-Degree], "&gt;= " &amp; H10) - COUNTIF(Vertices[Out-Degree], "&gt;=" &amp; H11)</f>
        <v>0</v>
      </c>
      <c r="J10" s="35">
        <f t="shared" si="4"/>
        <v>0</v>
      </c>
      <c r="K10" s="36">
        <f>COUNTIF(Vertices[Betweenness Centrality], "&gt;= " &amp; J10) - COUNTIF(Vertices[Betweenness Centrality], "&gt;=" &amp; J11)</f>
        <v>0</v>
      </c>
      <c r="L10" s="35">
        <f t="shared" si="5"/>
        <v>0</v>
      </c>
      <c r="M10" s="36">
        <f>COUNTIF(Vertices[Closeness Centrality], "&gt;= " &amp; L10) - COUNTIF(Vertices[Closeness Centrality], "&gt;=" &amp; L11)</f>
        <v>0</v>
      </c>
      <c r="N10" s="35">
        <f t="shared" si="6"/>
        <v>0</v>
      </c>
      <c r="O10" s="36">
        <f>COUNTIF(Vertices[Eigenvector Centrality], "&gt;= " &amp; N10) - COUNTIF(Vertices[Eigenvector Centrality], "&gt;=" &amp; N11)</f>
        <v>0</v>
      </c>
      <c r="P10" s="35">
        <f t="shared" si="7"/>
        <v>0</v>
      </c>
      <c r="Q10" s="36">
        <f>COUNTIF(Vertices[PageRank], "&gt;= " &amp; P10) - COUNTIF(Vertices[PageRank], "&gt;=" &amp; P11)</f>
        <v>0</v>
      </c>
      <c r="R10" s="35">
        <f t="shared" si="8"/>
        <v>0</v>
      </c>
      <c r="S10" s="41">
        <f>COUNTIF(Vertices[Clustering Coefficient], "&gt;= " &amp; R10) - COUNTIF(Vertices[Clustering Coefficient], "&gt;=" &amp; R11)</f>
        <v>0</v>
      </c>
      <c r="T10" s="35">
        <f t="shared" ca="1" si="9"/>
        <v>3126.8022602879719</v>
      </c>
      <c r="U10" s="36">
        <f t="shared" ca="1" si="0"/>
        <v>0</v>
      </c>
    </row>
    <row r="11" spans="1:24" x14ac:dyDescent="0.25">
      <c r="A11" s="32"/>
      <c r="B11" s="32"/>
      <c r="D11" s="30">
        <f t="shared" si="1"/>
        <v>0</v>
      </c>
      <c r="E11">
        <f>COUNTIF(Vertices[Degree], "&gt;= " &amp; D11) - COUNTIF(Vertices[Degree], "&gt;=" &amp; D12)</f>
        <v>0</v>
      </c>
      <c r="F11" s="37">
        <f t="shared" si="2"/>
        <v>0</v>
      </c>
      <c r="G11" s="38">
        <f>COUNTIF(Vertices[In-Degree], "&gt;= " &amp; F11) - COUNTIF(Vertices[In-Degree], "&gt;=" &amp; F12)</f>
        <v>0</v>
      </c>
      <c r="H11" s="37">
        <f t="shared" si="3"/>
        <v>0</v>
      </c>
      <c r="I11" s="38">
        <f>COUNTIF(Vertices[Out-Degree], "&gt;= " &amp; H11) - COUNTIF(Vertices[Out-Degree], "&gt;=" &amp; H12)</f>
        <v>0</v>
      </c>
      <c r="J11" s="37">
        <f t="shared" si="4"/>
        <v>0</v>
      </c>
      <c r="K11" s="38">
        <f>COUNTIF(Vertices[Betweenness Centrality], "&gt;= " &amp; J11) - COUNTIF(Vertices[Betweenness Centrality], "&gt;=" &amp; J12)</f>
        <v>0</v>
      </c>
      <c r="L11" s="37">
        <f t="shared" si="5"/>
        <v>0</v>
      </c>
      <c r="M11" s="38">
        <f>COUNTIF(Vertices[Closeness Centrality], "&gt;= " &amp; L11) - COUNTIF(Vertices[Closeness Centrality], "&gt;=" &amp; L12)</f>
        <v>0</v>
      </c>
      <c r="N11" s="37">
        <f t="shared" si="6"/>
        <v>0</v>
      </c>
      <c r="O11" s="38">
        <f>COUNTIF(Vertices[Eigenvector Centrality], "&gt;= " &amp; N11) - COUNTIF(Vertices[Eigenvector Centrality], "&gt;=" &amp; N12)</f>
        <v>0</v>
      </c>
      <c r="P11" s="37">
        <f t="shared" si="7"/>
        <v>0</v>
      </c>
      <c r="Q11" s="38">
        <f>COUNTIF(Vertices[PageRank], "&gt;= " &amp; P11) - COUNTIF(Vertices[PageRank], "&gt;=" &amp; P12)</f>
        <v>0</v>
      </c>
      <c r="R11" s="37">
        <f t="shared" si="8"/>
        <v>0</v>
      </c>
      <c r="S11" s="42">
        <f>COUNTIF(Vertices[Clustering Coefficient], "&gt;= " &amp; R11) - COUNTIF(Vertices[Clustering Coefficient], "&gt;=" &amp; R12)</f>
        <v>0</v>
      </c>
      <c r="T11" s="37">
        <f t="shared" ca="1" si="9"/>
        <v>3272.5929267351012</v>
      </c>
      <c r="U11" s="38">
        <f t="shared" ca="1" si="0"/>
        <v>0</v>
      </c>
    </row>
    <row r="12" spans="1:24" x14ac:dyDescent="0.25">
      <c r="A12" s="32"/>
      <c r="B12" s="32"/>
      <c r="D12" s="30">
        <f t="shared" si="1"/>
        <v>0</v>
      </c>
      <c r="E12">
        <f>COUNTIF(Vertices[Degree], "&gt;= " &amp; D12) - COUNTIF(Vertices[Degree], "&gt;=" &amp; D13)</f>
        <v>0</v>
      </c>
      <c r="F12" s="35">
        <f t="shared" si="2"/>
        <v>0</v>
      </c>
      <c r="G12" s="36">
        <f>COUNTIF(Vertices[In-Degree], "&gt;= " &amp; F12) - COUNTIF(Vertices[In-Degree], "&gt;=" &amp; F13)</f>
        <v>0</v>
      </c>
      <c r="H12" s="35">
        <f t="shared" si="3"/>
        <v>0</v>
      </c>
      <c r="I12" s="36">
        <f>COUNTIF(Vertices[Out-Degree], "&gt;= " &amp; H12) - COUNTIF(Vertices[Out-Degree], "&gt;=" &amp; H13)</f>
        <v>0</v>
      </c>
      <c r="J12" s="35">
        <f t="shared" si="4"/>
        <v>0</v>
      </c>
      <c r="K12" s="36">
        <f>COUNTIF(Vertices[Betweenness Centrality], "&gt;= " &amp; J12) - COUNTIF(Vertices[Betweenness Centrality], "&gt;=" &amp; J13)</f>
        <v>0</v>
      </c>
      <c r="L12" s="35">
        <f t="shared" si="5"/>
        <v>0</v>
      </c>
      <c r="M12" s="36">
        <f>COUNTIF(Vertices[Closeness Centrality], "&gt;= " &amp; L12) - COUNTIF(Vertices[Closeness Centrality], "&gt;=" &amp; L13)</f>
        <v>0</v>
      </c>
      <c r="N12" s="35">
        <f t="shared" si="6"/>
        <v>0</v>
      </c>
      <c r="O12" s="36">
        <f>COUNTIF(Vertices[Eigenvector Centrality], "&gt;= " &amp; N12) - COUNTIF(Vertices[Eigenvector Centrality], "&gt;=" &amp; N13)</f>
        <v>0</v>
      </c>
      <c r="P12" s="35">
        <f t="shared" si="7"/>
        <v>0</v>
      </c>
      <c r="Q12" s="36">
        <f>COUNTIF(Vertices[PageRank], "&gt;= " &amp; P12) - COUNTIF(Vertices[PageRank], "&gt;=" &amp; P13)</f>
        <v>0</v>
      </c>
      <c r="R12" s="35">
        <f t="shared" si="8"/>
        <v>0</v>
      </c>
      <c r="S12" s="41">
        <f>COUNTIF(Vertices[Clustering Coefficient], "&gt;= " &amp; R12) - COUNTIF(Vertices[Clustering Coefficient], "&gt;=" &amp; R13)</f>
        <v>0</v>
      </c>
      <c r="T12" s="35">
        <f t="shared" ca="1" si="9"/>
        <v>3418.3835931822305</v>
      </c>
      <c r="U12" s="36">
        <f t="shared" ca="1" si="0"/>
        <v>0</v>
      </c>
    </row>
    <row r="13" spans="1:24" x14ac:dyDescent="0.25">
      <c r="A13" s="32"/>
      <c r="B13" s="32"/>
      <c r="D13" s="30">
        <f t="shared" si="1"/>
        <v>0</v>
      </c>
      <c r="E13">
        <f>COUNTIF(Vertices[Degree], "&gt;= " &amp; D13) - COUNTIF(Vertices[Degree], "&gt;=" &amp; D14)</f>
        <v>0</v>
      </c>
      <c r="F13" s="37">
        <f t="shared" si="2"/>
        <v>0</v>
      </c>
      <c r="G13" s="38">
        <f>COUNTIF(Vertices[In-Degree], "&gt;= " &amp; F13) - COUNTIF(Vertices[In-Degree], "&gt;=" &amp; F14)</f>
        <v>0</v>
      </c>
      <c r="H13" s="37">
        <f t="shared" si="3"/>
        <v>0</v>
      </c>
      <c r="I13" s="38">
        <f>COUNTIF(Vertices[Out-Degree], "&gt;= " &amp; H13) - COUNTIF(Vertices[Out-Degree], "&gt;=" &amp; H14)</f>
        <v>0</v>
      </c>
      <c r="J13" s="37">
        <f t="shared" si="4"/>
        <v>0</v>
      </c>
      <c r="K13" s="38">
        <f>COUNTIF(Vertices[Betweenness Centrality], "&gt;= " &amp; J13) - COUNTIF(Vertices[Betweenness Centrality], "&gt;=" &amp; J14)</f>
        <v>0</v>
      </c>
      <c r="L13" s="37">
        <f t="shared" si="5"/>
        <v>0</v>
      </c>
      <c r="M13" s="38">
        <f>COUNTIF(Vertices[Closeness Centrality], "&gt;= " &amp; L13) - COUNTIF(Vertices[Closeness Centrality], "&gt;=" &amp; L14)</f>
        <v>0</v>
      </c>
      <c r="N13" s="37">
        <f t="shared" si="6"/>
        <v>0</v>
      </c>
      <c r="O13" s="38">
        <f>COUNTIF(Vertices[Eigenvector Centrality], "&gt;= " &amp; N13) - COUNTIF(Vertices[Eigenvector Centrality], "&gt;=" &amp; N14)</f>
        <v>0</v>
      </c>
      <c r="P13" s="37">
        <f t="shared" si="7"/>
        <v>0</v>
      </c>
      <c r="Q13" s="38">
        <f>COUNTIF(Vertices[PageRank], "&gt;= " &amp; P13) - COUNTIF(Vertices[PageRank], "&gt;=" &amp; P14)</f>
        <v>0</v>
      </c>
      <c r="R13" s="37">
        <f t="shared" si="8"/>
        <v>0</v>
      </c>
      <c r="S13" s="42">
        <f>COUNTIF(Vertices[Clustering Coefficient], "&gt;= " &amp; R13) - COUNTIF(Vertices[Clustering Coefficient], "&gt;=" &amp; R14)</f>
        <v>0</v>
      </c>
      <c r="T13" s="37">
        <f t="shared" ca="1" si="9"/>
        <v>3564.1742596293598</v>
      </c>
      <c r="U13" s="38">
        <f t="shared" ca="1" si="0"/>
        <v>0</v>
      </c>
    </row>
    <row r="14" spans="1:24" x14ac:dyDescent="0.25">
      <c r="A14" s="32"/>
      <c r="B14" s="32"/>
      <c r="D14" s="30">
        <f t="shared" si="1"/>
        <v>0</v>
      </c>
      <c r="E14">
        <f>COUNTIF(Vertices[Degree], "&gt;= " &amp; D14) - COUNTIF(Vertices[Degree], "&gt;=" &amp; D15)</f>
        <v>0</v>
      </c>
      <c r="F14" s="35">
        <f t="shared" si="2"/>
        <v>0</v>
      </c>
      <c r="G14" s="36">
        <f>COUNTIF(Vertices[In-Degree], "&gt;= " &amp; F14) - COUNTIF(Vertices[In-Degree], "&gt;=" &amp; F15)</f>
        <v>0</v>
      </c>
      <c r="H14" s="35">
        <f t="shared" si="3"/>
        <v>0</v>
      </c>
      <c r="I14" s="36">
        <f>COUNTIF(Vertices[Out-Degree], "&gt;= " &amp; H14) - COUNTIF(Vertices[Out-Degree], "&gt;=" &amp; H15)</f>
        <v>0</v>
      </c>
      <c r="J14" s="35">
        <f t="shared" si="4"/>
        <v>0</v>
      </c>
      <c r="K14" s="36">
        <f>COUNTIF(Vertices[Betweenness Centrality], "&gt;= " &amp; J14) - COUNTIF(Vertices[Betweenness Centrality], "&gt;=" &amp; J15)</f>
        <v>0</v>
      </c>
      <c r="L14" s="35">
        <f t="shared" si="5"/>
        <v>0</v>
      </c>
      <c r="M14" s="36">
        <f>COUNTIF(Vertices[Closeness Centrality], "&gt;= " &amp; L14) - COUNTIF(Vertices[Closeness Centrality], "&gt;=" &amp; L15)</f>
        <v>0</v>
      </c>
      <c r="N14" s="35">
        <f t="shared" si="6"/>
        <v>0</v>
      </c>
      <c r="O14" s="36">
        <f>COUNTIF(Vertices[Eigenvector Centrality], "&gt;= " &amp; N14) - COUNTIF(Vertices[Eigenvector Centrality], "&gt;=" &amp; N15)</f>
        <v>0</v>
      </c>
      <c r="P14" s="35">
        <f t="shared" si="7"/>
        <v>0</v>
      </c>
      <c r="Q14" s="36">
        <f>COUNTIF(Vertices[PageRank], "&gt;= " &amp; P14) - COUNTIF(Vertices[PageRank], "&gt;=" &amp; P15)</f>
        <v>0</v>
      </c>
      <c r="R14" s="35">
        <f t="shared" si="8"/>
        <v>0</v>
      </c>
      <c r="S14" s="41">
        <f>COUNTIF(Vertices[Clustering Coefficient], "&gt;= " &amp; R14) - COUNTIF(Vertices[Clustering Coefficient], "&gt;=" &amp; R15)</f>
        <v>0</v>
      </c>
      <c r="T14" s="35">
        <f t="shared" ca="1" si="9"/>
        <v>3709.9649260764891</v>
      </c>
      <c r="U14" s="36">
        <f t="shared" ca="1" si="0"/>
        <v>0</v>
      </c>
    </row>
    <row r="15" spans="1:24" x14ac:dyDescent="0.25">
      <c r="A15" s="32"/>
      <c r="B15" s="32"/>
      <c r="D15" s="30">
        <f t="shared" si="1"/>
        <v>0</v>
      </c>
      <c r="E15">
        <f>COUNTIF(Vertices[Degree], "&gt;= " &amp; D15) - COUNTIF(Vertices[Degree], "&gt;=" &amp; D16)</f>
        <v>0</v>
      </c>
      <c r="F15" s="37">
        <f t="shared" si="2"/>
        <v>0</v>
      </c>
      <c r="G15" s="38">
        <f>COUNTIF(Vertices[In-Degree], "&gt;= " &amp; F15) - COUNTIF(Vertices[In-Degree], "&gt;=" &amp; F16)</f>
        <v>0</v>
      </c>
      <c r="H15" s="37">
        <f t="shared" si="3"/>
        <v>0</v>
      </c>
      <c r="I15" s="38">
        <f>COUNTIF(Vertices[Out-Degree], "&gt;= " &amp; H15) - COUNTIF(Vertices[Out-Degree], "&gt;=" &amp; H16)</f>
        <v>0</v>
      </c>
      <c r="J15" s="37">
        <f t="shared" si="4"/>
        <v>0</v>
      </c>
      <c r="K15" s="38">
        <f>COUNTIF(Vertices[Betweenness Centrality], "&gt;= " &amp; J15) - COUNTIF(Vertices[Betweenness Centrality], "&gt;=" &amp; J16)</f>
        <v>0</v>
      </c>
      <c r="L15" s="37">
        <f t="shared" si="5"/>
        <v>0</v>
      </c>
      <c r="M15" s="38">
        <f>COUNTIF(Vertices[Closeness Centrality], "&gt;= " &amp; L15) - COUNTIF(Vertices[Closeness Centrality], "&gt;=" &amp; L16)</f>
        <v>0</v>
      </c>
      <c r="N15" s="37">
        <f t="shared" si="6"/>
        <v>0</v>
      </c>
      <c r="O15" s="38">
        <f>COUNTIF(Vertices[Eigenvector Centrality], "&gt;= " &amp; N15) - COUNTIF(Vertices[Eigenvector Centrality], "&gt;=" &amp; N16)</f>
        <v>0</v>
      </c>
      <c r="P15" s="37">
        <f t="shared" si="7"/>
        <v>0</v>
      </c>
      <c r="Q15" s="38">
        <f>COUNTIF(Vertices[PageRank], "&gt;= " &amp; P15) - COUNTIF(Vertices[PageRank], "&gt;=" &amp; P16)</f>
        <v>0</v>
      </c>
      <c r="R15" s="37">
        <f t="shared" si="8"/>
        <v>0</v>
      </c>
      <c r="S15" s="42">
        <f>COUNTIF(Vertices[Clustering Coefficient], "&gt;= " &amp; R15) - COUNTIF(Vertices[Clustering Coefficient], "&gt;=" &amp; R16)</f>
        <v>0</v>
      </c>
      <c r="T15" s="37">
        <f t="shared" ca="1" si="9"/>
        <v>3855.7555925236184</v>
      </c>
      <c r="U15" s="38">
        <f t="shared" ca="1" si="0"/>
        <v>0</v>
      </c>
    </row>
    <row r="16" spans="1:24" x14ac:dyDescent="0.25">
      <c r="A16" s="32"/>
      <c r="B16" s="32"/>
      <c r="D16" s="30">
        <f t="shared" si="1"/>
        <v>0</v>
      </c>
      <c r="E16">
        <f>COUNTIF(Vertices[Degree], "&gt;= " &amp; D16) - COUNTIF(Vertices[Degree], "&gt;=" &amp; D17)</f>
        <v>0</v>
      </c>
      <c r="F16" s="35">
        <f t="shared" si="2"/>
        <v>0</v>
      </c>
      <c r="G16" s="36">
        <f>COUNTIF(Vertices[In-Degree], "&gt;= " &amp; F16) - COUNTIF(Vertices[In-Degree], "&gt;=" &amp; F17)</f>
        <v>0</v>
      </c>
      <c r="H16" s="35">
        <f t="shared" si="3"/>
        <v>0</v>
      </c>
      <c r="I16" s="36">
        <f>COUNTIF(Vertices[Out-Degree], "&gt;= " &amp; H16) - COUNTIF(Vertices[Out-Degree], "&gt;=" &amp; H17)</f>
        <v>0</v>
      </c>
      <c r="J16" s="35">
        <f t="shared" si="4"/>
        <v>0</v>
      </c>
      <c r="K16" s="36">
        <f>COUNTIF(Vertices[Betweenness Centrality], "&gt;= " &amp; J16) - COUNTIF(Vertices[Betweenness Centrality], "&gt;=" &amp; J17)</f>
        <v>0</v>
      </c>
      <c r="L16" s="35">
        <f t="shared" si="5"/>
        <v>0</v>
      </c>
      <c r="M16" s="36">
        <f>COUNTIF(Vertices[Closeness Centrality], "&gt;= " &amp; L16) - COUNTIF(Vertices[Closeness Centrality], "&gt;=" &amp; L17)</f>
        <v>0</v>
      </c>
      <c r="N16" s="35">
        <f t="shared" si="6"/>
        <v>0</v>
      </c>
      <c r="O16" s="36">
        <f>COUNTIF(Vertices[Eigenvector Centrality], "&gt;= " &amp; N16) - COUNTIF(Vertices[Eigenvector Centrality], "&gt;=" &amp; N17)</f>
        <v>0</v>
      </c>
      <c r="P16" s="35">
        <f t="shared" si="7"/>
        <v>0</v>
      </c>
      <c r="Q16" s="36">
        <f>COUNTIF(Vertices[PageRank], "&gt;= " &amp; P16) - COUNTIF(Vertices[PageRank], "&gt;=" &amp; P17)</f>
        <v>0</v>
      </c>
      <c r="R16" s="35">
        <f t="shared" si="8"/>
        <v>0</v>
      </c>
      <c r="S16" s="41">
        <f>COUNTIF(Vertices[Clustering Coefficient], "&gt;= " &amp; R16) - COUNTIF(Vertices[Clustering Coefficient], "&gt;=" &amp; R17)</f>
        <v>0</v>
      </c>
      <c r="T16" s="35">
        <f t="shared" ca="1" si="9"/>
        <v>4001.5462589707477</v>
      </c>
      <c r="U16" s="36">
        <f t="shared" ca="1" si="0"/>
        <v>0</v>
      </c>
    </row>
    <row r="17" spans="1:21" x14ac:dyDescent="0.25">
      <c r="A17" s="32"/>
      <c r="B17" s="32"/>
      <c r="D17" s="30">
        <f t="shared" si="1"/>
        <v>0</v>
      </c>
      <c r="E17">
        <f>COUNTIF(Vertices[Degree], "&gt;= " &amp; D17) - COUNTIF(Vertices[Degree], "&gt;=" &amp; D18)</f>
        <v>0</v>
      </c>
      <c r="F17" s="37">
        <f t="shared" si="2"/>
        <v>0</v>
      </c>
      <c r="G17" s="38">
        <f>COUNTIF(Vertices[In-Degree], "&gt;= " &amp; F17) - COUNTIF(Vertices[In-Degree], "&gt;=" &amp; F18)</f>
        <v>0</v>
      </c>
      <c r="H17" s="37">
        <f t="shared" si="3"/>
        <v>0</v>
      </c>
      <c r="I17" s="38">
        <f>COUNTIF(Vertices[Out-Degree], "&gt;= " &amp; H17) - COUNTIF(Vertices[Out-Degree], "&gt;=" &amp; H18)</f>
        <v>0</v>
      </c>
      <c r="J17" s="37">
        <f t="shared" si="4"/>
        <v>0</v>
      </c>
      <c r="K17" s="38">
        <f>COUNTIF(Vertices[Betweenness Centrality], "&gt;= " &amp; J17) - COUNTIF(Vertices[Betweenness Centrality], "&gt;=" &amp; J18)</f>
        <v>0</v>
      </c>
      <c r="L17" s="37">
        <f t="shared" si="5"/>
        <v>0</v>
      </c>
      <c r="M17" s="38">
        <f>COUNTIF(Vertices[Closeness Centrality], "&gt;= " &amp; L17) - COUNTIF(Vertices[Closeness Centrality], "&gt;=" &amp; L18)</f>
        <v>0</v>
      </c>
      <c r="N17" s="37">
        <f t="shared" si="6"/>
        <v>0</v>
      </c>
      <c r="O17" s="38">
        <f>COUNTIF(Vertices[Eigenvector Centrality], "&gt;= " &amp; N17) - COUNTIF(Vertices[Eigenvector Centrality], "&gt;=" &amp; N18)</f>
        <v>0</v>
      </c>
      <c r="P17" s="37">
        <f t="shared" si="7"/>
        <v>0</v>
      </c>
      <c r="Q17" s="38">
        <f>COUNTIF(Vertices[PageRank], "&gt;= " &amp; P17) - COUNTIF(Vertices[PageRank], "&gt;=" &amp; P18)</f>
        <v>0</v>
      </c>
      <c r="R17" s="37">
        <f t="shared" si="8"/>
        <v>0</v>
      </c>
      <c r="S17" s="42">
        <f>COUNTIF(Vertices[Clustering Coefficient], "&gt;= " &amp; R17) - COUNTIF(Vertices[Clustering Coefficient], "&gt;=" &amp; R18)</f>
        <v>0</v>
      </c>
      <c r="T17" s="37">
        <f t="shared" ca="1" si="9"/>
        <v>4147.336925417877</v>
      </c>
      <c r="U17" s="38">
        <f t="shared" ca="1" si="0"/>
        <v>0</v>
      </c>
    </row>
    <row r="18" spans="1:21" x14ac:dyDescent="0.25">
      <c r="A18" s="32"/>
      <c r="B18" s="32"/>
      <c r="D18" s="30">
        <f t="shared" si="1"/>
        <v>0</v>
      </c>
      <c r="E18">
        <f>COUNTIF(Vertices[Degree], "&gt;= " &amp; D18) - COUNTIF(Vertices[Degree], "&gt;=" &amp; D19)</f>
        <v>0</v>
      </c>
      <c r="F18" s="35">
        <f t="shared" si="2"/>
        <v>0</v>
      </c>
      <c r="G18" s="36">
        <f>COUNTIF(Vertices[In-Degree], "&gt;= " &amp; F18) - COUNTIF(Vertices[In-Degree], "&gt;=" &amp; F19)</f>
        <v>0</v>
      </c>
      <c r="H18" s="35">
        <f t="shared" si="3"/>
        <v>0</v>
      </c>
      <c r="I18" s="36">
        <f>COUNTIF(Vertices[Out-Degree], "&gt;= " &amp; H18) - COUNTIF(Vertices[Out-Degree], "&gt;=" &amp; H19)</f>
        <v>0</v>
      </c>
      <c r="J18" s="35">
        <f t="shared" si="4"/>
        <v>0</v>
      </c>
      <c r="K18" s="36">
        <f>COUNTIF(Vertices[Betweenness Centrality], "&gt;= " &amp; J18) - COUNTIF(Vertices[Betweenness Centrality], "&gt;=" &amp; J19)</f>
        <v>0</v>
      </c>
      <c r="L18" s="35">
        <f t="shared" si="5"/>
        <v>0</v>
      </c>
      <c r="M18" s="36">
        <f>COUNTIF(Vertices[Closeness Centrality], "&gt;= " &amp; L18) - COUNTIF(Vertices[Closeness Centrality], "&gt;=" &amp; L19)</f>
        <v>0</v>
      </c>
      <c r="N18" s="35">
        <f t="shared" si="6"/>
        <v>0</v>
      </c>
      <c r="O18" s="36">
        <f>COUNTIF(Vertices[Eigenvector Centrality], "&gt;= " &amp; N18) - COUNTIF(Vertices[Eigenvector Centrality], "&gt;=" &amp; N19)</f>
        <v>0</v>
      </c>
      <c r="P18" s="35">
        <f t="shared" si="7"/>
        <v>0</v>
      </c>
      <c r="Q18" s="36">
        <f>COUNTIF(Vertices[PageRank], "&gt;= " &amp; P18) - COUNTIF(Vertices[PageRank], "&gt;=" &amp; P19)</f>
        <v>0</v>
      </c>
      <c r="R18" s="35">
        <f t="shared" si="8"/>
        <v>0</v>
      </c>
      <c r="S18" s="41">
        <f>COUNTIF(Vertices[Clustering Coefficient], "&gt;= " &amp; R18) - COUNTIF(Vertices[Clustering Coefficient], "&gt;=" &amp; R19)</f>
        <v>0</v>
      </c>
      <c r="T18" s="35">
        <f t="shared" ca="1" si="9"/>
        <v>4293.1275918650063</v>
      </c>
      <c r="U18" s="36">
        <f t="shared" ca="1" si="0"/>
        <v>0</v>
      </c>
    </row>
    <row r="19" spans="1:21" x14ac:dyDescent="0.25">
      <c r="A19" s="32"/>
      <c r="B19" s="32"/>
      <c r="D19" s="30">
        <f t="shared" si="1"/>
        <v>0</v>
      </c>
      <c r="E19">
        <f>COUNTIF(Vertices[Degree], "&gt;= " &amp; D19) - COUNTIF(Vertices[Degree], "&gt;=" &amp; D20)</f>
        <v>0</v>
      </c>
      <c r="F19" s="37">
        <f t="shared" si="2"/>
        <v>0</v>
      </c>
      <c r="G19" s="38">
        <f>COUNTIF(Vertices[In-Degree], "&gt;= " &amp; F19) - COUNTIF(Vertices[In-Degree], "&gt;=" &amp; F20)</f>
        <v>0</v>
      </c>
      <c r="H19" s="37">
        <f t="shared" si="3"/>
        <v>0</v>
      </c>
      <c r="I19" s="38">
        <f>COUNTIF(Vertices[Out-Degree], "&gt;= " &amp; H19) - COUNTIF(Vertices[Out-Degree], "&gt;=" &amp; H20)</f>
        <v>0</v>
      </c>
      <c r="J19" s="37">
        <f t="shared" si="4"/>
        <v>0</v>
      </c>
      <c r="K19" s="38">
        <f>COUNTIF(Vertices[Betweenness Centrality], "&gt;= " &amp; J19) - COUNTIF(Vertices[Betweenness Centrality], "&gt;=" &amp; J20)</f>
        <v>0</v>
      </c>
      <c r="L19" s="37">
        <f t="shared" si="5"/>
        <v>0</v>
      </c>
      <c r="M19" s="38">
        <f>COUNTIF(Vertices[Closeness Centrality], "&gt;= " &amp; L19) - COUNTIF(Vertices[Closeness Centrality], "&gt;=" &amp; L20)</f>
        <v>0</v>
      </c>
      <c r="N19" s="37">
        <f t="shared" si="6"/>
        <v>0</v>
      </c>
      <c r="O19" s="38">
        <f>COUNTIF(Vertices[Eigenvector Centrality], "&gt;= " &amp; N19) - COUNTIF(Vertices[Eigenvector Centrality], "&gt;=" &amp; N20)</f>
        <v>0</v>
      </c>
      <c r="P19" s="37">
        <f t="shared" si="7"/>
        <v>0</v>
      </c>
      <c r="Q19" s="38">
        <f>COUNTIF(Vertices[PageRank], "&gt;= " &amp; P19) - COUNTIF(Vertices[PageRank], "&gt;=" &amp; P20)</f>
        <v>0</v>
      </c>
      <c r="R19" s="37">
        <f t="shared" si="8"/>
        <v>0</v>
      </c>
      <c r="S19" s="42">
        <f>COUNTIF(Vertices[Clustering Coefficient], "&gt;= " &amp; R19) - COUNTIF(Vertices[Clustering Coefficient], "&gt;=" &amp; R20)</f>
        <v>0</v>
      </c>
      <c r="T19" s="37">
        <f t="shared" ca="1" si="9"/>
        <v>4438.9182583121355</v>
      </c>
      <c r="U19" s="38">
        <f t="shared" ca="1" si="0"/>
        <v>0</v>
      </c>
    </row>
    <row r="20" spans="1:21" x14ac:dyDescent="0.25">
      <c r="A20" s="32"/>
      <c r="B20" s="32"/>
      <c r="D20" s="30">
        <f t="shared" si="1"/>
        <v>0</v>
      </c>
      <c r="E20">
        <f>COUNTIF(Vertices[Degree], "&gt;= " &amp; D20) - COUNTIF(Vertices[Degree], "&gt;=" &amp; D21)</f>
        <v>0</v>
      </c>
      <c r="F20" s="35">
        <f t="shared" si="2"/>
        <v>0</v>
      </c>
      <c r="G20" s="36">
        <f>COUNTIF(Vertices[In-Degree], "&gt;= " &amp; F20) - COUNTIF(Vertices[In-Degree], "&gt;=" &amp; F21)</f>
        <v>0</v>
      </c>
      <c r="H20" s="35">
        <f t="shared" si="3"/>
        <v>0</v>
      </c>
      <c r="I20" s="36">
        <f>COUNTIF(Vertices[Out-Degree], "&gt;= " &amp; H20) - COUNTIF(Vertices[Out-Degree], "&gt;=" &amp; H21)</f>
        <v>0</v>
      </c>
      <c r="J20" s="35">
        <f t="shared" si="4"/>
        <v>0</v>
      </c>
      <c r="K20" s="36">
        <f>COUNTIF(Vertices[Betweenness Centrality], "&gt;= " &amp; J20) - COUNTIF(Vertices[Betweenness Centrality], "&gt;=" &amp; J21)</f>
        <v>0</v>
      </c>
      <c r="L20" s="35">
        <f t="shared" si="5"/>
        <v>0</v>
      </c>
      <c r="M20" s="36">
        <f>COUNTIF(Vertices[Closeness Centrality], "&gt;= " &amp; L20) - COUNTIF(Vertices[Closeness Centrality], "&gt;=" &amp; L21)</f>
        <v>0</v>
      </c>
      <c r="N20" s="35">
        <f t="shared" si="6"/>
        <v>0</v>
      </c>
      <c r="O20" s="36">
        <f>COUNTIF(Vertices[Eigenvector Centrality], "&gt;= " &amp; N20) - COUNTIF(Vertices[Eigenvector Centrality], "&gt;=" &amp; N21)</f>
        <v>0</v>
      </c>
      <c r="P20" s="35">
        <f t="shared" si="7"/>
        <v>0</v>
      </c>
      <c r="Q20" s="36">
        <f>COUNTIF(Vertices[PageRank], "&gt;= " &amp; P20) - COUNTIF(Vertices[PageRank], "&gt;=" &amp; P21)</f>
        <v>0</v>
      </c>
      <c r="R20" s="35">
        <f t="shared" si="8"/>
        <v>0</v>
      </c>
      <c r="S20" s="41">
        <f>COUNTIF(Vertices[Clustering Coefficient], "&gt;= " &amp; R20) - COUNTIF(Vertices[Clustering Coefficient], "&gt;=" &amp; R21)</f>
        <v>0</v>
      </c>
      <c r="T20" s="35">
        <f t="shared" ca="1" si="9"/>
        <v>4584.7089247592648</v>
      </c>
      <c r="U20" s="36">
        <f t="shared" ca="1" si="0"/>
        <v>0</v>
      </c>
    </row>
    <row r="21" spans="1:21" x14ac:dyDescent="0.25">
      <c r="A21" s="32"/>
      <c r="B21" s="32"/>
      <c r="D21" s="30">
        <f t="shared" si="1"/>
        <v>0</v>
      </c>
      <c r="E21">
        <f>COUNTIF(Vertices[Degree], "&gt;= " &amp; D21) - COUNTIF(Vertices[Degree], "&gt;=" &amp; D22)</f>
        <v>0</v>
      </c>
      <c r="F21" s="37">
        <f t="shared" si="2"/>
        <v>0</v>
      </c>
      <c r="G21" s="38">
        <f>COUNTIF(Vertices[In-Degree], "&gt;= " &amp; F21) - COUNTIF(Vertices[In-Degree], "&gt;=" &amp; F22)</f>
        <v>0</v>
      </c>
      <c r="H21" s="37">
        <f t="shared" si="3"/>
        <v>0</v>
      </c>
      <c r="I21" s="38">
        <f>COUNTIF(Vertices[Out-Degree], "&gt;= " &amp; H21) - COUNTIF(Vertices[Out-Degree], "&gt;=" &amp; H22)</f>
        <v>0</v>
      </c>
      <c r="J21" s="37">
        <f t="shared" si="4"/>
        <v>0</v>
      </c>
      <c r="K21" s="38">
        <f>COUNTIF(Vertices[Betweenness Centrality], "&gt;= " &amp; J21) - COUNTIF(Vertices[Betweenness Centrality], "&gt;=" &amp; J22)</f>
        <v>0</v>
      </c>
      <c r="L21" s="37">
        <f t="shared" si="5"/>
        <v>0</v>
      </c>
      <c r="M21" s="38">
        <f>COUNTIF(Vertices[Closeness Centrality], "&gt;= " &amp; L21) - COUNTIF(Vertices[Closeness Centrality], "&gt;=" &amp; L22)</f>
        <v>0</v>
      </c>
      <c r="N21" s="37">
        <f t="shared" si="6"/>
        <v>0</v>
      </c>
      <c r="O21" s="38">
        <f>COUNTIF(Vertices[Eigenvector Centrality], "&gt;= " &amp; N21) - COUNTIF(Vertices[Eigenvector Centrality], "&gt;=" &amp; N22)</f>
        <v>0</v>
      </c>
      <c r="P21" s="37">
        <f t="shared" si="7"/>
        <v>0</v>
      </c>
      <c r="Q21" s="38">
        <f>COUNTIF(Vertices[PageRank], "&gt;= " &amp; P21) - COUNTIF(Vertices[PageRank], "&gt;=" &amp; P22)</f>
        <v>0</v>
      </c>
      <c r="R21" s="37">
        <f t="shared" si="8"/>
        <v>0</v>
      </c>
      <c r="S21" s="42">
        <f>COUNTIF(Vertices[Clustering Coefficient], "&gt;= " &amp; R21) - COUNTIF(Vertices[Clustering Coefficient], "&gt;=" &amp; R22)</f>
        <v>0</v>
      </c>
      <c r="T21" s="37">
        <f t="shared" ca="1" si="9"/>
        <v>4730.4995912063941</v>
      </c>
      <c r="U21" s="38">
        <f t="shared" ca="1" si="0"/>
        <v>0</v>
      </c>
    </row>
    <row r="22" spans="1:21" x14ac:dyDescent="0.25">
      <c r="A22" s="32"/>
      <c r="B22" s="32"/>
      <c r="D22" s="30">
        <f t="shared" si="1"/>
        <v>0</v>
      </c>
      <c r="E22">
        <f>COUNTIF(Vertices[Degree], "&gt;= " &amp; D22) - COUNTIF(Vertices[Degree], "&gt;=" &amp; D23)</f>
        <v>0</v>
      </c>
      <c r="F22" s="35">
        <f t="shared" si="2"/>
        <v>0</v>
      </c>
      <c r="G22" s="36">
        <f>COUNTIF(Vertices[In-Degree], "&gt;= " &amp; F22) - COUNTIF(Vertices[In-Degree], "&gt;=" &amp; F23)</f>
        <v>0</v>
      </c>
      <c r="H22" s="35">
        <f t="shared" si="3"/>
        <v>0</v>
      </c>
      <c r="I22" s="36">
        <f>COUNTIF(Vertices[Out-Degree], "&gt;= " &amp; H22) - COUNTIF(Vertices[Out-Degree], "&gt;=" &amp; H23)</f>
        <v>0</v>
      </c>
      <c r="J22" s="35">
        <f t="shared" si="4"/>
        <v>0</v>
      </c>
      <c r="K22" s="36">
        <f>COUNTIF(Vertices[Betweenness Centrality], "&gt;= " &amp; J22) - COUNTIF(Vertices[Betweenness Centrality], "&gt;=" &amp; J23)</f>
        <v>0</v>
      </c>
      <c r="L22" s="35">
        <f t="shared" si="5"/>
        <v>0</v>
      </c>
      <c r="M22" s="36">
        <f>COUNTIF(Vertices[Closeness Centrality], "&gt;= " &amp; L22) - COUNTIF(Vertices[Closeness Centrality], "&gt;=" &amp; L23)</f>
        <v>0</v>
      </c>
      <c r="N22" s="35">
        <f t="shared" si="6"/>
        <v>0</v>
      </c>
      <c r="O22" s="36">
        <f>COUNTIF(Vertices[Eigenvector Centrality], "&gt;= " &amp; N22) - COUNTIF(Vertices[Eigenvector Centrality], "&gt;=" &amp; N23)</f>
        <v>0</v>
      </c>
      <c r="P22" s="35">
        <f t="shared" si="7"/>
        <v>0</v>
      </c>
      <c r="Q22" s="36">
        <f>COUNTIF(Vertices[PageRank], "&gt;= " &amp; P22) - COUNTIF(Vertices[PageRank], "&gt;=" &amp; P23)</f>
        <v>0</v>
      </c>
      <c r="R22" s="35">
        <f t="shared" si="8"/>
        <v>0</v>
      </c>
      <c r="S22" s="41">
        <f>COUNTIF(Vertices[Clustering Coefficient], "&gt;= " &amp; R22) - COUNTIF(Vertices[Clustering Coefficient], "&gt;=" &amp; R23)</f>
        <v>0</v>
      </c>
      <c r="T22" s="35">
        <f t="shared" ca="1" si="9"/>
        <v>4876.2902576535234</v>
      </c>
      <c r="U22" s="36">
        <f t="shared" ca="1" si="0"/>
        <v>1</v>
      </c>
    </row>
    <row r="23" spans="1:21" x14ac:dyDescent="0.25">
      <c r="A23" s="32"/>
      <c r="B23" s="32"/>
      <c r="D23" s="30">
        <f t="shared" si="1"/>
        <v>0</v>
      </c>
      <c r="E23">
        <f>COUNTIF(Vertices[Degree], "&gt;= " &amp; D23) - COUNTIF(Vertices[Degree], "&gt;=" &amp; D24)</f>
        <v>0</v>
      </c>
      <c r="F23" s="37">
        <f t="shared" si="2"/>
        <v>0</v>
      </c>
      <c r="G23" s="38">
        <f>COUNTIF(Vertices[In-Degree], "&gt;= " &amp; F23) - COUNTIF(Vertices[In-Degree], "&gt;=" &amp; F24)</f>
        <v>0</v>
      </c>
      <c r="H23" s="37">
        <f t="shared" si="3"/>
        <v>0</v>
      </c>
      <c r="I23" s="38">
        <f>COUNTIF(Vertices[Out-Degree], "&gt;= " &amp; H23) - COUNTIF(Vertices[Out-Degree], "&gt;=" &amp; H24)</f>
        <v>0</v>
      </c>
      <c r="J23" s="37">
        <f t="shared" si="4"/>
        <v>0</v>
      </c>
      <c r="K23" s="38">
        <f>COUNTIF(Vertices[Betweenness Centrality], "&gt;= " &amp; J23) - COUNTIF(Vertices[Betweenness Centrality], "&gt;=" &amp; J24)</f>
        <v>0</v>
      </c>
      <c r="L23" s="37">
        <f t="shared" si="5"/>
        <v>0</v>
      </c>
      <c r="M23" s="38">
        <f>COUNTIF(Vertices[Closeness Centrality], "&gt;= " &amp; L23) - COUNTIF(Vertices[Closeness Centrality], "&gt;=" &amp; L24)</f>
        <v>0</v>
      </c>
      <c r="N23" s="37">
        <f t="shared" si="6"/>
        <v>0</v>
      </c>
      <c r="O23" s="38">
        <f>COUNTIF(Vertices[Eigenvector Centrality], "&gt;= " &amp; N23) - COUNTIF(Vertices[Eigenvector Centrality], "&gt;=" &amp; N24)</f>
        <v>0</v>
      </c>
      <c r="P23" s="37">
        <f t="shared" si="7"/>
        <v>0</v>
      </c>
      <c r="Q23" s="38">
        <f>COUNTIF(Vertices[PageRank], "&gt;= " &amp; P23) - COUNTIF(Vertices[PageRank], "&gt;=" &amp; P24)</f>
        <v>0</v>
      </c>
      <c r="R23" s="37">
        <f t="shared" si="8"/>
        <v>0</v>
      </c>
      <c r="S23" s="42">
        <f>COUNTIF(Vertices[Clustering Coefficient], "&gt;= " &amp; R23) - COUNTIF(Vertices[Clustering Coefficient], "&gt;=" &amp; R24)</f>
        <v>0</v>
      </c>
      <c r="T23" s="37">
        <f t="shared" ca="1" si="9"/>
        <v>5022.0809241006527</v>
      </c>
      <c r="U23" s="38">
        <f t="shared" ca="1" si="0"/>
        <v>0</v>
      </c>
    </row>
    <row r="24" spans="1:21" x14ac:dyDescent="0.25">
      <c r="A24" s="32"/>
      <c r="B24" s="32"/>
      <c r="D24" s="30">
        <f t="shared" si="1"/>
        <v>0</v>
      </c>
      <c r="E24">
        <f>COUNTIF(Vertices[Degree], "&gt;= " &amp; D24) - COUNTIF(Vertices[Degree], "&gt;=" &amp; D25)</f>
        <v>0</v>
      </c>
      <c r="F24" s="35">
        <f t="shared" si="2"/>
        <v>0</v>
      </c>
      <c r="G24" s="36">
        <f>COUNTIF(Vertices[In-Degree], "&gt;= " &amp; F24) - COUNTIF(Vertices[In-Degree], "&gt;=" &amp; F25)</f>
        <v>0</v>
      </c>
      <c r="H24" s="35">
        <f t="shared" si="3"/>
        <v>0</v>
      </c>
      <c r="I24" s="36">
        <f>COUNTIF(Vertices[Out-Degree], "&gt;= " &amp; H24) - COUNTIF(Vertices[Out-Degree], "&gt;=" &amp; H25)</f>
        <v>0</v>
      </c>
      <c r="J24" s="35">
        <f t="shared" si="4"/>
        <v>0</v>
      </c>
      <c r="K24" s="36">
        <f>COUNTIF(Vertices[Betweenness Centrality], "&gt;= " &amp; J24) - COUNTIF(Vertices[Betweenness Centrality], "&gt;=" &amp; J25)</f>
        <v>0</v>
      </c>
      <c r="L24" s="35">
        <f t="shared" si="5"/>
        <v>0</v>
      </c>
      <c r="M24" s="36">
        <f>COUNTIF(Vertices[Closeness Centrality], "&gt;= " &amp; L24) - COUNTIF(Vertices[Closeness Centrality], "&gt;=" &amp; L25)</f>
        <v>0</v>
      </c>
      <c r="N24" s="35">
        <f t="shared" si="6"/>
        <v>0</v>
      </c>
      <c r="O24" s="36">
        <f>COUNTIF(Vertices[Eigenvector Centrality], "&gt;= " &amp; N24) - COUNTIF(Vertices[Eigenvector Centrality], "&gt;=" &amp; N25)</f>
        <v>0</v>
      </c>
      <c r="P24" s="35">
        <f t="shared" si="7"/>
        <v>0</v>
      </c>
      <c r="Q24" s="36">
        <f>COUNTIF(Vertices[PageRank], "&gt;= " &amp; P24) - COUNTIF(Vertices[PageRank], "&gt;=" &amp; P25)</f>
        <v>0</v>
      </c>
      <c r="R24" s="35">
        <f t="shared" si="8"/>
        <v>0</v>
      </c>
      <c r="S24" s="41">
        <f>COUNTIF(Vertices[Clustering Coefficient], "&gt;= " &amp; R24) - COUNTIF(Vertices[Clustering Coefficient], "&gt;=" &amp; R25)</f>
        <v>0</v>
      </c>
      <c r="T24" s="35">
        <f t="shared" ca="1" si="9"/>
        <v>5167.871590547782</v>
      </c>
      <c r="U24" s="36">
        <f t="shared" ca="1" si="0"/>
        <v>0</v>
      </c>
    </row>
    <row r="25" spans="1:21" x14ac:dyDescent="0.25">
      <c r="A25" s="32"/>
      <c r="B25" s="32"/>
      <c r="D25" s="30">
        <f t="shared" si="1"/>
        <v>0</v>
      </c>
      <c r="E25">
        <f>COUNTIF(Vertices[Degree], "&gt;= " &amp; D25) - COUNTIF(Vertices[Degree], "&gt;=" &amp; D26)</f>
        <v>0</v>
      </c>
      <c r="F25" s="37">
        <f t="shared" si="2"/>
        <v>0</v>
      </c>
      <c r="G25" s="38">
        <f>COUNTIF(Vertices[In-Degree], "&gt;= " &amp; F25) - COUNTIF(Vertices[In-Degree], "&gt;=" &amp; F26)</f>
        <v>0</v>
      </c>
      <c r="H25" s="37">
        <f t="shared" si="3"/>
        <v>0</v>
      </c>
      <c r="I25" s="38">
        <f>COUNTIF(Vertices[Out-Degree], "&gt;= " &amp; H25) - COUNTIF(Vertices[Out-Degree], "&gt;=" &amp; H26)</f>
        <v>0</v>
      </c>
      <c r="J25" s="37">
        <f t="shared" si="4"/>
        <v>0</v>
      </c>
      <c r="K25" s="38">
        <f>COUNTIF(Vertices[Betweenness Centrality], "&gt;= " &amp; J25) - COUNTIF(Vertices[Betweenness Centrality], "&gt;=" &amp; J26)</f>
        <v>0</v>
      </c>
      <c r="L25" s="37">
        <f t="shared" si="5"/>
        <v>0</v>
      </c>
      <c r="M25" s="38">
        <f>COUNTIF(Vertices[Closeness Centrality], "&gt;= " &amp; L25) - COUNTIF(Vertices[Closeness Centrality], "&gt;=" &amp; L26)</f>
        <v>0</v>
      </c>
      <c r="N25" s="37">
        <f t="shared" si="6"/>
        <v>0</v>
      </c>
      <c r="O25" s="38">
        <f>COUNTIF(Vertices[Eigenvector Centrality], "&gt;= " &amp; N25) - COUNTIF(Vertices[Eigenvector Centrality], "&gt;=" &amp; N26)</f>
        <v>0</v>
      </c>
      <c r="P25" s="37">
        <f t="shared" si="7"/>
        <v>0</v>
      </c>
      <c r="Q25" s="38">
        <f>COUNTIF(Vertices[PageRank], "&gt;= " &amp; P25) - COUNTIF(Vertices[PageRank], "&gt;=" &amp; P26)</f>
        <v>0</v>
      </c>
      <c r="R25" s="37">
        <f t="shared" si="8"/>
        <v>0</v>
      </c>
      <c r="S25" s="42">
        <f>COUNTIF(Vertices[Clustering Coefficient], "&gt;= " &amp; R25) - COUNTIF(Vertices[Clustering Coefficient], "&gt;=" &amp; R26)</f>
        <v>0</v>
      </c>
      <c r="T25" s="37">
        <f t="shared" ca="1" si="9"/>
        <v>5313.6622569949113</v>
      </c>
      <c r="U25" s="38">
        <f t="shared" ca="1" si="0"/>
        <v>0</v>
      </c>
    </row>
    <row r="26" spans="1:21" x14ac:dyDescent="0.25">
      <c r="A26" s="32"/>
      <c r="B26" s="32"/>
      <c r="D26" s="30">
        <f t="shared" si="1"/>
        <v>0</v>
      </c>
      <c r="E26">
        <f>COUNTIF(Vertices[Degree], "&gt;= " &amp; D26) - COUNTIF(Vertices[Degree], "&gt;=" &amp; D27)</f>
        <v>0</v>
      </c>
      <c r="F26" s="35">
        <f t="shared" si="2"/>
        <v>0</v>
      </c>
      <c r="G26" s="36">
        <f>COUNTIF(Vertices[In-Degree], "&gt;= " &amp; F26) - COUNTIF(Vertices[In-Degree], "&gt;=" &amp; F27)</f>
        <v>0</v>
      </c>
      <c r="H26" s="35">
        <f t="shared" si="3"/>
        <v>0</v>
      </c>
      <c r="I26" s="36">
        <f>COUNTIF(Vertices[Out-Degree], "&gt;= " &amp; H26) - COUNTIF(Vertices[Out-Degree], "&gt;=" &amp; H27)</f>
        <v>0</v>
      </c>
      <c r="J26" s="35">
        <f t="shared" si="4"/>
        <v>0</v>
      </c>
      <c r="K26" s="36">
        <f>COUNTIF(Vertices[Betweenness Centrality], "&gt;= " &amp; J26) - COUNTIF(Vertices[Betweenness Centrality], "&gt;=" &amp; J27)</f>
        <v>0</v>
      </c>
      <c r="L26" s="35">
        <f t="shared" si="5"/>
        <v>0</v>
      </c>
      <c r="M26" s="36">
        <f>COUNTIF(Vertices[Closeness Centrality], "&gt;= " &amp; L26) - COUNTIF(Vertices[Closeness Centrality], "&gt;=" &amp; L27)</f>
        <v>0</v>
      </c>
      <c r="N26" s="35">
        <f t="shared" si="6"/>
        <v>0</v>
      </c>
      <c r="O26" s="36">
        <f>COUNTIF(Vertices[Eigenvector Centrality], "&gt;= " &amp; N26) - COUNTIF(Vertices[Eigenvector Centrality], "&gt;=" &amp; N27)</f>
        <v>0</v>
      </c>
      <c r="P26" s="35">
        <f t="shared" si="7"/>
        <v>0</v>
      </c>
      <c r="Q26" s="36">
        <f>COUNTIF(Vertices[PageRank], "&gt;= " &amp; P26) - COUNTIF(Vertices[PageRank], "&gt;=" &amp; P27)</f>
        <v>0</v>
      </c>
      <c r="R26" s="35">
        <f t="shared" si="8"/>
        <v>0</v>
      </c>
      <c r="S26" s="41">
        <f>COUNTIF(Vertices[Clustering Coefficient], "&gt;= " &amp; R26) - COUNTIF(Vertices[Clustering Coefficient], "&gt;=" &amp; R27)</f>
        <v>0</v>
      </c>
      <c r="T26" s="35">
        <f t="shared" ca="1" si="9"/>
        <v>5459.4529234420406</v>
      </c>
      <c r="U26" s="36">
        <f t="shared" ca="1" si="0"/>
        <v>0</v>
      </c>
    </row>
    <row r="27" spans="1:21" x14ac:dyDescent="0.25">
      <c r="D27" s="30">
        <f t="shared" si="1"/>
        <v>0</v>
      </c>
      <c r="E27">
        <f>COUNTIF(Vertices[Degree], "&gt;= " &amp; D27) - COUNTIF(Vertices[Degree], "&gt;=" &amp; D28)</f>
        <v>0</v>
      </c>
      <c r="F27" s="37">
        <f t="shared" si="2"/>
        <v>0</v>
      </c>
      <c r="G27" s="38">
        <f>COUNTIF(Vertices[In-Degree], "&gt;= " &amp; F27) - COUNTIF(Vertices[In-Degree], "&gt;=" &amp; F28)</f>
        <v>0</v>
      </c>
      <c r="H27" s="37">
        <f t="shared" si="3"/>
        <v>0</v>
      </c>
      <c r="I27" s="38">
        <f>COUNTIF(Vertices[Out-Degree], "&gt;= " &amp; H27) - COUNTIF(Vertices[Out-Degree], "&gt;=" &amp; H28)</f>
        <v>0</v>
      </c>
      <c r="J27" s="37">
        <f t="shared" si="4"/>
        <v>0</v>
      </c>
      <c r="K27" s="38">
        <f>COUNTIF(Vertices[Betweenness Centrality], "&gt;= " &amp; J27) - COUNTIF(Vertices[Betweenness Centrality], "&gt;=" &amp; J28)</f>
        <v>0</v>
      </c>
      <c r="L27" s="37">
        <f t="shared" si="5"/>
        <v>0</v>
      </c>
      <c r="M27" s="38">
        <f>COUNTIF(Vertices[Closeness Centrality], "&gt;= " &amp; L27) - COUNTIF(Vertices[Closeness Centrality], "&gt;=" &amp; L28)</f>
        <v>0</v>
      </c>
      <c r="N27" s="37">
        <f t="shared" si="6"/>
        <v>0</v>
      </c>
      <c r="O27" s="38">
        <f>COUNTIF(Vertices[Eigenvector Centrality], "&gt;= " &amp; N27) - COUNTIF(Vertices[Eigenvector Centrality], "&gt;=" &amp; N28)</f>
        <v>0</v>
      </c>
      <c r="P27" s="37">
        <f t="shared" si="7"/>
        <v>0</v>
      </c>
      <c r="Q27" s="38">
        <f>COUNTIF(Vertices[PageRank], "&gt;= " &amp; P27) - COUNTIF(Vertices[PageRank], "&gt;=" &amp; P28)</f>
        <v>0</v>
      </c>
      <c r="R27" s="37">
        <f t="shared" si="8"/>
        <v>0</v>
      </c>
      <c r="S27" s="42">
        <f>COUNTIF(Vertices[Clustering Coefficient], "&gt;= " &amp; R27) - COUNTIF(Vertices[Clustering Coefficient], "&gt;=" &amp; R28)</f>
        <v>0</v>
      </c>
      <c r="T27" s="37">
        <f t="shared" ca="1" si="9"/>
        <v>5605.2435898891699</v>
      </c>
      <c r="U27" s="38">
        <f t="shared" ca="1" si="0"/>
        <v>0</v>
      </c>
    </row>
    <row r="28" spans="1:21" x14ac:dyDescent="0.25">
      <c r="D28" s="30">
        <f t="shared" si="1"/>
        <v>0</v>
      </c>
      <c r="E28">
        <f>COUNTIF(Vertices[Degree], "&gt;= " &amp; D28) - COUNTIF(Vertices[Degree], "&gt;=" &amp; D29)</f>
        <v>0</v>
      </c>
      <c r="F28" s="35">
        <f t="shared" si="2"/>
        <v>0</v>
      </c>
      <c r="G28" s="36">
        <f>COUNTIF(Vertices[In-Degree], "&gt;= " &amp; F28) - COUNTIF(Vertices[In-Degree], "&gt;=" &amp; F29)</f>
        <v>0</v>
      </c>
      <c r="H28" s="35">
        <f t="shared" si="3"/>
        <v>0</v>
      </c>
      <c r="I28" s="36">
        <f>COUNTIF(Vertices[Out-Degree], "&gt;= " &amp; H28) - COUNTIF(Vertices[Out-Degree], "&gt;=" &amp; H29)</f>
        <v>0</v>
      </c>
      <c r="J28" s="35">
        <f t="shared" si="4"/>
        <v>0</v>
      </c>
      <c r="K28" s="36">
        <f>COUNTIF(Vertices[Betweenness Centrality], "&gt;= " &amp; J28) - COUNTIF(Vertices[Betweenness Centrality], "&gt;=" &amp; J29)</f>
        <v>0</v>
      </c>
      <c r="L28" s="35">
        <f t="shared" si="5"/>
        <v>0</v>
      </c>
      <c r="M28" s="36">
        <f>COUNTIF(Vertices[Closeness Centrality], "&gt;= " &amp; L28) - COUNTIF(Vertices[Closeness Centrality], "&gt;=" &amp; L29)</f>
        <v>0</v>
      </c>
      <c r="N28" s="35">
        <f t="shared" si="6"/>
        <v>0</v>
      </c>
      <c r="O28" s="36">
        <f>COUNTIF(Vertices[Eigenvector Centrality], "&gt;= " &amp; N28) - COUNTIF(Vertices[Eigenvector Centrality], "&gt;=" &amp; N29)</f>
        <v>0</v>
      </c>
      <c r="P28" s="35">
        <f t="shared" si="7"/>
        <v>0</v>
      </c>
      <c r="Q28" s="36">
        <f>COUNTIF(Vertices[PageRank], "&gt;= " &amp; P28) - COUNTIF(Vertices[PageRank], "&gt;=" &amp; P29)</f>
        <v>0</v>
      </c>
      <c r="R28" s="35">
        <f t="shared" si="8"/>
        <v>0</v>
      </c>
      <c r="S28" s="41">
        <f>COUNTIF(Vertices[Clustering Coefficient], "&gt;= " &amp; R28) - COUNTIF(Vertices[Clustering Coefficient], "&gt;=" &amp; R29)</f>
        <v>0</v>
      </c>
      <c r="T28" s="35">
        <f t="shared" ca="1" si="9"/>
        <v>5751.0342563362992</v>
      </c>
      <c r="U28" s="36">
        <f t="shared" ca="1" si="0"/>
        <v>0</v>
      </c>
    </row>
    <row r="29" spans="1:21" x14ac:dyDescent="0.25">
      <c r="A29" t="s">
        <v>163</v>
      </c>
      <c r="B29" t="s">
        <v>17</v>
      </c>
      <c r="D29" s="30">
        <f t="shared" si="1"/>
        <v>0</v>
      </c>
      <c r="E29">
        <f>COUNTIF(Vertices[Degree], "&gt;= " &amp; D29) - COUNTIF(Vertices[Degree], "&gt;=" &amp; D30)</f>
        <v>0</v>
      </c>
      <c r="F29" s="37">
        <f t="shared" si="2"/>
        <v>0</v>
      </c>
      <c r="G29" s="38">
        <f>COUNTIF(Vertices[In-Degree], "&gt;= " &amp; F29) - COUNTIF(Vertices[In-Degree], "&gt;=" &amp; F30)</f>
        <v>0</v>
      </c>
      <c r="H29" s="37">
        <f t="shared" si="3"/>
        <v>0</v>
      </c>
      <c r="I29" s="38">
        <f>COUNTIF(Vertices[Out-Degree], "&gt;= " &amp; H29) - COUNTIF(Vertices[Out-Degree], "&gt;=" &amp; H30)</f>
        <v>0</v>
      </c>
      <c r="J29" s="37">
        <f t="shared" si="4"/>
        <v>0</v>
      </c>
      <c r="K29" s="38">
        <f>COUNTIF(Vertices[Betweenness Centrality], "&gt;= " &amp; J29) - COUNTIF(Vertices[Betweenness Centrality], "&gt;=" &amp; J30)</f>
        <v>0</v>
      </c>
      <c r="L29" s="37">
        <f t="shared" si="5"/>
        <v>0</v>
      </c>
      <c r="M29" s="38">
        <f>COUNTIF(Vertices[Closeness Centrality], "&gt;= " &amp; L29) - COUNTIF(Vertices[Closeness Centrality], "&gt;=" &amp; L30)</f>
        <v>0</v>
      </c>
      <c r="N29" s="37">
        <f t="shared" si="6"/>
        <v>0</v>
      </c>
      <c r="O29" s="38">
        <f>COUNTIF(Vertices[Eigenvector Centrality], "&gt;= " &amp; N29) - COUNTIF(Vertices[Eigenvector Centrality], "&gt;=" &amp; N30)</f>
        <v>0</v>
      </c>
      <c r="P29" s="37">
        <f t="shared" si="7"/>
        <v>0</v>
      </c>
      <c r="Q29" s="38">
        <f>COUNTIF(Vertices[PageRank], "&gt;= " &amp; P29) - COUNTIF(Vertices[PageRank], "&gt;=" &amp; P30)</f>
        <v>0</v>
      </c>
      <c r="R29" s="37">
        <f t="shared" si="8"/>
        <v>0</v>
      </c>
      <c r="S29" s="42">
        <f>COUNTIF(Vertices[Clustering Coefficient], "&gt;= " &amp; R29) - COUNTIF(Vertices[Clustering Coefficient], "&gt;=" &amp; R30)</f>
        <v>0</v>
      </c>
      <c r="T29" s="37">
        <f t="shared" ca="1" si="9"/>
        <v>5896.8249227834285</v>
      </c>
      <c r="U29" s="38">
        <f t="shared" ca="1" si="0"/>
        <v>0</v>
      </c>
    </row>
    <row r="30" spans="1:21" x14ac:dyDescent="0.25">
      <c r="A30" s="31"/>
      <c r="B30" s="31"/>
      <c r="D30" s="30">
        <f t="shared" si="1"/>
        <v>0</v>
      </c>
      <c r="E30">
        <f>COUNTIF(Vertices[Degree], "&gt;= " &amp; D30) - COUNTIF(Vertices[Degree], "&gt;=" &amp; D31)</f>
        <v>0</v>
      </c>
      <c r="F30" s="35">
        <f t="shared" si="2"/>
        <v>0</v>
      </c>
      <c r="G30" s="36">
        <f>COUNTIF(Vertices[In-Degree], "&gt;= " &amp; F30) - COUNTIF(Vertices[In-Degree], "&gt;=" &amp; F31)</f>
        <v>0</v>
      </c>
      <c r="H30" s="35">
        <f t="shared" si="3"/>
        <v>0</v>
      </c>
      <c r="I30" s="36">
        <f>COUNTIF(Vertices[Out-Degree], "&gt;= " &amp; H30) - COUNTIF(Vertices[Out-Degree], "&gt;=" &amp; H31)</f>
        <v>0</v>
      </c>
      <c r="J30" s="35">
        <f t="shared" si="4"/>
        <v>0</v>
      </c>
      <c r="K30" s="36">
        <f>COUNTIF(Vertices[Betweenness Centrality], "&gt;= " &amp; J30) - COUNTIF(Vertices[Betweenness Centrality], "&gt;=" &amp; J31)</f>
        <v>0</v>
      </c>
      <c r="L30" s="35">
        <f t="shared" si="5"/>
        <v>0</v>
      </c>
      <c r="M30" s="36">
        <f>COUNTIF(Vertices[Closeness Centrality], "&gt;= " &amp; L30) - COUNTIF(Vertices[Closeness Centrality], "&gt;=" &amp; L31)</f>
        <v>0</v>
      </c>
      <c r="N30" s="35">
        <f t="shared" si="6"/>
        <v>0</v>
      </c>
      <c r="O30" s="36">
        <f>COUNTIF(Vertices[Eigenvector Centrality], "&gt;= " &amp; N30) - COUNTIF(Vertices[Eigenvector Centrality], "&gt;=" &amp; N31)</f>
        <v>0</v>
      </c>
      <c r="P30" s="35">
        <f t="shared" si="7"/>
        <v>0</v>
      </c>
      <c r="Q30" s="36">
        <f>COUNTIF(Vertices[PageRank], "&gt;= " &amp; P30) - COUNTIF(Vertices[PageRank], "&gt;=" &amp; P31)</f>
        <v>0</v>
      </c>
      <c r="R30" s="35">
        <f t="shared" si="8"/>
        <v>0</v>
      </c>
      <c r="S30" s="41">
        <f>COUNTIF(Vertices[Clustering Coefficient], "&gt;= " &amp; R30) - COUNTIF(Vertices[Clustering Coefficient], "&gt;=" &amp; R31)</f>
        <v>0</v>
      </c>
      <c r="T30" s="35">
        <f t="shared" ca="1" si="9"/>
        <v>6042.6155892305578</v>
      </c>
      <c r="U30" s="36">
        <f t="shared" ca="1" si="0"/>
        <v>0</v>
      </c>
    </row>
    <row r="31" spans="1:21" x14ac:dyDescent="0.25">
      <c r="A31" s="31"/>
      <c r="B31" s="31"/>
      <c r="D31" s="30">
        <f t="shared" si="1"/>
        <v>0</v>
      </c>
      <c r="E31">
        <f>COUNTIF(Vertices[Degree], "&gt;= " &amp; D31) - COUNTIF(Vertices[Degree], "&gt;=" &amp; D32)</f>
        <v>0</v>
      </c>
      <c r="F31" s="37">
        <f t="shared" si="2"/>
        <v>0</v>
      </c>
      <c r="G31" s="38">
        <f>COUNTIF(Vertices[In-Degree], "&gt;= " &amp; F31) - COUNTIF(Vertices[In-Degree], "&gt;=" &amp; F32)</f>
        <v>0</v>
      </c>
      <c r="H31" s="37">
        <f t="shared" si="3"/>
        <v>0</v>
      </c>
      <c r="I31" s="38">
        <f>COUNTIF(Vertices[Out-Degree], "&gt;= " &amp; H31) - COUNTIF(Vertices[Out-Degree], "&gt;=" &amp; H32)</f>
        <v>0</v>
      </c>
      <c r="J31" s="37">
        <f t="shared" si="4"/>
        <v>0</v>
      </c>
      <c r="K31" s="38">
        <f>COUNTIF(Vertices[Betweenness Centrality], "&gt;= " &amp; J31) - COUNTIF(Vertices[Betweenness Centrality], "&gt;=" &amp; J32)</f>
        <v>0</v>
      </c>
      <c r="L31" s="37">
        <f t="shared" si="5"/>
        <v>0</v>
      </c>
      <c r="M31" s="38">
        <f>COUNTIF(Vertices[Closeness Centrality], "&gt;= " &amp; L31) - COUNTIF(Vertices[Closeness Centrality], "&gt;=" &amp; L32)</f>
        <v>0</v>
      </c>
      <c r="N31" s="37">
        <f t="shared" si="6"/>
        <v>0</v>
      </c>
      <c r="O31" s="38">
        <f>COUNTIF(Vertices[Eigenvector Centrality], "&gt;= " &amp; N31) - COUNTIF(Vertices[Eigenvector Centrality], "&gt;=" &amp; N32)</f>
        <v>0</v>
      </c>
      <c r="P31" s="37">
        <f t="shared" si="7"/>
        <v>0</v>
      </c>
      <c r="Q31" s="38">
        <f>COUNTIF(Vertices[PageRank], "&gt;= " &amp; P31) - COUNTIF(Vertices[PageRank], "&gt;=" &amp; P32)</f>
        <v>0</v>
      </c>
      <c r="R31" s="37">
        <f t="shared" si="8"/>
        <v>0</v>
      </c>
      <c r="S31" s="42">
        <f>COUNTIF(Vertices[Clustering Coefficient], "&gt;= " &amp; R31) - COUNTIF(Vertices[Clustering Coefficient], "&gt;=" &amp; R32)</f>
        <v>0</v>
      </c>
      <c r="T31" s="37">
        <f t="shared" ca="1" si="9"/>
        <v>6188.4062556776871</v>
      </c>
      <c r="U31" s="38">
        <f t="shared" ca="1" si="0"/>
        <v>0</v>
      </c>
    </row>
    <row r="32" spans="1:21" x14ac:dyDescent="0.25">
      <c r="A32" s="31"/>
      <c r="B32" s="31"/>
      <c r="D32" s="30">
        <f t="shared" si="1"/>
        <v>0</v>
      </c>
      <c r="E32">
        <f>COUNTIF(Vertices[Degree], "&gt;= " &amp; D32) - COUNTIF(Vertices[Degree], "&gt;=" &amp; D33)</f>
        <v>0</v>
      </c>
      <c r="F32" s="35">
        <f t="shared" si="2"/>
        <v>0</v>
      </c>
      <c r="G32" s="36">
        <f>COUNTIF(Vertices[In-Degree], "&gt;= " &amp; F32) - COUNTIF(Vertices[In-Degree], "&gt;=" &amp; F33)</f>
        <v>0</v>
      </c>
      <c r="H32" s="35">
        <f t="shared" si="3"/>
        <v>0</v>
      </c>
      <c r="I32" s="36">
        <f>COUNTIF(Vertices[Out-Degree], "&gt;= " &amp; H32) - COUNTIF(Vertices[Out-Degree], "&gt;=" &amp; H33)</f>
        <v>0</v>
      </c>
      <c r="J32" s="35">
        <f t="shared" si="4"/>
        <v>0</v>
      </c>
      <c r="K32" s="36">
        <f>COUNTIF(Vertices[Betweenness Centrality], "&gt;= " &amp; J32) - COUNTIF(Vertices[Betweenness Centrality], "&gt;=" &amp; J33)</f>
        <v>0</v>
      </c>
      <c r="L32" s="35">
        <f t="shared" si="5"/>
        <v>0</v>
      </c>
      <c r="M32" s="36">
        <f>COUNTIF(Vertices[Closeness Centrality], "&gt;= " &amp; L32) - COUNTIF(Vertices[Closeness Centrality], "&gt;=" &amp; L33)</f>
        <v>0</v>
      </c>
      <c r="N32" s="35">
        <f t="shared" si="6"/>
        <v>0</v>
      </c>
      <c r="O32" s="36">
        <f>COUNTIF(Vertices[Eigenvector Centrality], "&gt;= " &amp; N32) - COUNTIF(Vertices[Eigenvector Centrality], "&gt;=" &amp; N33)</f>
        <v>0</v>
      </c>
      <c r="P32" s="35">
        <f t="shared" si="7"/>
        <v>0</v>
      </c>
      <c r="Q32" s="36">
        <f>COUNTIF(Vertices[PageRank], "&gt;= " &amp; P32) - COUNTIF(Vertices[PageRank], "&gt;=" &amp; P33)</f>
        <v>0</v>
      </c>
      <c r="R32" s="35">
        <f t="shared" si="8"/>
        <v>0</v>
      </c>
      <c r="S32" s="41">
        <f>COUNTIF(Vertices[Clustering Coefficient], "&gt;= " &amp; R32) - COUNTIF(Vertices[Clustering Coefficient], "&gt;=" &amp; R33)</f>
        <v>0</v>
      </c>
      <c r="T32" s="35">
        <f t="shared" ca="1" si="9"/>
        <v>6334.1969221248164</v>
      </c>
      <c r="U32" s="36">
        <f t="shared" ca="1" si="0"/>
        <v>0</v>
      </c>
    </row>
    <row r="33" spans="1:21" x14ac:dyDescent="0.25">
      <c r="D33" s="30">
        <f t="shared" si="1"/>
        <v>0</v>
      </c>
      <c r="E33">
        <f>COUNTIF(Vertices[Degree], "&gt;= " &amp; D33) - COUNTIF(Vertices[Degree], "&gt;=" &amp; D34)</f>
        <v>0</v>
      </c>
      <c r="F33" s="37">
        <f t="shared" si="2"/>
        <v>0</v>
      </c>
      <c r="G33" s="38">
        <f>COUNTIF(Vertices[In-Degree], "&gt;= " &amp; F33) - COUNTIF(Vertices[In-Degree], "&gt;=" &amp; F34)</f>
        <v>0</v>
      </c>
      <c r="H33" s="37">
        <f t="shared" si="3"/>
        <v>0</v>
      </c>
      <c r="I33" s="38">
        <f>COUNTIF(Vertices[Out-Degree], "&gt;= " &amp; H33) - COUNTIF(Vertices[Out-Degree], "&gt;=" &amp; H34)</f>
        <v>0</v>
      </c>
      <c r="J33" s="37">
        <f t="shared" si="4"/>
        <v>0</v>
      </c>
      <c r="K33" s="38">
        <f>COUNTIF(Vertices[Betweenness Centrality], "&gt;= " &amp; J33) - COUNTIF(Vertices[Betweenness Centrality], "&gt;=" &amp; J34)</f>
        <v>0</v>
      </c>
      <c r="L33" s="37">
        <f t="shared" si="5"/>
        <v>0</v>
      </c>
      <c r="M33" s="38">
        <f>COUNTIF(Vertices[Closeness Centrality], "&gt;= " &amp; L33) - COUNTIF(Vertices[Closeness Centrality], "&gt;=" &amp; L34)</f>
        <v>0</v>
      </c>
      <c r="N33" s="37">
        <f t="shared" si="6"/>
        <v>0</v>
      </c>
      <c r="O33" s="38">
        <f>COUNTIF(Vertices[Eigenvector Centrality], "&gt;= " &amp; N33) - COUNTIF(Vertices[Eigenvector Centrality], "&gt;=" &amp; N34)</f>
        <v>0</v>
      </c>
      <c r="P33" s="37">
        <f t="shared" si="7"/>
        <v>0</v>
      </c>
      <c r="Q33" s="38">
        <f>COUNTIF(Vertices[PageRank], "&gt;= " &amp; P33) - COUNTIF(Vertices[PageRank], "&gt;=" &amp; P34)</f>
        <v>0</v>
      </c>
      <c r="R33" s="37">
        <f t="shared" si="8"/>
        <v>0</v>
      </c>
      <c r="S33" s="42">
        <f>COUNTIF(Vertices[Clustering Coefficient], "&gt;= " &amp; R33) - COUNTIF(Vertices[Clustering Coefficient], "&gt;=" &amp; R34)</f>
        <v>0</v>
      </c>
      <c r="T33" s="37">
        <f t="shared" ca="1" si="9"/>
        <v>6479.9875885719457</v>
      </c>
      <c r="U33" s="38">
        <f t="shared" ca="1" si="0"/>
        <v>0</v>
      </c>
    </row>
    <row r="34" spans="1:21" x14ac:dyDescent="0.25">
      <c r="D34" s="30">
        <f t="shared" si="1"/>
        <v>0</v>
      </c>
      <c r="E34">
        <f>COUNTIF(Vertices[Degree], "&gt;= " &amp; D34) - COUNTIF(Vertices[Degree], "&gt;=" &amp; D35)</f>
        <v>0</v>
      </c>
      <c r="F34" s="35">
        <f t="shared" si="2"/>
        <v>0</v>
      </c>
      <c r="G34" s="36">
        <f>COUNTIF(Vertices[In-Degree], "&gt;= " &amp; F34) - COUNTIF(Vertices[In-Degree], "&gt;=" &amp; F35)</f>
        <v>0</v>
      </c>
      <c r="H34" s="35">
        <f t="shared" si="3"/>
        <v>0</v>
      </c>
      <c r="I34" s="36">
        <f>COUNTIF(Vertices[Out-Degree], "&gt;= " &amp; H34) - COUNTIF(Vertices[Out-Degree], "&gt;=" &amp; H35)</f>
        <v>0</v>
      </c>
      <c r="J34" s="35">
        <f t="shared" si="4"/>
        <v>0</v>
      </c>
      <c r="K34" s="36">
        <f>COUNTIF(Vertices[Betweenness Centrality], "&gt;= " &amp; J34) - COUNTIF(Vertices[Betweenness Centrality], "&gt;=" &amp; J35)</f>
        <v>0</v>
      </c>
      <c r="L34" s="35">
        <f t="shared" si="5"/>
        <v>0</v>
      </c>
      <c r="M34" s="36">
        <f>COUNTIF(Vertices[Closeness Centrality], "&gt;= " &amp; L34) - COUNTIF(Vertices[Closeness Centrality], "&gt;=" &amp; L35)</f>
        <v>0</v>
      </c>
      <c r="N34" s="35">
        <f t="shared" si="6"/>
        <v>0</v>
      </c>
      <c r="O34" s="36">
        <f>COUNTIF(Vertices[Eigenvector Centrality], "&gt;= " &amp; N34) - COUNTIF(Vertices[Eigenvector Centrality], "&gt;=" &amp; N35)</f>
        <v>0</v>
      </c>
      <c r="P34" s="35">
        <f t="shared" si="7"/>
        <v>0</v>
      </c>
      <c r="Q34" s="36">
        <f>COUNTIF(Vertices[PageRank], "&gt;= " &amp; P34) - COUNTIF(Vertices[PageRank], "&gt;=" &amp; P35)</f>
        <v>0</v>
      </c>
      <c r="R34" s="35">
        <f t="shared" si="8"/>
        <v>0</v>
      </c>
      <c r="S34" s="41">
        <f>COUNTIF(Vertices[Clustering Coefficient], "&gt;= " &amp; R34) - COUNTIF(Vertices[Clustering Coefficient], "&gt;=" &amp; R35)</f>
        <v>0</v>
      </c>
      <c r="T34" s="35">
        <f t="shared" ca="1" si="9"/>
        <v>6625.778255019075</v>
      </c>
      <c r="U34" s="36">
        <f t="shared" ca="1" si="0"/>
        <v>0</v>
      </c>
    </row>
    <row r="35" spans="1:21" x14ac:dyDescent="0.25">
      <c r="D35" s="30">
        <f t="shared" si="1"/>
        <v>0</v>
      </c>
      <c r="E35">
        <f>COUNTIF(Vertices[Degree], "&gt;= " &amp; D35) - COUNTIF(Vertices[Degree], "&gt;=" &amp; D36)</f>
        <v>0</v>
      </c>
      <c r="F35" s="37">
        <f t="shared" si="2"/>
        <v>0</v>
      </c>
      <c r="G35" s="38">
        <f>COUNTIF(Vertices[In-Degree], "&gt;= " &amp; F35) - COUNTIF(Vertices[In-Degree], "&gt;=" &amp; F36)</f>
        <v>0</v>
      </c>
      <c r="H35" s="37">
        <f t="shared" si="3"/>
        <v>0</v>
      </c>
      <c r="I35" s="38">
        <f>COUNTIF(Vertices[Out-Degree], "&gt;= " &amp; H35) - COUNTIF(Vertices[Out-Degree], "&gt;=" &amp; H36)</f>
        <v>0</v>
      </c>
      <c r="J35" s="37">
        <f t="shared" si="4"/>
        <v>0</v>
      </c>
      <c r="K35" s="38">
        <f>COUNTIF(Vertices[Betweenness Centrality], "&gt;= " &amp; J35) - COUNTIF(Vertices[Betweenness Centrality], "&gt;=" &amp; J36)</f>
        <v>0</v>
      </c>
      <c r="L35" s="37">
        <f t="shared" si="5"/>
        <v>0</v>
      </c>
      <c r="M35" s="38">
        <f>COUNTIF(Vertices[Closeness Centrality], "&gt;= " &amp; L35) - COUNTIF(Vertices[Closeness Centrality], "&gt;=" &amp; L36)</f>
        <v>0</v>
      </c>
      <c r="N35" s="37">
        <f t="shared" si="6"/>
        <v>0</v>
      </c>
      <c r="O35" s="38">
        <f>COUNTIF(Vertices[Eigenvector Centrality], "&gt;= " &amp; N35) - COUNTIF(Vertices[Eigenvector Centrality], "&gt;=" &amp; N36)</f>
        <v>0</v>
      </c>
      <c r="P35" s="37">
        <f t="shared" si="7"/>
        <v>0</v>
      </c>
      <c r="Q35" s="38">
        <f>COUNTIF(Vertices[PageRank], "&gt;= " &amp; P35) - COUNTIF(Vertices[PageRank], "&gt;=" &amp; P36)</f>
        <v>0</v>
      </c>
      <c r="R35" s="37">
        <f t="shared" si="8"/>
        <v>0</v>
      </c>
      <c r="S35" s="42">
        <f>COUNTIF(Vertices[Clustering Coefficient], "&gt;= " &amp; R35) - COUNTIF(Vertices[Clustering Coefficient], "&gt;=" &amp; R36)</f>
        <v>0</v>
      </c>
      <c r="T35" s="37">
        <f t="shared" ca="1" si="9"/>
        <v>6771.5689214662043</v>
      </c>
      <c r="U35" s="38">
        <f t="shared" ca="1" si="0"/>
        <v>0</v>
      </c>
    </row>
    <row r="36" spans="1:21" x14ac:dyDescent="0.25">
      <c r="D36" s="30">
        <f t="shared" si="1"/>
        <v>0</v>
      </c>
      <c r="E36">
        <f>COUNTIF(Vertices[Degree], "&gt;= " &amp; D36) - COUNTIF(Vertices[Degree], "&gt;=" &amp; D37)</f>
        <v>0</v>
      </c>
      <c r="F36" s="35">
        <f t="shared" si="2"/>
        <v>0</v>
      </c>
      <c r="G36" s="36">
        <f>COUNTIF(Vertices[In-Degree], "&gt;= " &amp; F36) - COUNTIF(Vertices[In-Degree], "&gt;=" &amp; F37)</f>
        <v>0</v>
      </c>
      <c r="H36" s="35">
        <f t="shared" si="3"/>
        <v>0</v>
      </c>
      <c r="I36" s="36">
        <f>COUNTIF(Vertices[Out-Degree], "&gt;= " &amp; H36) - COUNTIF(Vertices[Out-Degree], "&gt;=" &amp; H37)</f>
        <v>0</v>
      </c>
      <c r="J36" s="35">
        <f t="shared" si="4"/>
        <v>0</v>
      </c>
      <c r="K36" s="36">
        <f>COUNTIF(Vertices[Betweenness Centrality], "&gt;= " &amp; J36) - COUNTIF(Vertices[Betweenness Centrality], "&gt;=" &amp; J37)</f>
        <v>0</v>
      </c>
      <c r="L36" s="35">
        <f t="shared" si="5"/>
        <v>0</v>
      </c>
      <c r="M36" s="36">
        <f>COUNTIF(Vertices[Closeness Centrality], "&gt;= " &amp; L36) - COUNTIF(Vertices[Closeness Centrality], "&gt;=" &amp; L37)</f>
        <v>0</v>
      </c>
      <c r="N36" s="35">
        <f t="shared" si="6"/>
        <v>0</v>
      </c>
      <c r="O36" s="36">
        <f>COUNTIF(Vertices[Eigenvector Centrality], "&gt;= " &amp; N36) - COUNTIF(Vertices[Eigenvector Centrality], "&gt;=" &amp; N37)</f>
        <v>0</v>
      </c>
      <c r="P36" s="35">
        <f t="shared" si="7"/>
        <v>0</v>
      </c>
      <c r="Q36" s="36">
        <f>COUNTIF(Vertices[PageRank], "&gt;= " &amp; P36) - COUNTIF(Vertices[PageRank], "&gt;=" &amp; P37)</f>
        <v>0</v>
      </c>
      <c r="R36" s="35">
        <f t="shared" si="8"/>
        <v>0</v>
      </c>
      <c r="S36" s="41">
        <f>COUNTIF(Vertices[Clustering Coefficient], "&gt;= " &amp; R36) - COUNTIF(Vertices[Clustering Coefficient], "&gt;=" &amp; R37)</f>
        <v>0</v>
      </c>
      <c r="T36" s="35">
        <f t="shared" ca="1" si="9"/>
        <v>6917.3595879133336</v>
      </c>
      <c r="U36" s="36">
        <f t="shared" ca="1" si="0"/>
        <v>0</v>
      </c>
    </row>
    <row r="37" spans="1:21" x14ac:dyDescent="0.25">
      <c r="D37" s="30">
        <f t="shared" si="1"/>
        <v>0</v>
      </c>
      <c r="E37">
        <f>COUNTIF(Vertices[Degree], "&gt;= " &amp; D37) - COUNTIF(Vertices[Degree], "&gt;=" &amp; D38)</f>
        <v>0</v>
      </c>
      <c r="F37" s="37">
        <f t="shared" si="2"/>
        <v>0</v>
      </c>
      <c r="G37" s="38">
        <f>COUNTIF(Vertices[In-Degree], "&gt;= " &amp; F37) - COUNTIF(Vertices[In-Degree], "&gt;=" &amp; F38)</f>
        <v>0</v>
      </c>
      <c r="H37" s="37">
        <f t="shared" si="3"/>
        <v>0</v>
      </c>
      <c r="I37" s="38">
        <f>COUNTIF(Vertices[Out-Degree], "&gt;= " &amp; H37) - COUNTIF(Vertices[Out-Degree], "&gt;=" &amp; H38)</f>
        <v>0</v>
      </c>
      <c r="J37" s="37">
        <f t="shared" si="4"/>
        <v>0</v>
      </c>
      <c r="K37" s="38">
        <f>COUNTIF(Vertices[Betweenness Centrality], "&gt;= " &amp; J37) - COUNTIF(Vertices[Betweenness Centrality], "&gt;=" &amp; J38)</f>
        <v>0</v>
      </c>
      <c r="L37" s="37">
        <f t="shared" si="5"/>
        <v>0</v>
      </c>
      <c r="M37" s="38">
        <f>COUNTIF(Vertices[Closeness Centrality], "&gt;= " &amp; L37) - COUNTIF(Vertices[Closeness Centrality], "&gt;=" &amp; L38)</f>
        <v>0</v>
      </c>
      <c r="N37" s="37">
        <f t="shared" si="6"/>
        <v>0</v>
      </c>
      <c r="O37" s="38">
        <f>COUNTIF(Vertices[Eigenvector Centrality], "&gt;= " &amp; N37) - COUNTIF(Vertices[Eigenvector Centrality], "&gt;=" &amp; N38)</f>
        <v>0</v>
      </c>
      <c r="P37" s="37">
        <f t="shared" si="7"/>
        <v>0</v>
      </c>
      <c r="Q37" s="38">
        <f>COUNTIF(Vertices[PageRank], "&gt;= " &amp; P37) - COUNTIF(Vertices[PageRank], "&gt;=" &amp; P38)</f>
        <v>0</v>
      </c>
      <c r="R37" s="37">
        <f t="shared" si="8"/>
        <v>0</v>
      </c>
      <c r="S37" s="42">
        <f>COUNTIF(Vertices[Clustering Coefficient], "&gt;= " &amp; R37) - COUNTIF(Vertices[Clustering Coefficient], "&gt;=" &amp; R38)</f>
        <v>0</v>
      </c>
      <c r="T37" s="37">
        <f t="shared" ca="1" si="9"/>
        <v>7063.1502543604629</v>
      </c>
      <c r="U37" s="38">
        <f t="shared" ca="1" si="0"/>
        <v>0</v>
      </c>
    </row>
    <row r="38" spans="1:21" x14ac:dyDescent="0.25">
      <c r="D38" s="30">
        <f t="shared" si="1"/>
        <v>0</v>
      </c>
      <c r="E38">
        <f>COUNTIF(Vertices[Degree], "&gt;= " &amp; D38) - COUNTIF(Vertices[Degree], "&gt;=" &amp; D39)</f>
        <v>0</v>
      </c>
      <c r="F38" s="35">
        <f t="shared" si="2"/>
        <v>0</v>
      </c>
      <c r="G38" s="36">
        <f>COUNTIF(Vertices[In-Degree], "&gt;= " &amp; F38) - COUNTIF(Vertices[In-Degree], "&gt;=" &amp; F39)</f>
        <v>0</v>
      </c>
      <c r="H38" s="35">
        <f t="shared" si="3"/>
        <v>0</v>
      </c>
      <c r="I38" s="36">
        <f>COUNTIF(Vertices[Out-Degree], "&gt;= " &amp; H38) - COUNTIF(Vertices[Out-Degree], "&gt;=" &amp; H39)</f>
        <v>0</v>
      </c>
      <c r="J38" s="35">
        <f t="shared" si="4"/>
        <v>0</v>
      </c>
      <c r="K38" s="36">
        <f>COUNTIF(Vertices[Betweenness Centrality], "&gt;= " &amp; J38) - COUNTIF(Vertices[Betweenness Centrality], "&gt;=" &amp; J39)</f>
        <v>0</v>
      </c>
      <c r="L38" s="35">
        <f t="shared" si="5"/>
        <v>0</v>
      </c>
      <c r="M38" s="36">
        <f>COUNTIF(Vertices[Closeness Centrality], "&gt;= " &amp; L38) - COUNTIF(Vertices[Closeness Centrality], "&gt;=" &amp; L39)</f>
        <v>0</v>
      </c>
      <c r="N38" s="35">
        <f t="shared" si="6"/>
        <v>0</v>
      </c>
      <c r="O38" s="36">
        <f>COUNTIF(Vertices[Eigenvector Centrality], "&gt;= " &amp; N38) - COUNTIF(Vertices[Eigenvector Centrality], "&gt;=" &amp; N39)</f>
        <v>0</v>
      </c>
      <c r="P38" s="35">
        <f t="shared" si="7"/>
        <v>0</v>
      </c>
      <c r="Q38" s="36">
        <f>COUNTIF(Vertices[PageRank], "&gt;= " &amp; P38) - COUNTIF(Vertices[PageRank], "&gt;=" &amp; P39)</f>
        <v>0</v>
      </c>
      <c r="R38" s="35">
        <f t="shared" si="8"/>
        <v>0</v>
      </c>
      <c r="S38" s="41">
        <f>COUNTIF(Vertices[Clustering Coefficient], "&gt;= " &amp; R38) - COUNTIF(Vertices[Clustering Coefficient], "&gt;=" &amp; R39)</f>
        <v>0</v>
      </c>
      <c r="T38" s="35">
        <f t="shared" ca="1" si="9"/>
        <v>7208.9409208075922</v>
      </c>
      <c r="U38" s="36">
        <f t="shared" ca="1" si="0"/>
        <v>0</v>
      </c>
    </row>
    <row r="39" spans="1:21" x14ac:dyDescent="0.25">
      <c r="D39" s="30">
        <f t="shared" si="1"/>
        <v>0</v>
      </c>
      <c r="E39">
        <f>COUNTIF(Vertices[Degree], "&gt;= " &amp; D39) - COUNTIF(Vertices[Degree], "&gt;=" &amp; D40)</f>
        <v>0</v>
      </c>
      <c r="F39" s="37">
        <f t="shared" si="2"/>
        <v>0</v>
      </c>
      <c r="G39" s="38">
        <f>COUNTIF(Vertices[In-Degree], "&gt;= " &amp; F39) - COUNTIF(Vertices[In-Degree], "&gt;=" &amp; F40)</f>
        <v>0</v>
      </c>
      <c r="H39" s="37">
        <f t="shared" si="3"/>
        <v>0</v>
      </c>
      <c r="I39" s="38">
        <f>COUNTIF(Vertices[Out-Degree], "&gt;= " &amp; H39) - COUNTIF(Vertices[Out-Degree], "&gt;=" &amp; H40)</f>
        <v>0</v>
      </c>
      <c r="J39" s="37">
        <f t="shared" si="4"/>
        <v>0</v>
      </c>
      <c r="K39" s="38">
        <f>COUNTIF(Vertices[Betweenness Centrality], "&gt;= " &amp; J39) - COUNTIF(Vertices[Betweenness Centrality], "&gt;=" &amp; J40)</f>
        <v>0</v>
      </c>
      <c r="L39" s="37">
        <f t="shared" si="5"/>
        <v>0</v>
      </c>
      <c r="M39" s="38">
        <f>COUNTIF(Vertices[Closeness Centrality], "&gt;= " &amp; L39) - COUNTIF(Vertices[Closeness Centrality], "&gt;=" &amp; L40)</f>
        <v>0</v>
      </c>
      <c r="N39" s="37">
        <f t="shared" si="6"/>
        <v>0</v>
      </c>
      <c r="O39" s="38">
        <f>COUNTIF(Vertices[Eigenvector Centrality], "&gt;= " &amp; N39) - COUNTIF(Vertices[Eigenvector Centrality], "&gt;=" &amp; N40)</f>
        <v>0</v>
      </c>
      <c r="P39" s="37">
        <f t="shared" si="7"/>
        <v>0</v>
      </c>
      <c r="Q39" s="38">
        <f>COUNTIF(Vertices[PageRank], "&gt;= " &amp; P39) - COUNTIF(Vertices[PageRank], "&gt;=" &amp; P40)</f>
        <v>0</v>
      </c>
      <c r="R39" s="37">
        <f t="shared" si="8"/>
        <v>0</v>
      </c>
      <c r="S39" s="42">
        <f>COUNTIF(Vertices[Clustering Coefficient], "&gt;= " &amp; R39) - COUNTIF(Vertices[Clustering Coefficient], "&gt;=" &amp; R40)</f>
        <v>0</v>
      </c>
      <c r="T39" s="37">
        <f t="shared" ca="1" si="9"/>
        <v>7354.7315872547215</v>
      </c>
      <c r="U39" s="38">
        <f t="shared" ca="1" si="0"/>
        <v>0</v>
      </c>
    </row>
    <row r="40" spans="1:21" x14ac:dyDescent="0.25">
      <c r="D40" s="30">
        <f t="shared" si="1"/>
        <v>0</v>
      </c>
      <c r="E40">
        <f>COUNTIF(Vertices[Degree], "&gt;= " &amp; D40) - COUNTIF(Vertices[Degree], "&gt;=" &amp; D41)</f>
        <v>0</v>
      </c>
      <c r="F40" s="35">
        <f t="shared" si="2"/>
        <v>0</v>
      </c>
      <c r="G40" s="36">
        <f>COUNTIF(Vertices[In-Degree], "&gt;= " &amp; F40) - COUNTIF(Vertices[In-Degree], "&gt;=" &amp; F41)</f>
        <v>0</v>
      </c>
      <c r="H40" s="35">
        <f t="shared" si="3"/>
        <v>0</v>
      </c>
      <c r="I40" s="36">
        <f>COUNTIF(Vertices[Out-Degree], "&gt;= " &amp; H40) - COUNTIF(Vertices[Out-Degree], "&gt;=" &amp; H41)</f>
        <v>0</v>
      </c>
      <c r="J40" s="35">
        <f t="shared" si="4"/>
        <v>0</v>
      </c>
      <c r="K40" s="36">
        <f>COUNTIF(Vertices[Betweenness Centrality], "&gt;= " &amp; J40) - COUNTIF(Vertices[Betweenness Centrality], "&gt;=" &amp; J41)</f>
        <v>0</v>
      </c>
      <c r="L40" s="35">
        <f t="shared" si="5"/>
        <v>0</v>
      </c>
      <c r="M40" s="36">
        <f>COUNTIF(Vertices[Closeness Centrality], "&gt;= " &amp; L40) - COUNTIF(Vertices[Closeness Centrality], "&gt;=" &amp; L41)</f>
        <v>0</v>
      </c>
      <c r="N40" s="35">
        <f t="shared" si="6"/>
        <v>0</v>
      </c>
      <c r="O40" s="36">
        <f>COUNTIF(Vertices[Eigenvector Centrality], "&gt;= " &amp; N40) - COUNTIF(Vertices[Eigenvector Centrality], "&gt;=" &amp; N41)</f>
        <v>0</v>
      </c>
      <c r="P40" s="35">
        <f t="shared" si="7"/>
        <v>0</v>
      </c>
      <c r="Q40" s="36">
        <f>COUNTIF(Vertices[PageRank], "&gt;= " &amp; P40) - COUNTIF(Vertices[PageRank], "&gt;=" &amp; P41)</f>
        <v>0</v>
      </c>
      <c r="R40" s="35">
        <f t="shared" si="8"/>
        <v>0</v>
      </c>
      <c r="S40" s="41">
        <f>COUNTIF(Vertices[Clustering Coefficient], "&gt;= " &amp; R40) - COUNTIF(Vertices[Clustering Coefficient], "&gt;=" &amp; R41)</f>
        <v>0</v>
      </c>
      <c r="T40" s="35">
        <f t="shared" ca="1" si="9"/>
        <v>7500.5222537018508</v>
      </c>
      <c r="U40" s="36">
        <f t="shared" ca="1" si="0"/>
        <v>0</v>
      </c>
    </row>
    <row r="41" spans="1:21" x14ac:dyDescent="0.25">
      <c r="D41" s="30">
        <f t="shared" si="1"/>
        <v>0</v>
      </c>
      <c r="E41">
        <f>COUNTIF(Vertices[Degree], "&gt;= " &amp; D41) - COUNTIF(Vertices[Degree], "&gt;=" &amp; D42)</f>
        <v>0</v>
      </c>
      <c r="F41" s="37">
        <f t="shared" si="2"/>
        <v>0</v>
      </c>
      <c r="G41" s="38">
        <f>COUNTIF(Vertices[In-Degree], "&gt;= " &amp; F41) - COUNTIF(Vertices[In-Degree], "&gt;=" &amp; F42)</f>
        <v>0</v>
      </c>
      <c r="H41" s="37">
        <f t="shared" si="3"/>
        <v>0</v>
      </c>
      <c r="I41" s="38">
        <f>COUNTIF(Vertices[Out-Degree], "&gt;= " &amp; H41) - COUNTIF(Vertices[Out-Degree], "&gt;=" &amp; H42)</f>
        <v>0</v>
      </c>
      <c r="J41" s="37">
        <f t="shared" si="4"/>
        <v>0</v>
      </c>
      <c r="K41" s="38">
        <f>COUNTIF(Vertices[Betweenness Centrality], "&gt;= " &amp; J41) - COUNTIF(Vertices[Betweenness Centrality], "&gt;=" &amp; J42)</f>
        <v>0</v>
      </c>
      <c r="L41" s="37">
        <f t="shared" si="5"/>
        <v>0</v>
      </c>
      <c r="M41" s="38">
        <f>COUNTIF(Vertices[Closeness Centrality], "&gt;= " &amp; L41) - COUNTIF(Vertices[Closeness Centrality], "&gt;=" &amp; L42)</f>
        <v>0</v>
      </c>
      <c r="N41" s="37">
        <f t="shared" si="6"/>
        <v>0</v>
      </c>
      <c r="O41" s="38">
        <f>COUNTIF(Vertices[Eigenvector Centrality], "&gt;= " &amp; N41) - COUNTIF(Vertices[Eigenvector Centrality], "&gt;=" &amp; N42)</f>
        <v>0</v>
      </c>
      <c r="P41" s="37">
        <f t="shared" si="7"/>
        <v>0</v>
      </c>
      <c r="Q41" s="38">
        <f>COUNTIF(Vertices[PageRank], "&gt;= " &amp; P41) - COUNTIF(Vertices[PageRank], "&gt;=" &amp; P42)</f>
        <v>0</v>
      </c>
      <c r="R41" s="37">
        <f t="shared" si="8"/>
        <v>0</v>
      </c>
      <c r="S41" s="42">
        <f>COUNTIF(Vertices[Clustering Coefficient], "&gt;= " &amp; R41) - COUNTIF(Vertices[Clustering Coefficient], "&gt;=" &amp; R42)</f>
        <v>0</v>
      </c>
      <c r="T41" s="37">
        <f t="shared" ca="1" si="9"/>
        <v>7646.3129201489801</v>
      </c>
      <c r="U41" s="38">
        <f t="shared" ca="1" si="0"/>
        <v>0</v>
      </c>
    </row>
    <row r="42" spans="1:21" x14ac:dyDescent="0.25">
      <c r="D42" s="30">
        <f t="shared" si="1"/>
        <v>0</v>
      </c>
      <c r="E42">
        <f>COUNTIF(Vertices[Degree], "&gt;= " &amp; D42) - COUNTIF(Vertices[Degree], "&gt;=" &amp; D43)</f>
        <v>0</v>
      </c>
      <c r="F42" s="35">
        <f t="shared" si="2"/>
        <v>0</v>
      </c>
      <c r="G42" s="36">
        <f>COUNTIF(Vertices[In-Degree], "&gt;= " &amp; F42) - COUNTIF(Vertices[In-Degree], "&gt;=" &amp; F43)</f>
        <v>0</v>
      </c>
      <c r="H42" s="35">
        <f t="shared" si="3"/>
        <v>0</v>
      </c>
      <c r="I42" s="36">
        <f>COUNTIF(Vertices[Out-Degree], "&gt;= " &amp; H42) - COUNTIF(Vertices[Out-Degree], "&gt;=" &amp; H43)</f>
        <v>0</v>
      </c>
      <c r="J42" s="35">
        <f t="shared" si="4"/>
        <v>0</v>
      </c>
      <c r="K42" s="36">
        <f>COUNTIF(Vertices[Betweenness Centrality], "&gt;= " &amp; J42) - COUNTIF(Vertices[Betweenness Centrality], "&gt;=" &amp; J43)</f>
        <v>0</v>
      </c>
      <c r="L42" s="35">
        <f t="shared" si="5"/>
        <v>0</v>
      </c>
      <c r="M42" s="36">
        <f>COUNTIF(Vertices[Closeness Centrality], "&gt;= " &amp; L42) - COUNTIF(Vertices[Closeness Centrality], "&gt;=" &amp; L43)</f>
        <v>0</v>
      </c>
      <c r="N42" s="35">
        <f t="shared" si="6"/>
        <v>0</v>
      </c>
      <c r="O42" s="36">
        <f>COUNTIF(Vertices[Eigenvector Centrality], "&gt;= " &amp; N42) - COUNTIF(Vertices[Eigenvector Centrality], "&gt;=" &amp; N43)</f>
        <v>0</v>
      </c>
      <c r="P42" s="35">
        <f t="shared" si="7"/>
        <v>0</v>
      </c>
      <c r="Q42" s="36">
        <f>COUNTIF(Vertices[PageRank], "&gt;= " &amp; P42) - COUNTIF(Vertices[PageRank], "&gt;=" &amp; P43)</f>
        <v>0</v>
      </c>
      <c r="R42" s="35">
        <f t="shared" si="8"/>
        <v>0</v>
      </c>
      <c r="S42" s="41">
        <f>COUNTIF(Vertices[Clustering Coefficient], "&gt;= " &amp; R42) - COUNTIF(Vertices[Clustering Coefficient], "&gt;=" &amp; R43)</f>
        <v>0</v>
      </c>
      <c r="T42" s="35">
        <f t="shared" ca="1" si="9"/>
        <v>7792.1035865961094</v>
      </c>
      <c r="U42" s="36">
        <f t="shared" ca="1" si="0"/>
        <v>0</v>
      </c>
    </row>
    <row r="43" spans="1:21" x14ac:dyDescent="0.25">
      <c r="A43" s="31" t="s">
        <v>82</v>
      </c>
      <c r="B43" s="44" t="str">
        <f>IF(COUNT(Vertices[Degree])&gt;0, D2, NoMetricMessage)</f>
        <v>Not Available</v>
      </c>
      <c r="D43" s="30">
        <f t="shared" si="1"/>
        <v>0</v>
      </c>
      <c r="E43">
        <f>COUNTIF(Vertices[Degree], "&gt;= " &amp; D43) - COUNTIF(Vertices[Degree], "&gt;=" &amp; D44)</f>
        <v>0</v>
      </c>
      <c r="F43" s="37">
        <f t="shared" si="2"/>
        <v>0</v>
      </c>
      <c r="G43" s="38">
        <f>COUNTIF(Vertices[In-Degree], "&gt;= " &amp; F43) - COUNTIF(Vertices[In-Degree], "&gt;=" &amp; F44)</f>
        <v>0</v>
      </c>
      <c r="H43" s="37">
        <f t="shared" si="3"/>
        <v>0</v>
      </c>
      <c r="I43" s="38">
        <f>COUNTIF(Vertices[Out-Degree], "&gt;= " &amp; H43) - COUNTIF(Vertices[Out-Degree], "&gt;=" &amp; H44)</f>
        <v>0</v>
      </c>
      <c r="J43" s="37">
        <f t="shared" si="4"/>
        <v>0</v>
      </c>
      <c r="K43" s="38">
        <f>COUNTIF(Vertices[Betweenness Centrality], "&gt;= " &amp; J43) - COUNTIF(Vertices[Betweenness Centrality], "&gt;=" &amp; J44)</f>
        <v>0</v>
      </c>
      <c r="L43" s="37">
        <f t="shared" si="5"/>
        <v>0</v>
      </c>
      <c r="M43" s="38">
        <f>COUNTIF(Vertices[Closeness Centrality], "&gt;= " &amp; L43) - COUNTIF(Vertices[Closeness Centrality], "&gt;=" &amp; L44)</f>
        <v>0</v>
      </c>
      <c r="N43" s="37">
        <f t="shared" si="6"/>
        <v>0</v>
      </c>
      <c r="O43" s="38">
        <f>COUNTIF(Vertices[Eigenvector Centrality], "&gt;= " &amp; N43) - COUNTIF(Vertices[Eigenvector Centrality], "&gt;=" &amp; N44)</f>
        <v>0</v>
      </c>
      <c r="P43" s="37">
        <f t="shared" si="7"/>
        <v>0</v>
      </c>
      <c r="Q43" s="38">
        <f>COUNTIF(Vertices[PageRank], "&gt;= " &amp; P43) - COUNTIF(Vertices[PageRank], "&gt;=" &amp; P44)</f>
        <v>0</v>
      </c>
      <c r="R43" s="37">
        <f t="shared" si="8"/>
        <v>0</v>
      </c>
      <c r="S43" s="42">
        <f>COUNTIF(Vertices[Clustering Coefficient], "&gt;= " &amp; R43) - COUNTIF(Vertices[Clustering Coefficient], "&gt;=" &amp; R44)</f>
        <v>0</v>
      </c>
      <c r="T43" s="37">
        <f t="shared" ca="1" si="9"/>
        <v>7937.8942530432387</v>
      </c>
      <c r="U43" s="38">
        <f t="shared" ca="1" si="0"/>
        <v>3</v>
      </c>
    </row>
    <row r="44" spans="1:21" x14ac:dyDescent="0.25">
      <c r="A44" s="31" t="s">
        <v>83</v>
      </c>
      <c r="B44" s="44" t="str">
        <f>IF(COUNT(Vertices[Degree])&gt;0, D45, NoMetricMessage)</f>
        <v>Not Available</v>
      </c>
      <c r="D44" s="30">
        <f t="shared" si="1"/>
        <v>0</v>
      </c>
      <c r="E44">
        <f>COUNTIF(Vertices[Degree], "&gt;= " &amp; D44) - COUNTIF(Vertices[Degree], "&gt;=" &amp; D45)</f>
        <v>0</v>
      </c>
      <c r="F44" s="35">
        <f t="shared" si="2"/>
        <v>0</v>
      </c>
      <c r="G44" s="36">
        <f>COUNTIF(Vertices[In-Degree], "&gt;= " &amp; F44) - COUNTIF(Vertices[In-Degree], "&gt;=" &amp; F45)</f>
        <v>0</v>
      </c>
      <c r="H44" s="35">
        <f t="shared" si="3"/>
        <v>0</v>
      </c>
      <c r="I44" s="36">
        <f>COUNTIF(Vertices[Out-Degree], "&gt;= " &amp; H44) - COUNTIF(Vertices[Out-Degree], "&gt;=" &amp; H45)</f>
        <v>0</v>
      </c>
      <c r="J44" s="35">
        <f t="shared" si="4"/>
        <v>0</v>
      </c>
      <c r="K44" s="36">
        <f>COUNTIF(Vertices[Betweenness Centrality], "&gt;= " &amp; J44) - COUNTIF(Vertices[Betweenness Centrality], "&gt;=" &amp; J45)</f>
        <v>0</v>
      </c>
      <c r="L44" s="35">
        <f t="shared" si="5"/>
        <v>0</v>
      </c>
      <c r="M44" s="36">
        <f>COUNTIF(Vertices[Closeness Centrality], "&gt;= " &amp; L44) - COUNTIF(Vertices[Closeness Centrality], "&gt;=" &amp; L45)</f>
        <v>0</v>
      </c>
      <c r="N44" s="35">
        <f t="shared" si="6"/>
        <v>0</v>
      </c>
      <c r="O44" s="36">
        <f>COUNTIF(Vertices[Eigenvector Centrality], "&gt;= " &amp; N44) - COUNTIF(Vertices[Eigenvector Centrality], "&gt;=" &amp; N45)</f>
        <v>0</v>
      </c>
      <c r="P44" s="35">
        <f t="shared" si="7"/>
        <v>0</v>
      </c>
      <c r="Q44" s="36">
        <f>COUNTIF(Vertices[PageRank], "&gt;= " &amp; P44) - COUNTIF(Vertices[PageRank], "&gt;=" &amp; P45)</f>
        <v>0</v>
      </c>
      <c r="R44" s="35">
        <f t="shared" si="8"/>
        <v>0</v>
      </c>
      <c r="S44" s="41">
        <f>COUNTIF(Vertices[Clustering Coefficient], "&gt;= " &amp; R44) - COUNTIF(Vertices[Clustering Coefficient], "&gt;=" &amp; R45)</f>
        <v>0</v>
      </c>
      <c r="T44" s="35">
        <f t="shared" ca="1" si="9"/>
        <v>8083.684919490368</v>
      </c>
      <c r="U44" s="36">
        <f t="shared" ca="1" si="0"/>
        <v>0</v>
      </c>
    </row>
    <row r="45" spans="1:21" x14ac:dyDescent="0.25">
      <c r="A45" s="31" t="s">
        <v>84</v>
      </c>
      <c r="B45" s="45" t="str">
        <f>IFERROR(AVERAGE(Vertices[Degree]),NoMetricMessage)</f>
        <v>Not Available</v>
      </c>
      <c r="D45" s="30">
        <f>MAX(Vertices[Degree])</f>
        <v>0</v>
      </c>
      <c r="E45">
        <f>COUNTIF(Vertices[Degree], "&gt;= " &amp; D45) - COUNTIF(Vertices[Degree], "&gt;=" &amp; D46)</f>
        <v>0</v>
      </c>
      <c r="F45" s="39">
        <f>MAX(Vertices[In-Degree])</f>
        <v>0</v>
      </c>
      <c r="G45" s="40">
        <f>COUNTIF(Vertices[In-Degree], "&gt;= " &amp; F45) - COUNTIF(Vertices[In-Degree], "&gt;=" &amp; F46)</f>
        <v>0</v>
      </c>
      <c r="H45" s="39">
        <f>MAX(Vertices[Out-Degree])</f>
        <v>0</v>
      </c>
      <c r="I45" s="40">
        <f>COUNTIF(Vertices[Out-Degree], "&gt;= " &amp; H45) - COUNTIF(Vertices[Out-Degree], "&gt;=" &amp; H46)</f>
        <v>0</v>
      </c>
      <c r="J45" s="39">
        <f>MAX(Vertices[Betweenness Centrality])</f>
        <v>0</v>
      </c>
      <c r="K45" s="40">
        <f>COUNTIF(Vertices[Betweenness Centrality], "&gt;= " &amp; J45) - COUNTIF(Vertices[Betweenness Centrality], "&gt;=" &amp; J46)</f>
        <v>0</v>
      </c>
      <c r="L45" s="39">
        <f>MAX(Vertices[Closeness Centrality])</f>
        <v>0</v>
      </c>
      <c r="M45" s="40">
        <f>COUNTIF(Vertices[Closeness Centrality], "&gt;= " &amp; L45) - COUNTIF(Vertices[Closeness Centrality], "&gt;=" &amp; L46)</f>
        <v>0</v>
      </c>
      <c r="N45" s="39">
        <f>MAX(Vertices[Eigenvector Centrality])</f>
        <v>0</v>
      </c>
      <c r="O45" s="40">
        <f>COUNTIF(Vertices[Eigenvector Centrality], "&gt;= " &amp; N45) - COUNTIF(Vertices[Eigenvector Centrality], "&gt;=" &amp; N46)</f>
        <v>0</v>
      </c>
      <c r="P45" s="39">
        <f>MAX(Vertices[PageRank])</f>
        <v>0</v>
      </c>
      <c r="Q45" s="40">
        <f>COUNTIF(Vertices[PageRank], "&gt;= " &amp; P45) - COUNTIF(Vertices[PageRank], "&gt;=" &amp; P46)</f>
        <v>0</v>
      </c>
      <c r="R45" s="39">
        <f>MAX(Vertices[Clustering Coefficient])</f>
        <v>0</v>
      </c>
      <c r="S45" s="43">
        <f>COUNTIF(Vertices[Clustering Coefficient], "&gt;= " &amp; R45) - COUNTIF(Vertices[Clustering Coefficient], "&gt;=" &amp; R46)</f>
        <v>0</v>
      </c>
      <c r="T45" s="39">
        <f ca="1">MAX(INDIRECT(DynamicFilterSourceColumnRange))</f>
        <v>8229.4755859375</v>
      </c>
      <c r="U45" s="40">
        <f t="shared" ca="1" si="0"/>
        <v>1</v>
      </c>
    </row>
    <row r="46" spans="1:21" x14ac:dyDescent="0.25">
      <c r="A46" s="31" t="s">
        <v>85</v>
      </c>
      <c r="B46" s="45" t="str">
        <f>IFERROR(MEDIAN(Vertices[Degree]),NoMetricMessage)</f>
        <v>Not Available</v>
      </c>
    </row>
    <row r="57" spans="1:2" x14ac:dyDescent="0.25">
      <c r="A57" s="31" t="s">
        <v>89</v>
      </c>
      <c r="B57" s="44" t="str">
        <f>IF(COUNT(Vertices[In-Degree])&gt;0, F2, NoMetricMessage)</f>
        <v>Not Available</v>
      </c>
    </row>
    <row r="58" spans="1:2" x14ac:dyDescent="0.25">
      <c r="A58" s="31" t="s">
        <v>90</v>
      </c>
      <c r="B58" s="44" t="str">
        <f>IF(COUNT(Vertices[In-Degree])&gt;0, F45, NoMetricMessage)</f>
        <v>Not Available</v>
      </c>
    </row>
    <row r="59" spans="1:2" x14ac:dyDescent="0.25">
      <c r="A59" s="31" t="s">
        <v>91</v>
      </c>
      <c r="B59" s="45" t="str">
        <f>IFERROR(AVERAGE(Vertices[In-Degree]),NoMetricMessage)</f>
        <v>Not Available</v>
      </c>
    </row>
    <row r="60" spans="1:2" x14ac:dyDescent="0.25">
      <c r="A60" s="31" t="s">
        <v>92</v>
      </c>
      <c r="B60" s="45" t="str">
        <f>IFERROR(MEDIAN(Vertices[In-Degree]),NoMetricMessage)</f>
        <v>Not Available</v>
      </c>
    </row>
    <row r="71" spans="1:2" x14ac:dyDescent="0.25">
      <c r="A71" s="31" t="s">
        <v>95</v>
      </c>
      <c r="B71" s="44" t="str">
        <f>IF(COUNT(Vertices[Out-Degree])&gt;0, H2, NoMetricMessage)</f>
        <v>Not Available</v>
      </c>
    </row>
    <row r="72" spans="1:2" x14ac:dyDescent="0.25">
      <c r="A72" s="31" t="s">
        <v>96</v>
      </c>
      <c r="B72" s="44" t="str">
        <f>IF(COUNT(Vertices[Out-Degree])&gt;0, H45, NoMetricMessage)</f>
        <v>Not Available</v>
      </c>
    </row>
    <row r="73" spans="1:2" x14ac:dyDescent="0.25">
      <c r="A73" s="31" t="s">
        <v>97</v>
      </c>
      <c r="B73" s="45" t="str">
        <f>IFERROR(AVERAGE(Vertices[Out-Degree]),NoMetricMessage)</f>
        <v>Not Available</v>
      </c>
    </row>
    <row r="74" spans="1:2" x14ac:dyDescent="0.25">
      <c r="A74" s="31" t="s">
        <v>98</v>
      </c>
      <c r="B74" s="45" t="str">
        <f>IFERROR(MEDIAN(Vertices[Out-Degree]),NoMetricMessage)</f>
        <v>Not Available</v>
      </c>
    </row>
    <row r="85" spans="1:2" x14ac:dyDescent="0.25">
      <c r="A85" s="31" t="s">
        <v>101</v>
      </c>
      <c r="B85" s="45" t="str">
        <f>IF(COUNT(Vertices[Betweenness Centrality])&gt;0, J2, NoMetricMessage)</f>
        <v>Not Available</v>
      </c>
    </row>
    <row r="86" spans="1:2" x14ac:dyDescent="0.25">
      <c r="A86" s="31" t="s">
        <v>102</v>
      </c>
      <c r="B86" s="45" t="str">
        <f>IF(COUNT(Vertices[Betweenness Centrality])&gt;0, J45, NoMetricMessage)</f>
        <v>Not Available</v>
      </c>
    </row>
    <row r="87" spans="1:2" x14ac:dyDescent="0.25">
      <c r="A87" s="31" t="s">
        <v>103</v>
      </c>
      <c r="B87" s="45" t="str">
        <f>IFERROR(AVERAGE(Vertices[Betweenness Centrality]),NoMetricMessage)</f>
        <v>Not Available</v>
      </c>
    </row>
    <row r="88" spans="1:2" x14ac:dyDescent="0.25">
      <c r="A88" s="31" t="s">
        <v>104</v>
      </c>
      <c r="B88" s="45" t="str">
        <f>IFERROR(MEDIAN(Vertices[Betweenness Centrality]),NoMetricMessage)</f>
        <v>Not Available</v>
      </c>
    </row>
    <row r="99" spans="1:2" x14ac:dyDescent="0.25">
      <c r="A99" s="31" t="s">
        <v>107</v>
      </c>
      <c r="B99" s="45" t="str">
        <f>IF(COUNT(Vertices[Closeness Centrality])&gt;0, L2, NoMetricMessage)</f>
        <v>Not Available</v>
      </c>
    </row>
    <row r="100" spans="1:2" x14ac:dyDescent="0.25">
      <c r="A100" s="31" t="s">
        <v>108</v>
      </c>
      <c r="B100" s="45" t="str">
        <f>IF(COUNT(Vertices[Closeness Centrality])&gt;0, L45, NoMetricMessage)</f>
        <v>Not Available</v>
      </c>
    </row>
    <row r="101" spans="1:2" x14ac:dyDescent="0.25">
      <c r="A101" s="31" t="s">
        <v>109</v>
      </c>
      <c r="B101" s="45" t="str">
        <f>IFERROR(AVERAGE(Vertices[Closeness Centrality]),NoMetricMessage)</f>
        <v>Not Available</v>
      </c>
    </row>
    <row r="102" spans="1:2" x14ac:dyDescent="0.25">
      <c r="A102" s="31" t="s">
        <v>110</v>
      </c>
      <c r="B102" s="45" t="str">
        <f>IFERROR(MEDIAN(Vertices[Closeness Centrality]),NoMetricMessage)</f>
        <v>Not Available</v>
      </c>
    </row>
    <row r="113" spans="1:2" x14ac:dyDescent="0.25">
      <c r="A113" s="31" t="s">
        <v>113</v>
      </c>
      <c r="B113" s="45" t="str">
        <f>IF(COUNT(Vertices[Eigenvector Centrality])&gt;0, N2, NoMetricMessage)</f>
        <v>Not Available</v>
      </c>
    </row>
    <row r="114" spans="1:2" x14ac:dyDescent="0.25">
      <c r="A114" s="31" t="s">
        <v>114</v>
      </c>
      <c r="B114" s="45" t="str">
        <f>IF(COUNT(Vertices[Eigenvector Centrality])&gt;0, N45, NoMetricMessage)</f>
        <v>Not Available</v>
      </c>
    </row>
    <row r="115" spans="1:2" x14ac:dyDescent="0.25">
      <c r="A115" s="31" t="s">
        <v>115</v>
      </c>
      <c r="B115" s="45" t="str">
        <f>IFERROR(AVERAGE(Vertices[Eigenvector Centrality]),NoMetricMessage)</f>
        <v>Not Available</v>
      </c>
    </row>
    <row r="116" spans="1:2" x14ac:dyDescent="0.25">
      <c r="A116" s="31" t="s">
        <v>116</v>
      </c>
      <c r="B116" s="45" t="str">
        <f>IFERROR(MEDIAN(Vertices[Eigenvector Centrality]),NoMetricMessage)</f>
        <v>Not Available</v>
      </c>
    </row>
    <row r="127" spans="1:2" x14ac:dyDescent="0.25">
      <c r="A127" s="31" t="s">
        <v>140</v>
      </c>
      <c r="B127" s="45" t="str">
        <f>IF(COUNT(Vertices[PageRank])&gt;0, P2, NoMetricMessage)</f>
        <v>Not Available</v>
      </c>
    </row>
    <row r="128" spans="1:2" x14ac:dyDescent="0.25">
      <c r="A128" s="31" t="s">
        <v>141</v>
      </c>
      <c r="B128" s="45" t="str">
        <f>IF(COUNT(Vertices[PageRank])&gt;0, P45, NoMetricMessage)</f>
        <v>Not Available</v>
      </c>
    </row>
    <row r="129" spans="1:2" x14ac:dyDescent="0.25">
      <c r="A129" s="31" t="s">
        <v>142</v>
      </c>
      <c r="B129" s="45" t="str">
        <f>IFERROR(AVERAGE(Vertices[PageRank]),NoMetricMessage)</f>
        <v>Not Available</v>
      </c>
    </row>
    <row r="130" spans="1:2" x14ac:dyDescent="0.25">
      <c r="A130" s="31" t="s">
        <v>143</v>
      </c>
      <c r="B130" s="45" t="str">
        <f>IFERROR(MEDIAN(Vertices[PageRank]),NoMetricMessage)</f>
        <v>Not Available</v>
      </c>
    </row>
    <row r="141" spans="1:2" x14ac:dyDescent="0.25">
      <c r="A141" s="31" t="s">
        <v>119</v>
      </c>
      <c r="B141" s="45" t="str">
        <f>IF(COUNT(Vertices[Clustering Coefficient])&gt;0, R2, NoMetricMessage)</f>
        <v>Not Available</v>
      </c>
    </row>
    <row r="142" spans="1:2" x14ac:dyDescent="0.25">
      <c r="A142" s="31" t="s">
        <v>120</v>
      </c>
      <c r="B142" s="45" t="str">
        <f>IF(COUNT(Vertices[Clustering Coefficient])&gt;0, R45, NoMetricMessage)</f>
        <v>Not Available</v>
      </c>
    </row>
    <row r="143" spans="1:2" x14ac:dyDescent="0.25">
      <c r="A143" s="31" t="s">
        <v>121</v>
      </c>
      <c r="B143" s="45" t="str">
        <f>IFERROR(AVERAGE(Vertices[Clustering Coefficient]),NoMetricMessage)</f>
        <v>Not Available</v>
      </c>
    </row>
    <row r="144" spans="1:2" x14ac:dyDescent="0.25">
      <c r="A144" s="31" t="s">
        <v>122</v>
      </c>
      <c r="B144" s="45"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EA75D-9E3D-4220-831D-D80EF5D75565}">
  <dimension ref="C4:G16"/>
  <sheetViews>
    <sheetView workbookViewId="0">
      <selection activeCell="L26" sqref="L26"/>
    </sheetView>
  </sheetViews>
  <sheetFormatPr baseColWidth="10" defaultRowHeight="15" x14ac:dyDescent="0.25"/>
  <cols>
    <col min="3" max="3" width="22.5703125" customWidth="1"/>
    <col min="4" max="4" width="15.42578125" customWidth="1"/>
    <col min="5" max="5" width="18.85546875" customWidth="1"/>
  </cols>
  <sheetData>
    <row r="4" spans="3:7" x14ac:dyDescent="0.25">
      <c r="C4" s="29" t="s">
        <v>215</v>
      </c>
    </row>
    <row r="5" spans="3:7" x14ac:dyDescent="0.25">
      <c r="C5" s="99" t="s">
        <v>214</v>
      </c>
      <c r="D5" s="99" t="s">
        <v>213</v>
      </c>
      <c r="E5" s="99" t="s">
        <v>216</v>
      </c>
      <c r="F5" s="99" t="s">
        <v>217</v>
      </c>
      <c r="G5" s="99" t="s">
        <v>218</v>
      </c>
    </row>
    <row r="6" spans="3:7" x14ac:dyDescent="0.25">
      <c r="C6" s="99" t="s">
        <v>231</v>
      </c>
      <c r="D6" s="99">
        <v>1</v>
      </c>
      <c r="E6" s="99">
        <v>1</v>
      </c>
      <c r="F6" s="99">
        <v>2</v>
      </c>
      <c r="G6" s="101">
        <v>45191</v>
      </c>
    </row>
    <row r="7" spans="3:7" x14ac:dyDescent="0.25">
      <c r="C7" s="99" t="s">
        <v>232</v>
      </c>
      <c r="D7" s="99">
        <v>2</v>
      </c>
      <c r="E7" s="99">
        <v>1</v>
      </c>
      <c r="F7" s="99">
        <v>2</v>
      </c>
      <c r="G7" s="101">
        <v>45192</v>
      </c>
    </row>
    <row r="8" spans="3:7" x14ac:dyDescent="0.25">
      <c r="C8" s="99" t="s">
        <v>233</v>
      </c>
      <c r="D8" s="99">
        <v>3</v>
      </c>
      <c r="E8" s="99">
        <v>1</v>
      </c>
      <c r="F8" s="99">
        <v>2</v>
      </c>
      <c r="G8" s="101">
        <v>45194</v>
      </c>
    </row>
    <row r="9" spans="3:7" x14ac:dyDescent="0.25">
      <c r="C9" s="99"/>
      <c r="D9" s="99"/>
      <c r="E9" s="99"/>
      <c r="F9" s="99"/>
      <c r="G9" s="99"/>
    </row>
    <row r="10" spans="3:7" x14ac:dyDescent="0.25">
      <c r="C10" s="99"/>
      <c r="D10" s="99"/>
      <c r="E10" s="99"/>
      <c r="F10" s="99"/>
      <c r="G10" s="99"/>
    </row>
    <row r="11" spans="3:7" x14ac:dyDescent="0.25">
      <c r="C11" s="99"/>
      <c r="D11" s="99"/>
      <c r="E11" s="99"/>
      <c r="F11" s="99"/>
      <c r="G11" s="99"/>
    </row>
    <row r="12" spans="3:7" x14ac:dyDescent="0.25">
      <c r="C12" s="99"/>
      <c r="D12" s="99"/>
      <c r="E12" s="99"/>
      <c r="F12" s="99"/>
      <c r="G12" s="99"/>
    </row>
    <row r="13" spans="3:7" x14ac:dyDescent="0.25">
      <c r="C13" s="99"/>
      <c r="D13" s="99"/>
      <c r="E13" s="99"/>
      <c r="F13" s="99"/>
      <c r="G13" s="99"/>
    </row>
    <row r="14" spans="3:7" x14ac:dyDescent="0.25">
      <c r="C14" s="99"/>
      <c r="D14" s="99"/>
      <c r="E14" s="99"/>
      <c r="F14" s="99"/>
      <c r="G14" s="99"/>
    </row>
    <row r="15" spans="3:7" x14ac:dyDescent="0.25">
      <c r="C15" s="99"/>
      <c r="D15" s="99"/>
      <c r="E15" s="99"/>
      <c r="F15" s="99"/>
      <c r="G15" s="99"/>
    </row>
    <row r="16" spans="3:7" x14ac:dyDescent="0.25">
      <c r="C16" s="99"/>
      <c r="D16" s="99"/>
      <c r="E16" s="99"/>
      <c r="F16" s="99"/>
      <c r="G16" s="99"/>
    </row>
  </sheetData>
  <dataValidations count="1">
    <dataValidation type="list" allowBlank="1" showInputMessage="1" showErrorMessage="1" sqref="C6:C16" xr:uid="{D9717514-F937-44D2-A65D-D60750839F65}">
      <formula1>CINAME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8A56C-50B1-46E8-B712-BF386B68D642}">
  <dimension ref="C3:E12"/>
  <sheetViews>
    <sheetView workbookViewId="0">
      <selection activeCell="D19" sqref="D19"/>
    </sheetView>
  </sheetViews>
  <sheetFormatPr baseColWidth="10" defaultRowHeight="15" x14ac:dyDescent="0.25"/>
  <cols>
    <col min="3" max="3" width="19.7109375" customWidth="1"/>
    <col min="4" max="4" width="20.7109375" customWidth="1"/>
    <col min="5" max="5" width="28.28515625" customWidth="1"/>
  </cols>
  <sheetData>
    <row r="3" spans="3:5" x14ac:dyDescent="0.25">
      <c r="C3" s="29" t="s">
        <v>219</v>
      </c>
    </row>
    <row r="4" spans="3:5" x14ac:dyDescent="0.25">
      <c r="C4" s="29" t="s">
        <v>220</v>
      </c>
    </row>
    <row r="5" spans="3:5" x14ac:dyDescent="0.25">
      <c r="C5" s="99" t="s">
        <v>221</v>
      </c>
      <c r="D5" s="99" t="s">
        <v>222</v>
      </c>
      <c r="E5" s="99" t="s">
        <v>218</v>
      </c>
    </row>
    <row r="6" spans="3:5" x14ac:dyDescent="0.25">
      <c r="C6" s="106" t="s">
        <v>233</v>
      </c>
      <c r="D6" s="106" t="s">
        <v>232</v>
      </c>
      <c r="E6" s="101">
        <v>45191</v>
      </c>
    </row>
    <row r="7" spans="3:5" x14ac:dyDescent="0.25">
      <c r="C7" s="99"/>
      <c r="D7" s="99"/>
      <c r="E7" s="101"/>
    </row>
    <row r="8" spans="3:5" x14ac:dyDescent="0.25">
      <c r="C8" s="99"/>
      <c r="D8" s="99"/>
      <c r="E8" s="101"/>
    </row>
    <row r="9" spans="3:5" x14ac:dyDescent="0.25">
      <c r="C9" s="99"/>
      <c r="D9" s="99"/>
      <c r="E9" s="99"/>
    </row>
    <row r="10" spans="3:5" x14ac:dyDescent="0.25">
      <c r="C10" s="99"/>
      <c r="D10" s="99"/>
      <c r="E10" s="99"/>
    </row>
    <row r="11" spans="3:5" x14ac:dyDescent="0.25">
      <c r="C11" s="99"/>
      <c r="D11" s="99"/>
      <c r="E11" s="99"/>
    </row>
    <row r="12" spans="3:5" x14ac:dyDescent="0.25">
      <c r="C12" s="99"/>
      <c r="D12" s="99"/>
      <c r="E12" s="99"/>
    </row>
  </sheetData>
  <dataValidations count="2">
    <dataValidation type="list" allowBlank="1" showInputMessage="1" showErrorMessage="1" sqref="C7:D12" xr:uid="{96B8AD97-2BF8-4B91-BC51-3A0F406F0B29}">
      <formula1>ECs</formula1>
    </dataValidation>
    <dataValidation type="list" allowBlank="1" showInputMessage="1" showErrorMessage="1" sqref="C6:D6" xr:uid="{6E6C69CB-EC76-4016-B7F3-D21076DC6B6F}">
      <formula1>CINAME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2E02D-E662-44F0-BF64-88AC2890EB4A}">
  <dimension ref="C4:E14"/>
  <sheetViews>
    <sheetView workbookViewId="0">
      <selection activeCell="D19" sqref="D19"/>
    </sheetView>
  </sheetViews>
  <sheetFormatPr baseColWidth="10" defaultRowHeight="15" x14ac:dyDescent="0.25"/>
  <cols>
    <col min="3" max="3" width="20.7109375" customWidth="1"/>
    <col min="4" max="4" width="22.7109375" customWidth="1"/>
    <col min="5" max="5" width="27.140625" customWidth="1"/>
  </cols>
  <sheetData>
    <row r="4" spans="3:5" x14ac:dyDescent="0.25">
      <c r="C4" s="29" t="s">
        <v>223</v>
      </c>
    </row>
    <row r="5" spans="3:5" x14ac:dyDescent="0.25">
      <c r="C5" s="29" t="s">
        <v>224</v>
      </c>
    </row>
    <row r="6" spans="3:5" x14ac:dyDescent="0.25">
      <c r="C6" s="99" t="s">
        <v>221</v>
      </c>
      <c r="D6" s="99" t="s">
        <v>222</v>
      </c>
      <c r="E6" s="99" t="s">
        <v>218</v>
      </c>
    </row>
    <row r="7" spans="3:5" x14ac:dyDescent="0.25">
      <c r="C7" s="106" t="s">
        <v>233</v>
      </c>
      <c r="D7" s="106" t="s">
        <v>232</v>
      </c>
      <c r="E7" s="101">
        <v>45191</v>
      </c>
    </row>
    <row r="8" spans="3:5" x14ac:dyDescent="0.25">
      <c r="C8" s="106" t="s">
        <v>232</v>
      </c>
      <c r="D8" s="106" t="s">
        <v>231</v>
      </c>
      <c r="E8" s="101">
        <v>45192</v>
      </c>
    </row>
    <row r="9" spans="3:5" x14ac:dyDescent="0.25">
      <c r="C9" s="106" t="s">
        <v>235</v>
      </c>
      <c r="D9" s="106" t="s">
        <v>232</v>
      </c>
      <c r="E9" s="101">
        <v>45194</v>
      </c>
    </row>
    <row r="10" spans="3:5" x14ac:dyDescent="0.25">
      <c r="C10" s="99"/>
      <c r="D10" s="99"/>
      <c r="E10" s="101"/>
    </row>
    <row r="11" spans="3:5" x14ac:dyDescent="0.25">
      <c r="C11" s="99"/>
      <c r="D11" s="99"/>
      <c r="E11" s="101"/>
    </row>
    <row r="12" spans="3:5" x14ac:dyDescent="0.25">
      <c r="C12" s="99"/>
      <c r="D12" s="99"/>
      <c r="E12" s="101"/>
    </row>
    <row r="13" spans="3:5" x14ac:dyDescent="0.25">
      <c r="C13" s="99"/>
      <c r="D13" s="99"/>
      <c r="E13" s="101"/>
    </row>
    <row r="14" spans="3:5" x14ac:dyDescent="0.25">
      <c r="C14" s="99"/>
      <c r="D14" s="99"/>
      <c r="E14" s="101"/>
    </row>
  </sheetData>
  <dataValidations count="2">
    <dataValidation type="list" allowBlank="1" showInputMessage="1" showErrorMessage="1" sqref="C10:D14" xr:uid="{AAB05909-7781-489C-A7BB-90A725C730EE}">
      <formula1>ECs</formula1>
    </dataValidation>
    <dataValidation type="list" allowBlank="1" showInputMessage="1" showErrorMessage="1" sqref="C7:D9" xr:uid="{AB3F007C-C28E-4B4C-8710-D707D3E44B32}">
      <formula1>CINAME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BA6050CDCE2A54B91E090899548107E" ma:contentTypeVersion="7" ma:contentTypeDescription="Crear nuevo documento." ma:contentTypeScope="" ma:versionID="7c22d1204fddceace50ab8a85bc72019">
  <xsd:schema xmlns:xsd="http://www.w3.org/2001/XMLSchema" xmlns:xs="http://www.w3.org/2001/XMLSchema" xmlns:p="http://schemas.microsoft.com/office/2006/metadata/properties" xmlns:ns3="7ba6b8e1-c8c3-4e27-a216-de71a769ecfe" xmlns:ns4="63f9e450-8751-4854-bff5-11df55bfa687" targetNamespace="http://schemas.microsoft.com/office/2006/metadata/properties" ma:root="true" ma:fieldsID="125a5b53b9f450baf60538addc061849" ns3:_="" ns4:_="">
    <xsd:import namespace="7ba6b8e1-c8c3-4e27-a216-de71a769ecfe"/>
    <xsd:import namespace="63f9e450-8751-4854-bff5-11df55bfa687"/>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a6b8e1-c8c3-4e27-a216-de71a769e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3f9e450-8751-4854-bff5-11df55bfa687"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Q D A A B Q S w M E F A A C A A g A V E g 8 V 3 T s J S u k A A A A 9 g A A A B I A H A B D b 2 5 m a W c v U G F j a 2 F n Z S 5 4 b W w g o h g A K K A U A A A A A A A A A A A A A A A A A A A A A A A A A A A A h Y + x D o I w G I R f h X S n L X U x 5 K c O x k 0 S E x L j 2 p Q K j f B j a L G 8 m 4 O P 5 C u I U d T N 8 e 6 + S + 7 u 1 x u s x r a J L q Z 3 t s O M J J S T y K D u S o t V R g Z / j J d k J W G n 9 E l V J p p g d O n o b E Z q 7 8 8 p Y y E E G h a 0 6 y s m O E / Y I d 8 W u j a t i i 0 6 r 1 A b 8 m m V / 1 t E w v 4 1 R g q a C E 6 F E J Q D m 0 3 I L X 4 B M e 1 9 p j 8 m r I f G D 7 2 R x s W b A t g s g b 0 / y A d Q S w M E F A A C A A g A V E g 8 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R I P F c o i k e 4 D g A A A B E A A A A T A B w A R m 9 y b X V s Y X M v U 2 V j d G l v b j E u b S C i G A A o o B Q A A A A A A A A A A A A A A A A A A A A A A A A A A A A r T k 0 u y c z P U w i G 0 I b W A F B L A Q I t A B Q A A g A I A F R I P F d 0 7 C U r p A A A A P Y A A A A S A A A A A A A A A A A A A A A A A A A A A A B D b 2 5 m a W c v U G F j a 2 F n Z S 5 4 b W x Q S w E C L Q A U A A I A C A B U S D x X D 8 r p q 6 Q A A A D p A A A A E w A A A A A A A A A A A A A A A A D w A A A A W 0 N v b n R l b n R f V H l w Z X N d L n h t b F B L A Q I t A B Q A A g A I A F R I P F c 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q K 2 h 7 g b + / S p h c b w f H P / R O A A A A A A I A A A A A A B B m A A A A A Q A A I A A A A D z O s z t 7 p V f i 1 o L t V c + M h O + T M k r J N O u I c 9 p m 0 5 l f D t Y C A A A A A A 6 A A A A A A g A A I A A A A M r P H + / / E + V T w h c V P g 4 e 2 K h w b Y a f + a l z B a V x 4 U v F t X E K U A A A A F X p W E 1 L 5 9 t D v 0 F s O M I S L v T M G z q x 5 3 b K I A h b G z y 2 e L T 2 X l N X o o N v H N 1 h I H V + a 5 B s s 7 c S d l 2 O 4 7 3 2 m A e / Y W 0 O R a + J T 4 X H R + + W e s L r V R u z T I c Q Q A A A A C p t u 9 2 1 / V r o Z p 5 V m L E X h 5 t Z N u 7 H T S 0 H p A n r X X x b o 7 8 O J M m + d K e c 9 J B V g E T R E D K t 6 H L E U 4 K x L a z / v 0 p n 0 f o Y 6 5 w = < / 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C51DD7BC-77F7-47C3-8EB1-C653CB8C81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a6b8e1-c8c3-4e27-a216-de71a769ecfe"/>
    <ds:schemaRef ds:uri="63f9e450-8751-4854-bff5-11df55bfa6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1DD744-2A80-4B7F-9349-3F3AC30AB4C5}">
  <ds:schemaRefs>
    <ds:schemaRef ds:uri="http://schemas.microsoft.com/sharepoint/v3/contenttype/forms"/>
  </ds:schemaRefs>
</ds:datastoreItem>
</file>

<file path=customXml/itemProps3.xml><?xml version="1.0" encoding="utf-8"?>
<ds:datastoreItem xmlns:ds="http://schemas.openxmlformats.org/officeDocument/2006/customXml" ds:itemID="{E3C5924C-0083-4C2C-AC32-883337605435}">
  <ds:schemaRefs>
    <ds:schemaRef ds:uri="http://schemas.microsoft.com/DataMashup"/>
  </ds:schemaRefs>
</ds:datastoreItem>
</file>

<file path=customXml/itemProps4.xml><?xml version="1.0" encoding="utf-8"?>
<ds:datastoreItem xmlns:ds="http://schemas.openxmlformats.org/officeDocument/2006/customXml" ds:itemID="{948C0EDE-5CEC-4D16-A2A5-6E12C339DB2F}">
  <ds:schemaRefs>
    <ds:schemaRef ds:uri="http://www.w3.org/XML/1998/namespace"/>
    <ds:schemaRef ds:uri="http://schemas.microsoft.com/office/2006/documentManagement/types"/>
    <ds:schemaRef ds:uri="http://purl.org/dc/elements/1.1/"/>
    <ds:schemaRef ds:uri="http://purl.org/dc/terms/"/>
    <ds:schemaRef ds:uri="http://purl.org/dc/dcmitype/"/>
    <ds:schemaRef ds:uri="63f9e450-8751-4854-bff5-11df55bfa687"/>
    <ds:schemaRef ds:uri="http://schemas.microsoft.com/office/infopath/2007/PartnerControls"/>
    <ds:schemaRef ds:uri="http://schemas.openxmlformats.org/package/2006/metadata/core-properties"/>
    <ds:schemaRef ds:uri="7ba6b8e1-c8c3-4e27-a216-de71a769ecfe"/>
    <ds:schemaRef ds:uri="http://schemas.microsoft.com/office/2006/metadata/properties"/>
  </ds:schemaRefs>
</ds:datastoreItem>
</file>

<file path=customXml/itemProps5.xml><?xml version="1.0" encoding="utf-8"?>
<ds:datastoreItem xmlns:ds="http://schemas.openxmlformats.org/officeDocument/2006/customXml" ds:itemID="{101FFB3F-DD3C-48CB-9AE4-320AA92D29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14</vt:i4>
      </vt:variant>
    </vt:vector>
  </HeadingPairs>
  <TitlesOfParts>
    <vt:vector size="30" baseType="lpstr">
      <vt:lpstr>Edges</vt:lpstr>
      <vt:lpstr>Vertices</vt:lpstr>
      <vt:lpstr>Do Not Delete</vt:lpstr>
      <vt:lpstr>Groups</vt:lpstr>
      <vt:lpstr>Group Vertices</vt:lpstr>
      <vt:lpstr>Overall Metrics</vt:lpstr>
      <vt:lpstr>SUCESION</vt:lpstr>
      <vt:lpstr>DEPENDENCIA</vt:lpstr>
      <vt:lpstr>DERIVACION</vt:lpstr>
      <vt:lpstr>STATUS-ACCOUNTING-CIs</vt:lpstr>
      <vt:lpstr>STATUS-ACCOUNTING-BL</vt:lpstr>
      <vt:lpstr>TIPOS-DE-RELACIONES</vt:lpstr>
      <vt:lpstr>BASE-LINES</vt:lpstr>
      <vt:lpstr>POSIBLES-CIS</vt:lpstr>
      <vt:lpstr>POSIBLES-UBICACIONES</vt:lpstr>
      <vt:lpstr>Misc</vt:lpstr>
      <vt:lpstr>BinDivisor</vt:lpstr>
      <vt:lpstr>CINAME</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GARCÍA HIDALGO</dc:creator>
  <cp:lastModifiedBy>Maribel  Sanchez Segura</cp:lastModifiedBy>
  <dcterms:created xsi:type="dcterms:W3CDTF">2008-01-30T00:41:58Z</dcterms:created>
  <dcterms:modified xsi:type="dcterms:W3CDTF">2023-09-28T08:26:55Z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ContentTypeId">
    <vt:lpwstr>0x0101008BA6050CDCE2A54B91E090899548107E</vt:lpwstr>
  </property>
  <property fmtid="{D5CDD505-2E9C-101B-9397-08002B2CF9AE}" pid="6" name="Solution ID">
    <vt:lpwstr>{15727DE6-F92D-4E46-ACB4-0E2C58B31A18}</vt:lpwstr>
  </property>
</Properties>
</file>