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Grupo41-ISEP365Group/Shared Documents/General/FSIAP/"/>
    </mc:Choice>
  </mc:AlternateContent>
  <xr:revisionPtr revIDLastSave="89" documentId="8_{9C97A736-1D7A-4198-B602-C6925F90C4E4}" xr6:coauthVersionLast="47" xr6:coauthVersionMax="47" xr10:uidLastSave="{9BB35AB1-264A-49AC-B4E4-9471FD2F1BCE}"/>
  <bookViews>
    <workbookView xWindow="-120" yWindow="-120" windowWidth="29040" windowHeight="15720" activeTab="3" xr2:uid="{DB0E1462-A0A3-4F41-894C-1BE07684D0FB}"/>
  </bookViews>
  <sheets>
    <sheet name="US401" sheetId="1" r:id="rId1"/>
    <sheet name="US402" sheetId="2" r:id="rId2"/>
    <sheet name="US403" sheetId="3" r:id="rId3"/>
    <sheet name="US404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5" l="1"/>
  <c r="F119" i="5"/>
  <c r="K14" i="5"/>
  <c r="K13" i="5"/>
  <c r="C119" i="5" s="1"/>
  <c r="D111" i="5"/>
  <c r="D110" i="5"/>
  <c r="D109" i="5"/>
  <c r="C112" i="5"/>
  <c r="E114" i="5" s="1"/>
  <c r="D104" i="5"/>
  <c r="D103" i="5"/>
  <c r="D102" i="5"/>
  <c r="C102" i="5"/>
  <c r="E104" i="5" s="1"/>
  <c r="D96" i="5"/>
  <c r="D95" i="5"/>
  <c r="D94" i="5"/>
  <c r="D97" i="5"/>
  <c r="C97" i="5"/>
  <c r="C94" i="5" s="1"/>
  <c r="E94" i="5" s="1"/>
  <c r="D89" i="5"/>
  <c r="C89" i="5"/>
  <c r="C86" i="5" s="1"/>
  <c r="E89" i="5"/>
  <c r="D88" i="5"/>
  <c r="D87" i="5"/>
  <c r="D86" i="5"/>
  <c r="D74" i="5"/>
  <c r="D68" i="5"/>
  <c r="D69" i="5"/>
  <c r="D67" i="5"/>
  <c r="C67" i="5"/>
  <c r="E69" i="5" s="1"/>
  <c r="D76" i="5"/>
  <c r="D75" i="5"/>
  <c r="D50" i="5"/>
  <c r="D49" i="5"/>
  <c r="D63" i="5"/>
  <c r="D62" i="5"/>
  <c r="D65" i="5"/>
  <c r="D66" i="5"/>
  <c r="D64" i="5"/>
  <c r="C62" i="5"/>
  <c r="C64" i="5" s="1"/>
  <c r="E66" i="5" s="1"/>
  <c r="C42" i="5"/>
  <c r="E43" i="5" s="1"/>
  <c r="C19" i="5"/>
  <c r="C16" i="5" s="1"/>
  <c r="C74" i="5"/>
  <c r="E76" i="5" s="1"/>
  <c r="D39" i="5"/>
  <c r="D40" i="5"/>
  <c r="D41" i="5"/>
  <c r="D48" i="5"/>
  <c r="C48" i="5"/>
  <c r="E50" i="5" s="1"/>
  <c r="C25" i="5"/>
  <c r="E27" i="5" s="1"/>
  <c r="D43" i="5"/>
  <c r="D42" i="5"/>
  <c r="D120" i="5"/>
  <c r="D20" i="5"/>
  <c r="D19" i="5"/>
  <c r="D17" i="5"/>
  <c r="D18" i="5"/>
  <c r="D16" i="5"/>
  <c r="D113" i="5"/>
  <c r="D114" i="5"/>
  <c r="D112" i="5"/>
  <c r="D119" i="5"/>
  <c r="D27" i="5"/>
  <c r="D26" i="5"/>
  <c r="D25" i="5"/>
  <c r="D43" i="2"/>
  <c r="D24" i="2"/>
  <c r="D14" i="2"/>
  <c r="E120" i="5" l="1"/>
  <c r="E119" i="5"/>
  <c r="C109" i="5"/>
  <c r="E112" i="5"/>
  <c r="E113" i="5"/>
  <c r="E102" i="5"/>
  <c r="E103" i="5"/>
  <c r="E95" i="5"/>
  <c r="E96" i="5"/>
  <c r="E97" i="5"/>
  <c r="E88" i="5"/>
  <c r="E87" i="5"/>
  <c r="E86" i="5"/>
  <c r="E68" i="5"/>
  <c r="E25" i="5"/>
  <c r="E64" i="5"/>
  <c r="E67" i="5"/>
  <c r="E19" i="5"/>
  <c r="E62" i="5"/>
  <c r="E63" i="5"/>
  <c r="E42" i="5"/>
  <c r="E49" i="5"/>
  <c r="E48" i="5"/>
  <c r="E74" i="5"/>
  <c r="E26" i="5"/>
  <c r="E75" i="5"/>
  <c r="C39" i="5"/>
  <c r="E41" i="5" s="1"/>
  <c r="E65" i="5"/>
  <c r="E17" i="5"/>
  <c r="E16" i="5"/>
  <c r="E18" i="5"/>
  <c r="E20" i="5"/>
  <c r="F16" i="5" l="1"/>
  <c r="E109" i="5"/>
  <c r="E111" i="5"/>
  <c r="E110" i="5"/>
  <c r="F94" i="5"/>
  <c r="F102" i="5"/>
  <c r="F86" i="5"/>
  <c r="F67" i="5"/>
  <c r="F25" i="5"/>
  <c r="F62" i="5"/>
  <c r="F74" i="5"/>
  <c r="F48" i="5"/>
  <c r="E39" i="5"/>
  <c r="E40" i="5"/>
  <c r="F109" i="5" l="1"/>
  <c r="F29" i="5"/>
  <c r="F78" i="5"/>
  <c r="F39" i="5"/>
  <c r="F52" i="5" s="1"/>
</calcChain>
</file>

<file path=xl/sharedStrings.xml><?xml version="1.0" encoding="utf-8"?>
<sst xmlns="http://schemas.openxmlformats.org/spreadsheetml/2006/main" count="158" uniqueCount="79">
  <si>
    <t>LAPR3 - Projeto Integrador 2022/2023 - FSIAP</t>
  </si>
  <si>
    <t>Grupo 81</t>
  </si>
  <si>
    <t>US401</t>
  </si>
  <si>
    <t>Croqui da Estrutura</t>
  </si>
  <si>
    <t>US402</t>
  </si>
  <si>
    <t>Conjunto de Materiais das Paredes Exteriores</t>
  </si>
  <si>
    <t>Paredes exteriores</t>
  </si>
  <si>
    <t>Condutividade (W/m.K)</t>
  </si>
  <si>
    <t>Espessura (mm)</t>
  </si>
  <si>
    <t>Capoto</t>
  </si>
  <si>
    <t>Tijolo</t>
  </si>
  <si>
    <t>Wallmate</t>
  </si>
  <si>
    <t>Gesso cartonado</t>
  </si>
  <si>
    <t>Telhado</t>
  </si>
  <si>
    <t>Zinco</t>
  </si>
  <si>
    <t>Polistereno</t>
  </si>
  <si>
    <t>Nota: Dupla folha de zinco</t>
  </si>
  <si>
    <t>Portas</t>
  </si>
  <si>
    <t>Madeira Leve</t>
  </si>
  <si>
    <t>Janelas</t>
  </si>
  <si>
    <t>Alumínio</t>
  </si>
  <si>
    <t>Vidro</t>
  </si>
  <si>
    <t>Ar</t>
  </si>
  <si>
    <t>Nota: Moldura de alumínio</t>
  </si>
  <si>
    <t>US403</t>
  </si>
  <si>
    <t>Conjunto de Materiais das Paredes Interiores</t>
  </si>
  <si>
    <t>Paredes Interiores</t>
  </si>
  <si>
    <t>Gesso</t>
  </si>
  <si>
    <t>Poliestireno</t>
  </si>
  <si>
    <t>Tijolo Isolante</t>
  </si>
  <si>
    <t>Poliestireno (EPS)</t>
  </si>
  <si>
    <t>Aluminio</t>
  </si>
  <si>
    <t>US404</t>
  </si>
  <si>
    <t>Resistência Térmica das Paredes</t>
  </si>
  <si>
    <t>Constantes</t>
  </si>
  <si>
    <t>Largura (m)</t>
  </si>
  <si>
    <t>Largura Porta Armazém (m)</t>
  </si>
  <si>
    <t>Resistências Térmicas</t>
  </si>
  <si>
    <t>Comprimento (m)</t>
  </si>
  <si>
    <t>Altura Porta Armazém (m)</t>
  </si>
  <si>
    <t>Altura (m)</t>
  </si>
  <si>
    <t>1. Zona C</t>
  </si>
  <si>
    <t>Largura Porta Receção (m)</t>
  </si>
  <si>
    <t>Largura Porta Int. (m)</t>
  </si>
  <si>
    <t>Altura Porta Receção (m)</t>
  </si>
  <si>
    <t>T interior (ºC)</t>
  </si>
  <si>
    <t>Altura Porta Int. (m)</t>
  </si>
  <si>
    <t>Largura Janela (m)</t>
  </si>
  <si>
    <t>Parede Interior</t>
  </si>
  <si>
    <t>Altura Janela (m)</t>
  </si>
  <si>
    <t>Área Superfície (m²)</t>
  </si>
  <si>
    <t>Material</t>
  </si>
  <si>
    <t>Resistência Térmica (K/W)</t>
  </si>
  <si>
    <t>Resistência Térmica Total (K/W)</t>
  </si>
  <si>
    <t>Nota: materiais em paralelo: 1/R total = 1/R1 + 1/R2</t>
  </si>
  <si>
    <t>Parede Exterior</t>
  </si>
  <si>
    <t>Total Zona C (K/W)</t>
  </si>
  <si>
    <t>Nota: 2 * R parede ext. + 2 * R parede int.</t>
  </si>
  <si>
    <t>2. Zona D</t>
  </si>
  <si>
    <t>Total Zona D (K/W)</t>
  </si>
  <si>
    <t>Nota: igual à zona C</t>
  </si>
  <si>
    <t>3. Zona E</t>
  </si>
  <si>
    <t>Parede Interior c/ porta</t>
  </si>
  <si>
    <t>Parede Interior sem porta</t>
  </si>
  <si>
    <t>Total Zona E (K/W)</t>
  </si>
  <si>
    <t>Nota: 2 * R parede ext. + R parede int. sem porta + R parede int. c/ porta</t>
  </si>
  <si>
    <t>4. Estrutura</t>
  </si>
  <si>
    <t>Parede Exterior Zona A (receção)</t>
  </si>
  <si>
    <t>Porta</t>
  </si>
  <si>
    <t>Parede Exterior Zona B (armazém)</t>
  </si>
  <si>
    <t>Parede Exterior sem Janelas</t>
  </si>
  <si>
    <t>Parede Exterior c/ Janelas</t>
  </si>
  <si>
    <t>Nota: materiais em paralelo: 1/R total = 1/R parede + 2 * (1/R janela) (2 janelas)</t>
  </si>
  <si>
    <t>Janela</t>
  </si>
  <si>
    <t>Total Estrutura (K/W)</t>
  </si>
  <si>
    <t>Largura Telhado (1 folha) (m)</t>
  </si>
  <si>
    <t>Comprimento Telhado (1 folha) (m)</t>
  </si>
  <si>
    <t>Altura Telhado (inclinação) (m)</t>
  </si>
  <si>
    <t>Nota: materiais em paralelo: 1/R total = 2 * (1/R folha)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</si>
</sst>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E+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0" xfId="0" applyFont="1"/>
    <xf numFmtId="0" fontId="7" fillId="0" borderId="0" xfId="0" applyFont="1"/>
    <xf numFmtId="0" fontId="9" fillId="0" borderId="5" xfId="0" applyFont="1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8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35" xfId="0" applyBorder="1"/>
    <xf numFmtId="0" fontId="8" fillId="0" borderId="36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0" fillId="0" borderId="43" xfId="0" applyBorder="1"/>
    <xf numFmtId="0" fontId="10" fillId="0" borderId="43" xfId="0" applyFont="1" applyBorder="1"/>
    <xf numFmtId="0" fontId="0" fillId="0" borderId="47" xfId="0" applyBorder="1"/>
    <xf numFmtId="0" fontId="0" fillId="0" borderId="48" xfId="0" applyBorder="1"/>
    <xf numFmtId="0" fontId="12" fillId="0" borderId="31" xfId="0" applyFont="1" applyBorder="1" applyAlignment="1">
      <alignment horizontal="center"/>
    </xf>
    <xf numFmtId="164" fontId="0" fillId="0" borderId="37" xfId="0" applyNumberFormat="1" applyBorder="1" applyAlignment="1">
      <alignment horizontal="center" vertic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0" fontId="0" fillId="0" borderId="34" xfId="0" applyBorder="1"/>
    <xf numFmtId="0" fontId="0" fillId="0" borderId="51" xfId="0" applyBorder="1"/>
    <xf numFmtId="0" fontId="0" fillId="0" borderId="56" xfId="0" applyBorder="1"/>
    <xf numFmtId="164" fontId="0" fillId="0" borderId="57" xfId="0" applyNumberFormat="1" applyBorder="1"/>
    <xf numFmtId="0" fontId="0" fillId="0" borderId="58" xfId="0" applyBorder="1"/>
    <xf numFmtId="164" fontId="0" fillId="0" borderId="59" xfId="0" applyNumberFormat="1" applyBorder="1"/>
    <xf numFmtId="0" fontId="0" fillId="0" borderId="60" xfId="0" applyBorder="1"/>
    <xf numFmtId="164" fontId="0" fillId="0" borderId="61" xfId="0" applyNumberFormat="1" applyBorder="1"/>
    <xf numFmtId="0" fontId="0" fillId="0" borderId="62" xfId="0" applyBorder="1"/>
    <xf numFmtId="164" fontId="0" fillId="0" borderId="63" xfId="0" applyNumberFormat="1" applyBorder="1"/>
    <xf numFmtId="0" fontId="0" fillId="0" borderId="57" xfId="0" applyBorder="1"/>
    <xf numFmtId="0" fontId="0" fillId="0" borderId="61" xfId="0" applyBorder="1"/>
    <xf numFmtId="0" fontId="0" fillId="0" borderId="65" xfId="0" applyBorder="1"/>
    <xf numFmtId="164" fontId="0" fillId="0" borderId="66" xfId="0" applyNumberFormat="1" applyBorder="1"/>
    <xf numFmtId="0" fontId="0" fillId="0" borderId="69" xfId="0" applyBorder="1"/>
    <xf numFmtId="0" fontId="12" fillId="0" borderId="21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72" xfId="0" applyFont="1" applyBorder="1" applyAlignment="1">
      <alignment horizontal="center"/>
    </xf>
    <xf numFmtId="0" fontId="13" fillId="0" borderId="56" xfId="0" applyFont="1" applyBorder="1" applyAlignment="1">
      <alignment horizontal="left" vertical="center"/>
    </xf>
    <xf numFmtId="0" fontId="13" fillId="0" borderId="58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164" fontId="0" fillId="0" borderId="37" xfId="0" applyNumberFormat="1" applyBorder="1"/>
    <xf numFmtId="165" fontId="0" fillId="0" borderId="61" xfId="0" applyNumberFormat="1" applyBorder="1"/>
    <xf numFmtId="0" fontId="0" fillId="0" borderId="59" xfId="0" applyBorder="1"/>
    <xf numFmtId="0" fontId="0" fillId="0" borderId="70" xfId="0" applyBorder="1"/>
    <xf numFmtId="0" fontId="0" fillId="0" borderId="23" xfId="0" applyBorder="1"/>
    <xf numFmtId="165" fontId="0" fillId="0" borderId="40" xfId="0" applyNumberFormat="1" applyBorder="1"/>
    <xf numFmtId="0" fontId="0" fillId="0" borderId="30" xfId="0" applyBorder="1"/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30" xfId="0" applyNumberFormat="1" applyBorder="1"/>
    <xf numFmtId="0" fontId="0" fillId="0" borderId="76" xfId="0" applyBorder="1"/>
    <xf numFmtId="0" fontId="11" fillId="0" borderId="77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164" fontId="0" fillId="0" borderId="57" xfId="0" quotePrefix="1" applyNumberFormat="1" applyBorder="1"/>
    <xf numFmtId="0" fontId="0" fillId="0" borderId="79" xfId="0" applyBorder="1"/>
    <xf numFmtId="0" fontId="0" fillId="0" borderId="80" xfId="0" applyBorder="1"/>
    <xf numFmtId="2" fontId="0" fillId="0" borderId="59" xfId="0" applyNumberFormat="1" applyBorder="1"/>
    <xf numFmtId="0" fontId="8" fillId="0" borderId="0" xfId="0" applyFont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33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64" fontId="0" fillId="0" borderId="55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vertical="center"/>
    </xf>
    <xf numFmtId="0" fontId="8" fillId="0" borderId="67" xfId="0" applyFont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311728</xdr:colOff>
      <xdr:row>22</xdr:row>
      <xdr:rowOff>103908</xdr:rowOff>
    </xdr:from>
    <xdr:to>
      <xdr:col>17</xdr:col>
      <xdr:colOff>329045</xdr:colOff>
      <xdr:row>35</xdr:row>
      <xdr:rowOff>122195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DA670C0-FABC-EC8B-EB58-02B185D47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2273" y="4416135"/>
          <a:ext cx="5316681" cy="249478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29</xdr:col>
      <xdr:colOff>76200</xdr:colOff>
      <xdr:row>35</xdr:row>
      <xdr:rowOff>180975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5A1334A-8BBE-9F1D-688B-85818C56CBC5}"/>
            </a:ext>
          </a:extLst>
        </xdr:cNvPr>
        <xdr:cNvGrpSpPr/>
      </xdr:nvGrpSpPr>
      <xdr:grpSpPr>
        <a:xfrm>
          <a:off x="590550" y="1257300"/>
          <a:ext cx="16611600" cy="5705475"/>
          <a:chOff x="590550" y="1257300"/>
          <a:chExt cx="16611600" cy="570547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1183485-3F41-13EF-4C2B-E5B39C6AEF3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590550" y="1257300"/>
            <a:ext cx="16611600" cy="5705475"/>
          </a:xfrm>
          <a:prstGeom prst="rect">
            <a:avLst/>
          </a:prstGeom>
        </xdr:spPr>
      </xdr:pic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28CB5ADD-B381-EB76-6357-30D341958C16}"/>
              </a:ext>
            </a:extLst>
          </xdr:cNvPr>
          <xdr:cNvSpPr txBox="1"/>
        </xdr:nvSpPr>
        <xdr:spPr>
          <a:xfrm>
            <a:off x="1466851" y="4752976"/>
            <a:ext cx="447674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PT" sz="1100" b="0">
                <a:latin typeface="Mistral" panose="03090702030407020403" pitchFamily="66" charset="0"/>
                <a:cs typeface="MV Boli" panose="02000500030200090000" pitchFamily="2" charset="0"/>
              </a:rPr>
              <a:t>5,1 m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19</xdr:row>
      <xdr:rowOff>152400</xdr:rowOff>
    </xdr:from>
    <xdr:to>
      <xdr:col>12</xdr:col>
      <xdr:colOff>485775</xdr:colOff>
      <xdr:row>25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96139D-FC6D-95A3-3F4A-09CE7D4D86FD}"/>
            </a:ext>
            <a:ext uri="{147F2762-F138-4A5C-976F-8EAC2B608ADB}">
              <a16:predDERef xmlns:a16="http://schemas.microsoft.com/office/drawing/2014/main" pred="{1A9141BB-16F8-6940-B168-DE3EBCED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3819525"/>
          <a:ext cx="4572000" cy="106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</xdr:row>
      <xdr:rowOff>257175</xdr:rowOff>
    </xdr:from>
    <xdr:to>
      <xdr:col>10</xdr:col>
      <xdr:colOff>314325</xdr:colOff>
      <xdr:row>19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C28420-531E-8427-1659-CE8FBECB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438150"/>
          <a:ext cx="3257550" cy="33337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22</xdr:row>
      <xdr:rowOff>19050</xdr:rowOff>
    </xdr:from>
    <xdr:to>
      <xdr:col>11</xdr:col>
      <xdr:colOff>190500</xdr:colOff>
      <xdr:row>32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080451-172E-B910-2F7F-1FC82A3B6614}"/>
            </a:ext>
            <a:ext uri="{147F2762-F138-4A5C-976F-8EAC2B608ADB}">
              <a16:predDERef xmlns:a16="http://schemas.microsoft.com/office/drawing/2014/main" pred="{47C28420-531E-8427-1659-CE8FBECB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4324350"/>
          <a:ext cx="3686175" cy="20097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4A1E-C1F0-40B9-B52D-1330D6A8D1EC}">
  <dimension ref="B2:C5"/>
  <sheetViews>
    <sheetView zoomScaleNormal="100" workbookViewId="0">
      <selection activeCell="B5" sqref="B5"/>
    </sheetView>
  </sheetViews>
  <sheetFormatPr defaultColWidth="8.85546875" defaultRowHeight="15" x14ac:dyDescent="0.2"/>
  <cols>
    <col min="1" max="16384" width="8.85546875" style="1"/>
  </cols>
  <sheetData>
    <row r="2" spans="2:3" ht="20.25" x14ac:dyDescent="0.3">
      <c r="B2" s="2" t="s">
        <v>0</v>
      </c>
    </row>
    <row r="3" spans="2:3" ht="18" x14ac:dyDescent="0.25">
      <c r="B3" s="3" t="s">
        <v>1</v>
      </c>
    </row>
    <row r="5" spans="2:3" ht="15.75" x14ac:dyDescent="0.25">
      <c r="B5" s="4" t="s">
        <v>2</v>
      </c>
      <c r="C5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4E72-9F59-4F7D-88C0-37C63582E8E4}">
  <dimension ref="B2:I45"/>
  <sheetViews>
    <sheetView workbookViewId="0">
      <selection activeCell="B5" sqref="B5"/>
    </sheetView>
  </sheetViews>
  <sheetFormatPr defaultRowHeight="15" x14ac:dyDescent="0.25"/>
  <cols>
    <col min="2" max="2" width="18.140625" customWidth="1"/>
    <col min="3" max="3" width="24.5703125" customWidth="1"/>
    <col min="4" max="4" width="20.85546875" customWidth="1"/>
  </cols>
  <sheetData>
    <row r="2" spans="2:9" ht="20.25" x14ac:dyDescent="0.3">
      <c r="B2" s="2" t="s">
        <v>0</v>
      </c>
      <c r="C2" s="1"/>
      <c r="D2" s="1"/>
      <c r="E2" s="1"/>
      <c r="F2" s="1"/>
      <c r="G2" s="1"/>
      <c r="H2" s="1"/>
      <c r="I2" s="1"/>
    </row>
    <row r="3" spans="2:9" ht="18" x14ac:dyDescent="0.25">
      <c r="B3" s="3" t="s">
        <v>1</v>
      </c>
      <c r="C3" s="1"/>
      <c r="D3" s="1"/>
      <c r="E3" s="1"/>
      <c r="F3" s="1"/>
      <c r="G3" s="1"/>
      <c r="H3" s="1"/>
      <c r="I3" s="1"/>
    </row>
    <row r="4" spans="2:9" ht="15.75" x14ac:dyDescent="0.25">
      <c r="B4" s="1"/>
      <c r="C4" s="1"/>
      <c r="D4" s="1"/>
      <c r="E4" s="1"/>
      <c r="F4" s="1"/>
      <c r="G4" s="1"/>
      <c r="H4" s="1"/>
      <c r="I4" s="1"/>
    </row>
    <row r="5" spans="2:9" ht="15.75" x14ac:dyDescent="0.25">
      <c r="B5" s="4" t="s">
        <v>4</v>
      </c>
      <c r="C5" s="1" t="s">
        <v>5</v>
      </c>
      <c r="D5" s="1"/>
      <c r="E5" s="1"/>
      <c r="F5" s="1"/>
      <c r="G5" s="1"/>
      <c r="H5" s="1"/>
      <c r="I5" s="1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ht="15.75" x14ac:dyDescent="0.25">
      <c r="B7" s="5" t="s">
        <v>6</v>
      </c>
      <c r="C7" s="5"/>
      <c r="D7" s="5"/>
      <c r="E7" s="5"/>
      <c r="F7" s="5"/>
      <c r="G7" s="5"/>
      <c r="H7" s="5"/>
      <c r="I7" s="1"/>
    </row>
    <row r="9" spans="2:9" x14ac:dyDescent="0.25">
      <c r="B9" s="8"/>
      <c r="C9" s="9" t="s">
        <v>7</v>
      </c>
      <c r="D9" s="10" t="s">
        <v>8</v>
      </c>
    </row>
    <row r="10" spans="2:9" x14ac:dyDescent="0.25">
      <c r="B10" s="11" t="s">
        <v>9</v>
      </c>
      <c r="C10" s="7">
        <v>2.3E-2</v>
      </c>
      <c r="D10" s="12">
        <v>50</v>
      </c>
    </row>
    <row r="11" spans="2:9" x14ac:dyDescent="0.25">
      <c r="B11" s="11" t="s">
        <v>10</v>
      </c>
      <c r="C11" s="7">
        <v>0.6</v>
      </c>
      <c r="D11" s="12">
        <v>180</v>
      </c>
    </row>
    <row r="12" spans="2:9" x14ac:dyDescent="0.25">
      <c r="B12" s="11" t="s">
        <v>11</v>
      </c>
      <c r="C12" s="7">
        <v>3.56E-2</v>
      </c>
      <c r="D12" s="12">
        <v>40</v>
      </c>
    </row>
    <row r="13" spans="2:9" x14ac:dyDescent="0.25">
      <c r="B13" s="13" t="s">
        <v>12</v>
      </c>
      <c r="C13" s="14">
        <v>0.25</v>
      </c>
      <c r="D13" s="15">
        <v>12.5</v>
      </c>
    </row>
    <row r="14" spans="2:9" x14ac:dyDescent="0.25">
      <c r="D14">
        <f>SUM(D10:D13)</f>
        <v>282.5</v>
      </c>
    </row>
    <row r="19" spans="2:4" ht="15.75" x14ac:dyDescent="0.25">
      <c r="B19" s="6" t="s">
        <v>13</v>
      </c>
    </row>
    <row r="21" spans="2:4" x14ac:dyDescent="0.25">
      <c r="B21" s="8"/>
      <c r="C21" s="9" t="s">
        <v>7</v>
      </c>
      <c r="D21" s="10" t="s">
        <v>8</v>
      </c>
    </row>
    <row r="22" spans="2:4" x14ac:dyDescent="0.25">
      <c r="B22" s="11" t="s">
        <v>14</v>
      </c>
      <c r="C22" s="7">
        <v>110</v>
      </c>
      <c r="D22" s="12">
        <v>1.5</v>
      </c>
    </row>
    <row r="23" spans="2:4" x14ac:dyDescent="0.25">
      <c r="B23" s="13" t="s">
        <v>15</v>
      </c>
      <c r="C23" s="14">
        <v>0.04</v>
      </c>
      <c r="D23" s="15">
        <v>40</v>
      </c>
    </row>
    <row r="24" spans="2:4" x14ac:dyDescent="0.25">
      <c r="D24">
        <f>SUM(D22:D23)</f>
        <v>41.5</v>
      </c>
    </row>
    <row r="26" spans="2:4" x14ac:dyDescent="0.25">
      <c r="B26" t="s">
        <v>16</v>
      </c>
    </row>
    <row r="29" spans="2:4" ht="15.75" x14ac:dyDescent="0.25">
      <c r="B29" s="6" t="s">
        <v>17</v>
      </c>
    </row>
    <row r="31" spans="2:4" x14ac:dyDescent="0.25">
      <c r="B31" s="8"/>
      <c r="C31" s="9" t="s">
        <v>7</v>
      </c>
      <c r="D31" s="10" t="s">
        <v>8</v>
      </c>
    </row>
    <row r="32" spans="2:4" x14ac:dyDescent="0.25">
      <c r="B32" s="13" t="s">
        <v>18</v>
      </c>
      <c r="C32" s="14">
        <v>0.14000000000000001</v>
      </c>
      <c r="D32" s="15">
        <v>35</v>
      </c>
    </row>
    <row r="37" spans="2:4" ht="15.75" x14ac:dyDescent="0.25">
      <c r="B37" s="6" t="s">
        <v>19</v>
      </c>
    </row>
    <row r="39" spans="2:4" x14ac:dyDescent="0.25">
      <c r="B39" s="8"/>
      <c r="C39" s="9" t="s">
        <v>7</v>
      </c>
      <c r="D39" s="10" t="s">
        <v>8</v>
      </c>
    </row>
    <row r="40" spans="2:4" x14ac:dyDescent="0.25">
      <c r="B40" s="11" t="s">
        <v>20</v>
      </c>
      <c r="C40" s="7">
        <v>237</v>
      </c>
      <c r="D40" s="12">
        <v>10</v>
      </c>
    </row>
    <row r="41" spans="2:4" x14ac:dyDescent="0.25">
      <c r="B41" s="11" t="s">
        <v>21</v>
      </c>
      <c r="C41" s="7">
        <v>0.8</v>
      </c>
      <c r="D41" s="12">
        <v>8</v>
      </c>
    </row>
    <row r="42" spans="2:4" x14ac:dyDescent="0.25">
      <c r="B42" s="13" t="s">
        <v>22</v>
      </c>
      <c r="C42" s="14">
        <v>2.5000000000000001E-2</v>
      </c>
      <c r="D42" s="15">
        <v>150</v>
      </c>
    </row>
    <row r="43" spans="2:4" x14ac:dyDescent="0.25">
      <c r="D43">
        <f>SUM(D40:D42)</f>
        <v>168</v>
      </c>
    </row>
    <row r="45" spans="2:4" x14ac:dyDescent="0.25">
      <c r="B45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6311-7971-4EE0-B692-2345DF57D60E}">
  <dimension ref="B2:I27"/>
  <sheetViews>
    <sheetView workbookViewId="0">
      <selection activeCell="B5" sqref="B5"/>
    </sheetView>
  </sheetViews>
  <sheetFormatPr defaultRowHeight="15" x14ac:dyDescent="0.25"/>
  <cols>
    <col min="2" max="2" width="15.5703125" customWidth="1"/>
    <col min="3" max="3" width="24.28515625" customWidth="1"/>
    <col min="4" max="4" width="18.85546875" customWidth="1"/>
  </cols>
  <sheetData>
    <row r="2" spans="2:9" ht="20.25" x14ac:dyDescent="0.3">
      <c r="B2" s="2" t="s">
        <v>0</v>
      </c>
      <c r="C2" s="1"/>
      <c r="D2" s="1"/>
      <c r="E2" s="1"/>
      <c r="F2" s="1"/>
      <c r="G2" s="1"/>
      <c r="H2" s="1"/>
      <c r="I2" s="1"/>
    </row>
    <row r="3" spans="2:9" ht="18" x14ac:dyDescent="0.25">
      <c r="B3" s="3" t="s">
        <v>1</v>
      </c>
      <c r="C3" s="1"/>
      <c r="D3" s="1"/>
      <c r="E3" s="1"/>
      <c r="F3" s="1"/>
      <c r="G3" s="1"/>
      <c r="H3" s="1"/>
      <c r="I3" s="1"/>
    </row>
    <row r="4" spans="2:9" ht="15.75" x14ac:dyDescent="0.25">
      <c r="B4" s="1"/>
      <c r="C4" s="1"/>
      <c r="D4" s="1"/>
      <c r="E4" s="1"/>
      <c r="F4" s="1"/>
      <c r="G4" s="1"/>
      <c r="H4" s="1"/>
      <c r="I4" s="1"/>
    </row>
    <row r="5" spans="2:9" ht="15.75" x14ac:dyDescent="0.25">
      <c r="B5" s="4" t="s">
        <v>24</v>
      </c>
      <c r="C5" s="1" t="s">
        <v>25</v>
      </c>
      <c r="D5" s="1"/>
      <c r="E5" s="1"/>
      <c r="F5" s="1"/>
      <c r="G5" s="1"/>
      <c r="H5" s="1"/>
      <c r="I5" s="1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ht="15.75" x14ac:dyDescent="0.25">
      <c r="B7" s="6" t="s">
        <v>26</v>
      </c>
      <c r="E7" s="5"/>
      <c r="F7" s="5"/>
      <c r="G7" s="5"/>
      <c r="H7" s="5"/>
      <c r="I7" s="1"/>
    </row>
    <row r="9" spans="2:9" x14ac:dyDescent="0.25">
      <c r="B9" s="8"/>
      <c r="C9" s="9" t="s">
        <v>7</v>
      </c>
      <c r="D9" s="10" t="s">
        <v>8</v>
      </c>
    </row>
    <row r="10" spans="2:9" x14ac:dyDescent="0.25">
      <c r="B10" s="11" t="s">
        <v>27</v>
      </c>
      <c r="C10" s="16">
        <v>0.25</v>
      </c>
      <c r="D10" s="12">
        <v>120</v>
      </c>
    </row>
    <row r="11" spans="2:9" x14ac:dyDescent="0.25">
      <c r="B11" s="11" t="s">
        <v>28</v>
      </c>
      <c r="C11" s="7">
        <v>0.04</v>
      </c>
      <c r="D11" s="12">
        <v>80</v>
      </c>
    </row>
    <row r="12" spans="2:9" x14ac:dyDescent="0.25">
      <c r="B12" s="13" t="s">
        <v>29</v>
      </c>
      <c r="C12" s="14">
        <v>0.14000000000000001</v>
      </c>
      <c r="D12" s="15">
        <v>180</v>
      </c>
    </row>
    <row r="23" spans="2:4" ht="15.75" x14ac:dyDescent="0.25">
      <c r="B23" s="6" t="s">
        <v>17</v>
      </c>
    </row>
    <row r="25" spans="2:4" x14ac:dyDescent="0.25">
      <c r="B25" s="17"/>
      <c r="C25" s="18" t="s">
        <v>7</v>
      </c>
      <c r="D25" s="19" t="s">
        <v>8</v>
      </c>
    </row>
    <row r="26" spans="2:4" x14ac:dyDescent="0.25">
      <c r="B26" s="11" t="s">
        <v>30</v>
      </c>
      <c r="C26" s="7">
        <v>0.04</v>
      </c>
      <c r="D26" s="12">
        <v>50</v>
      </c>
    </row>
    <row r="27" spans="2:4" x14ac:dyDescent="0.25">
      <c r="B27" s="13" t="s">
        <v>31</v>
      </c>
      <c r="C27" s="14">
        <v>204</v>
      </c>
      <c r="D27" s="1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11FD-5568-49C8-A87E-BF988B67603E}">
  <dimension ref="B2:O122"/>
  <sheetViews>
    <sheetView tabSelected="1" topLeftCell="A105" workbookViewId="0">
      <selection activeCell="H127" sqref="H127"/>
    </sheetView>
  </sheetViews>
  <sheetFormatPr defaultRowHeight="15" x14ac:dyDescent="0.25"/>
  <cols>
    <col min="2" max="2" width="18.85546875" customWidth="1"/>
    <col min="3" max="3" width="19.140625" bestFit="1" customWidth="1"/>
    <col min="4" max="4" width="17.140625" customWidth="1"/>
    <col min="5" max="5" width="32.5703125" bestFit="1" customWidth="1"/>
    <col min="6" max="6" width="29.7109375" bestFit="1" customWidth="1"/>
    <col min="7" max="7" width="2.85546875" customWidth="1"/>
    <col min="10" max="10" width="33" bestFit="1" customWidth="1"/>
    <col min="11" max="11" width="11.42578125" customWidth="1"/>
    <col min="13" max="13" width="25.5703125" bestFit="1" customWidth="1"/>
  </cols>
  <sheetData>
    <row r="2" spans="2:14" ht="20.25" x14ac:dyDescent="0.3">
      <c r="B2" s="2" t="s">
        <v>0</v>
      </c>
      <c r="C2" s="2"/>
      <c r="D2" s="1"/>
      <c r="E2" s="1"/>
      <c r="F2" s="1"/>
      <c r="G2" s="1"/>
      <c r="H2" s="1"/>
      <c r="I2" s="1"/>
    </row>
    <row r="3" spans="2:14" ht="18" x14ac:dyDescent="0.25">
      <c r="B3" s="3" t="s">
        <v>1</v>
      </c>
      <c r="C3" s="3"/>
      <c r="D3" s="1"/>
      <c r="E3" s="1"/>
      <c r="F3" s="1"/>
      <c r="G3" s="1"/>
      <c r="H3" s="1"/>
      <c r="I3" s="1"/>
    </row>
    <row r="4" spans="2:14" ht="16.5" thickBot="1" x14ac:dyDescent="0.3">
      <c r="B4" s="1"/>
      <c r="C4" s="1"/>
      <c r="D4" s="1"/>
      <c r="E4" s="1"/>
      <c r="F4" s="1"/>
      <c r="G4" s="1"/>
      <c r="H4" s="1"/>
      <c r="I4" s="1"/>
    </row>
    <row r="5" spans="2:14" ht="16.5" thickBot="1" x14ac:dyDescent="0.3">
      <c r="B5" s="4" t="s">
        <v>32</v>
      </c>
      <c r="C5" s="1" t="s">
        <v>33</v>
      </c>
      <c r="E5" s="1"/>
      <c r="F5" s="1"/>
      <c r="G5" s="1"/>
      <c r="I5" s="1"/>
      <c r="J5" s="116" t="s">
        <v>34</v>
      </c>
      <c r="K5" s="117"/>
    </row>
    <row r="6" spans="2:14" ht="15.75" x14ac:dyDescent="0.25">
      <c r="B6" s="1"/>
      <c r="C6" s="1"/>
      <c r="D6" s="1"/>
      <c r="E6" s="1"/>
      <c r="F6" s="1"/>
      <c r="G6" s="1"/>
      <c r="I6" s="1"/>
      <c r="J6" s="22" t="s">
        <v>35</v>
      </c>
      <c r="K6" s="12">
        <v>10</v>
      </c>
      <c r="M6" s="51" t="s">
        <v>36</v>
      </c>
      <c r="N6" s="59">
        <v>4</v>
      </c>
    </row>
    <row r="7" spans="2:14" ht="16.5" thickBot="1" x14ac:dyDescent="0.3">
      <c r="B7" s="21" t="s">
        <v>37</v>
      </c>
      <c r="C7" s="21"/>
      <c r="J7" s="11" t="s">
        <v>38</v>
      </c>
      <c r="K7" s="12">
        <v>20</v>
      </c>
      <c r="M7" s="55" t="s">
        <v>39</v>
      </c>
      <c r="N7" s="60">
        <v>3.5</v>
      </c>
    </row>
    <row r="8" spans="2:14" ht="15.75" thickBot="1" x14ac:dyDescent="0.3">
      <c r="J8" s="13" t="s">
        <v>40</v>
      </c>
      <c r="K8" s="15">
        <v>5</v>
      </c>
    </row>
    <row r="9" spans="2:14" ht="16.5" thickBot="1" x14ac:dyDescent="0.3">
      <c r="B9" s="21" t="s">
        <v>41</v>
      </c>
      <c r="C9" s="21"/>
      <c r="M9" s="51" t="s">
        <v>42</v>
      </c>
      <c r="N9" s="59">
        <v>2</v>
      </c>
    </row>
    <row r="10" spans="2:14" ht="15.75" thickBot="1" x14ac:dyDescent="0.3">
      <c r="J10" s="51" t="s">
        <v>43</v>
      </c>
      <c r="K10" s="59">
        <v>1</v>
      </c>
      <c r="M10" s="55" t="s">
        <v>44</v>
      </c>
      <c r="N10" s="60">
        <v>2</v>
      </c>
    </row>
    <row r="11" spans="2:14" ht="15" customHeight="1" thickBot="1" x14ac:dyDescent="0.3">
      <c r="B11" s="29" t="s">
        <v>45</v>
      </c>
      <c r="C11" s="30">
        <v>-10</v>
      </c>
      <c r="J11" s="55" t="s">
        <v>46</v>
      </c>
      <c r="K11" s="60">
        <v>2.5</v>
      </c>
    </row>
    <row r="12" spans="2:14" ht="15.75" thickBot="1" x14ac:dyDescent="0.3">
      <c r="M12" s="51" t="s">
        <v>47</v>
      </c>
      <c r="N12" s="59">
        <v>2</v>
      </c>
    </row>
    <row r="13" spans="2:14" ht="16.5" thickBot="1" x14ac:dyDescent="0.3">
      <c r="B13" s="1" t="s">
        <v>48</v>
      </c>
      <c r="C13" s="20"/>
      <c r="J13" s="51" t="s">
        <v>76</v>
      </c>
      <c r="K13" s="59">
        <f>K7</f>
        <v>20</v>
      </c>
      <c r="M13" s="55" t="s">
        <v>49</v>
      </c>
      <c r="N13" s="60">
        <v>2</v>
      </c>
    </row>
    <row r="14" spans="2:14" ht="15.75" thickBot="1" x14ac:dyDescent="0.3">
      <c r="J14" s="53" t="s">
        <v>75</v>
      </c>
      <c r="K14" s="89">
        <f>SQRT(POWER(K6/2, 2) + POWER(K15,2))</f>
        <v>5.0990195135927845</v>
      </c>
    </row>
    <row r="15" spans="2:14" ht="15.75" thickBot="1" x14ac:dyDescent="0.3">
      <c r="B15" s="38"/>
      <c r="C15" s="42" t="s">
        <v>50</v>
      </c>
      <c r="D15" s="25" t="s">
        <v>51</v>
      </c>
      <c r="E15" s="33" t="s">
        <v>52</v>
      </c>
      <c r="F15" s="34" t="s">
        <v>53</v>
      </c>
      <c r="J15" s="55" t="s">
        <v>77</v>
      </c>
      <c r="K15" s="60">
        <v>1</v>
      </c>
    </row>
    <row r="16" spans="2:14" ht="15" customHeight="1" x14ac:dyDescent="0.25">
      <c r="B16" s="109" t="s">
        <v>48</v>
      </c>
      <c r="C16" s="118">
        <f>K6*K8-C19</f>
        <v>47.5</v>
      </c>
      <c r="D16" s="26" t="str">
        <f>'US403'!B10</f>
        <v>Gesso</v>
      </c>
      <c r="E16" s="44">
        <f>('US403'!D10 * 10^-3) / ('US403'!C10 * C16)</f>
        <v>1.0105263157894737E-2</v>
      </c>
      <c r="F16" s="94">
        <f>1/((1/SUM(E16:E18))+(1/SUM(E19:E20)))</f>
        <v>6.8428614129629098E-2</v>
      </c>
    </row>
    <row r="17" spans="2:15" x14ac:dyDescent="0.25">
      <c r="B17" s="110"/>
      <c r="C17" s="120"/>
      <c r="D17" s="23" t="str">
        <f>'US403'!B11</f>
        <v>Poliestireno</v>
      </c>
      <c r="E17" s="45">
        <f>('US403'!D11 * 10^-3) / ('US403'!C11 * C16)</f>
        <v>4.2105263157894736E-2</v>
      </c>
      <c r="F17" s="95"/>
    </row>
    <row r="18" spans="2:15" ht="15.75" thickBot="1" x14ac:dyDescent="0.3">
      <c r="B18" s="111"/>
      <c r="C18" s="121"/>
      <c r="D18" s="24" t="str">
        <f>'US403'!B12</f>
        <v>Tijolo Isolante</v>
      </c>
      <c r="E18" s="46">
        <f>('US403'!D12 * 10^-3) / ('US403'!C12 * C16)</f>
        <v>2.7067669172932327E-2</v>
      </c>
      <c r="F18" s="95"/>
    </row>
    <row r="19" spans="2:15" ht="14.45" customHeight="1" x14ac:dyDescent="0.25">
      <c r="B19" s="112" t="s">
        <v>17</v>
      </c>
      <c r="C19" s="118">
        <f>K10*K11</f>
        <v>2.5</v>
      </c>
      <c r="D19" s="27" t="str">
        <f>'US403'!B26</f>
        <v>Poliestireno (EPS)</v>
      </c>
      <c r="E19" s="79">
        <f>('US403'!D26 * 10^-3) / ('US403'!C26 * C19)</f>
        <v>0.5</v>
      </c>
      <c r="F19" s="95"/>
    </row>
    <row r="20" spans="2:15" ht="14.45" customHeight="1" thickBot="1" x14ac:dyDescent="0.3">
      <c r="B20" s="111"/>
      <c r="C20" s="119"/>
      <c r="D20" s="24" t="str">
        <f>'US403'!B27</f>
        <v>Aluminio</v>
      </c>
      <c r="E20" s="46">
        <f>('US403'!D27 * 10^-3) / ('US403'!C27 * C19)</f>
        <v>9.8039215686274513E-6</v>
      </c>
      <c r="F20" s="96"/>
      <c r="H20" t="s">
        <v>54</v>
      </c>
    </row>
    <row r="21" spans="2:15" x14ac:dyDescent="0.25">
      <c r="O21" s="28"/>
    </row>
    <row r="22" spans="2:15" ht="15.75" x14ac:dyDescent="0.25">
      <c r="B22" s="1" t="s">
        <v>55</v>
      </c>
      <c r="C22" s="20"/>
      <c r="O22" s="28"/>
    </row>
    <row r="23" spans="2:15" ht="15.75" thickBot="1" x14ac:dyDescent="0.3"/>
    <row r="24" spans="2:15" ht="15.75" thickBot="1" x14ac:dyDescent="0.3">
      <c r="B24" s="39"/>
      <c r="C24" s="42" t="s">
        <v>50</v>
      </c>
      <c r="D24" s="32" t="s">
        <v>51</v>
      </c>
      <c r="E24" s="37" t="s">
        <v>52</v>
      </c>
      <c r="F24" s="34" t="s">
        <v>53</v>
      </c>
    </row>
    <row r="25" spans="2:15" x14ac:dyDescent="0.25">
      <c r="B25" s="104" t="s">
        <v>55</v>
      </c>
      <c r="C25" s="122">
        <f>K8*(K7/5)</f>
        <v>20</v>
      </c>
      <c r="D25" s="40" t="str">
        <f>'US402'!B10</f>
        <v>Capoto</v>
      </c>
      <c r="E25" s="47">
        <f>('US402'!D10 * 10^-3) / ('US402'!C10 * C25)</f>
        <v>0.10869565217391305</v>
      </c>
      <c r="F25" s="95">
        <f>SUM(E25:E27)</f>
        <v>0.16737542745481193</v>
      </c>
    </row>
    <row r="26" spans="2:15" ht="15" customHeight="1" x14ac:dyDescent="0.25">
      <c r="B26" s="105"/>
      <c r="C26" s="120"/>
      <c r="D26" s="23" t="str">
        <f>'US402'!B12</f>
        <v>Wallmate</v>
      </c>
      <c r="E26" s="48">
        <f>('US402'!D12 * 10^-3) / ('US402'!C12 * C48)</f>
        <v>5.6179775280898882E-2</v>
      </c>
      <c r="F26" s="95"/>
    </row>
    <row r="27" spans="2:15" ht="15.75" thickBot="1" x14ac:dyDescent="0.3">
      <c r="B27" s="106"/>
      <c r="C27" s="119"/>
      <c r="D27" s="41" t="str">
        <f>'US402'!B13</f>
        <v>Gesso cartonado</v>
      </c>
      <c r="E27" s="78">
        <f>('US402'!D13 * 10^-3) / ('US402'!C13 * C25)</f>
        <v>2.5000000000000001E-3</v>
      </c>
      <c r="F27" s="96"/>
    </row>
    <row r="28" spans="2:15" ht="15.75" thickBot="1" x14ac:dyDescent="0.3"/>
    <row r="29" spans="2:15" ht="15.75" thickBot="1" x14ac:dyDescent="0.3">
      <c r="E29" s="36" t="s">
        <v>56</v>
      </c>
      <c r="F29" s="43">
        <f>2*F16+2*F25</f>
        <v>0.47160808316888203</v>
      </c>
      <c r="H29" t="s">
        <v>57</v>
      </c>
    </row>
    <row r="30" spans="2:15" ht="14.45" customHeight="1" x14ac:dyDescent="0.25"/>
    <row r="32" spans="2:15" ht="15.75" x14ac:dyDescent="0.25">
      <c r="B32" s="21" t="s">
        <v>58</v>
      </c>
    </row>
    <row r="33" spans="2:8" ht="15.75" thickBot="1" x14ac:dyDescent="0.3"/>
    <row r="34" spans="2:8" ht="15.75" thickBot="1" x14ac:dyDescent="0.3">
      <c r="B34" s="49" t="s">
        <v>45</v>
      </c>
      <c r="C34" s="35">
        <v>0</v>
      </c>
    </row>
    <row r="36" spans="2:8" ht="15.75" x14ac:dyDescent="0.25">
      <c r="B36" s="1" t="s">
        <v>48</v>
      </c>
      <c r="C36" s="20"/>
    </row>
    <row r="37" spans="2:8" ht="15" customHeight="1" thickBot="1" x14ac:dyDescent="0.3"/>
    <row r="38" spans="2:8" ht="15.75" thickBot="1" x14ac:dyDescent="0.3">
      <c r="B38" s="38"/>
      <c r="C38" s="42" t="s">
        <v>50</v>
      </c>
      <c r="D38" s="25" t="s">
        <v>51</v>
      </c>
      <c r="E38" s="33" t="s">
        <v>52</v>
      </c>
      <c r="F38" s="34" t="s">
        <v>53</v>
      </c>
    </row>
    <row r="39" spans="2:8" x14ac:dyDescent="0.25">
      <c r="B39" s="109" t="s">
        <v>48</v>
      </c>
      <c r="C39" s="125">
        <f>K6*K8-C42</f>
        <v>47.5</v>
      </c>
      <c r="D39" s="51" t="str">
        <f>'US403'!B10</f>
        <v>Gesso</v>
      </c>
      <c r="E39" s="52">
        <f>('US403'!D10 * 10^-3) / ('US403'!C10 * C39)</f>
        <v>1.0105263157894737E-2</v>
      </c>
      <c r="F39" s="127">
        <f>1/((1/SUM(E39:E41))+(1/SUM(E42:E43)))</f>
        <v>6.8428614129629098E-2</v>
      </c>
    </row>
    <row r="40" spans="2:8" x14ac:dyDescent="0.25">
      <c r="B40" s="110"/>
      <c r="C40" s="102"/>
      <c r="D40" s="53" t="str">
        <f>'US403'!B11</f>
        <v>Poliestireno</v>
      </c>
      <c r="E40" s="54">
        <f>('US403'!D11 * 10^-3) / ('US403'!C11 * C39)</f>
        <v>4.2105263157894736E-2</v>
      </c>
      <c r="F40" s="123"/>
    </row>
    <row r="41" spans="2:8" ht="15.75" thickBot="1" x14ac:dyDescent="0.3">
      <c r="B41" s="111"/>
      <c r="C41" s="126"/>
      <c r="D41" s="55" t="str">
        <f>'US403'!B12</f>
        <v>Tijolo Isolante</v>
      </c>
      <c r="E41" s="56">
        <f>('US403'!D12 * 10^-3) / ('US403'!C12 * C39)</f>
        <v>2.7067669172932327E-2</v>
      </c>
      <c r="F41" s="123"/>
    </row>
    <row r="42" spans="2:8" x14ac:dyDescent="0.25">
      <c r="B42" s="112" t="s">
        <v>17</v>
      </c>
      <c r="C42" s="118">
        <f>K10*K11</f>
        <v>2.5</v>
      </c>
      <c r="D42" s="50" t="str">
        <f>'US403'!B26</f>
        <v>Poliestireno (EPS)</v>
      </c>
      <c r="E42" s="77">
        <f>('US403'!D26 * 10^-3) / ('US403'!C26 * C42)</f>
        <v>0.5</v>
      </c>
      <c r="F42" s="95"/>
    </row>
    <row r="43" spans="2:8" ht="15.75" thickBot="1" x14ac:dyDescent="0.3">
      <c r="B43" s="111"/>
      <c r="C43" s="119"/>
      <c r="D43" s="57" t="str">
        <f>'US403'!B27</f>
        <v>Aluminio</v>
      </c>
      <c r="E43" s="58">
        <f>('US403'!D27 * 10^-3) / ('US403'!C27 * C42)</f>
        <v>9.8039215686274513E-6</v>
      </c>
      <c r="F43" s="96"/>
      <c r="H43" t="s">
        <v>54</v>
      </c>
    </row>
    <row r="45" spans="2:8" ht="15.75" x14ac:dyDescent="0.25">
      <c r="B45" s="1" t="s">
        <v>55</v>
      </c>
      <c r="C45" s="20"/>
    </row>
    <row r="46" spans="2:8" ht="15.75" thickBot="1" x14ac:dyDescent="0.3"/>
    <row r="47" spans="2:8" ht="15.75" thickBot="1" x14ac:dyDescent="0.3">
      <c r="B47" s="39"/>
      <c r="C47" s="42" t="s">
        <v>50</v>
      </c>
      <c r="D47" s="32" t="s">
        <v>51</v>
      </c>
      <c r="E47" s="37" t="s">
        <v>52</v>
      </c>
      <c r="F47" s="34" t="s">
        <v>53</v>
      </c>
    </row>
    <row r="48" spans="2:8" x14ac:dyDescent="0.25">
      <c r="B48" s="104" t="s">
        <v>55</v>
      </c>
      <c r="C48" s="101">
        <f>K8*(K7/5)</f>
        <v>20</v>
      </c>
      <c r="D48" s="51" t="str">
        <f>'US402'!B10</f>
        <v>Capoto</v>
      </c>
      <c r="E48" s="52">
        <f>('US402'!D10 * 10^-3) / ('US402'!C10 * C48)</f>
        <v>0.10869565217391305</v>
      </c>
      <c r="F48" s="123">
        <f>SUM(E48:E50)</f>
        <v>0.16737542745481193</v>
      </c>
    </row>
    <row r="49" spans="2:8" x14ac:dyDescent="0.25">
      <c r="B49" s="105"/>
      <c r="C49" s="102"/>
      <c r="D49" s="53" t="str">
        <f>'US402'!B12</f>
        <v>Wallmate</v>
      </c>
      <c r="E49" s="54">
        <f>('US402'!D12 * 10^-3) / ('US402'!C12 * C48)</f>
        <v>5.6179775280898882E-2</v>
      </c>
      <c r="F49" s="123"/>
    </row>
    <row r="50" spans="2:8" ht="15.75" thickBot="1" x14ac:dyDescent="0.3">
      <c r="B50" s="106"/>
      <c r="C50" s="103"/>
      <c r="D50" s="55" t="str">
        <f>'US402'!B13</f>
        <v>Gesso cartonado</v>
      </c>
      <c r="E50" s="74">
        <f>('US402'!D13 * 10^-3) / ('US402'!C13 * C48)</f>
        <v>2.5000000000000001E-3</v>
      </c>
      <c r="F50" s="124"/>
    </row>
    <row r="51" spans="2:8" ht="15.75" thickBot="1" x14ac:dyDescent="0.3"/>
    <row r="52" spans="2:8" ht="15.75" thickBot="1" x14ac:dyDescent="0.3">
      <c r="E52" s="36" t="s">
        <v>59</v>
      </c>
      <c r="F52" s="43">
        <f>2*F39+2*F48</f>
        <v>0.47160808316888203</v>
      </c>
      <c r="H52" t="s">
        <v>60</v>
      </c>
    </row>
    <row r="55" spans="2:8" ht="15.75" x14ac:dyDescent="0.25">
      <c r="B55" s="4" t="s">
        <v>61</v>
      </c>
    </row>
    <row r="56" spans="2:8" ht="15.75" thickBot="1" x14ac:dyDescent="0.3"/>
    <row r="57" spans="2:8" ht="15.75" thickBot="1" x14ac:dyDescent="0.3">
      <c r="B57" s="49" t="s">
        <v>45</v>
      </c>
      <c r="C57" s="35">
        <v>10</v>
      </c>
    </row>
    <row r="59" spans="2:8" ht="15.75" x14ac:dyDescent="0.25">
      <c r="B59" s="1" t="s">
        <v>48</v>
      </c>
      <c r="C59" s="20"/>
    </row>
    <row r="60" spans="2:8" ht="15.75" thickBot="1" x14ac:dyDescent="0.3"/>
    <row r="61" spans="2:8" ht="15.75" thickBot="1" x14ac:dyDescent="0.3">
      <c r="B61" s="49"/>
      <c r="C61" s="64" t="s">
        <v>50</v>
      </c>
      <c r="D61" s="65" t="s">
        <v>51</v>
      </c>
      <c r="E61" s="66" t="s">
        <v>52</v>
      </c>
      <c r="F61" s="34" t="s">
        <v>53</v>
      </c>
    </row>
    <row r="62" spans="2:8" x14ac:dyDescent="0.25">
      <c r="B62" s="112" t="s">
        <v>17</v>
      </c>
      <c r="C62" s="102">
        <f>K10*K11</f>
        <v>2.5</v>
      </c>
      <c r="D62" s="63" t="str">
        <f>'US403'!B26</f>
        <v>Poliestireno (EPS)</v>
      </c>
      <c r="E62" s="76">
        <f>('US403'!D26 * 10^-3) / ('US403'!C26 * C62)</f>
        <v>0.5</v>
      </c>
      <c r="F62" s="95">
        <f>1/((1/SUM(E64:E66))+(1/SUM(E62:E63)))</f>
        <v>6.8428614129629098E-2</v>
      </c>
    </row>
    <row r="63" spans="2:8" ht="15.75" thickBot="1" x14ac:dyDescent="0.3">
      <c r="B63" s="111"/>
      <c r="C63" s="103"/>
      <c r="D63" s="55" t="str">
        <f>'US403'!B27</f>
        <v>Aluminio</v>
      </c>
      <c r="E63" s="56">
        <f>('US403'!D27 * 10^-3) / ('US403'!C27 * C62)</f>
        <v>9.8039215686274513E-6</v>
      </c>
      <c r="F63" s="95"/>
    </row>
    <row r="64" spans="2:8" ht="15" customHeight="1" x14ac:dyDescent="0.25">
      <c r="B64" s="128" t="s">
        <v>62</v>
      </c>
      <c r="C64" s="118">
        <f>K6*K8-C62</f>
        <v>47.5</v>
      </c>
      <c r="D64" s="51" t="str">
        <f>'US403'!B10</f>
        <v>Gesso</v>
      </c>
      <c r="E64" s="52">
        <f>('US403'!D10 * 10^-3) / ('US403'!C10 * C64)</f>
        <v>1.0105263157894737E-2</v>
      </c>
      <c r="F64" s="95"/>
    </row>
    <row r="65" spans="2:8" x14ac:dyDescent="0.25">
      <c r="B65" s="129"/>
      <c r="C65" s="120"/>
      <c r="D65" s="53" t="str">
        <f>'US403'!B11</f>
        <v>Poliestireno</v>
      </c>
      <c r="E65" s="54">
        <f>('US403'!D11 * 10^-3) / ('US403'!C11 * C64)</f>
        <v>4.2105263157894736E-2</v>
      </c>
      <c r="F65" s="95"/>
    </row>
    <row r="66" spans="2:8" ht="15.75" thickBot="1" x14ac:dyDescent="0.3">
      <c r="B66" s="129"/>
      <c r="C66" s="120"/>
      <c r="D66" s="61" t="str">
        <f>'US403'!B12</f>
        <v>Tijolo Isolante</v>
      </c>
      <c r="E66" s="62">
        <f>('US403'!D12 * 10^-3) / ('US403'!C12 * C64)</f>
        <v>2.7067669172932327E-2</v>
      </c>
      <c r="F66" s="96"/>
    </row>
    <row r="67" spans="2:8" x14ac:dyDescent="0.25">
      <c r="B67" s="130" t="s">
        <v>63</v>
      </c>
      <c r="C67" s="133">
        <f>K6*K8</f>
        <v>50</v>
      </c>
      <c r="D67" s="67" t="str">
        <f>'US403'!B10</f>
        <v>Gesso</v>
      </c>
      <c r="E67" s="52">
        <f>('US403'!D10 * 10^-3) / ('US403'!C10 * C67)</f>
        <v>9.5999999999999992E-3</v>
      </c>
      <c r="F67" s="127">
        <f>SUM(E67:E69)</f>
        <v>7.5314285714285709E-2</v>
      </c>
    </row>
    <row r="68" spans="2:8" x14ac:dyDescent="0.25">
      <c r="B68" s="131"/>
      <c r="C68" s="134"/>
      <c r="D68" s="68" t="str">
        <f>'US403'!B11</f>
        <v>Poliestireno</v>
      </c>
      <c r="E68" s="75">
        <f>('US403'!D11 * 10^-3) / ('US403'!C11 * C67)</f>
        <v>0.04</v>
      </c>
      <c r="F68" s="123"/>
    </row>
    <row r="69" spans="2:8" ht="15.75" thickBot="1" x14ac:dyDescent="0.3">
      <c r="B69" s="132"/>
      <c r="C69" s="135"/>
      <c r="D69" s="69" t="str">
        <f>'US403'!B12</f>
        <v>Tijolo Isolante</v>
      </c>
      <c r="E69" s="56">
        <f>('US403'!D12 * 10^-3) / ('US403'!C12 * C67)</f>
        <v>2.571428571428571E-2</v>
      </c>
      <c r="F69" s="124"/>
    </row>
    <row r="71" spans="2:8" ht="15.75" x14ac:dyDescent="0.25">
      <c r="B71" s="1" t="s">
        <v>55</v>
      </c>
      <c r="C71" s="20"/>
    </row>
    <row r="72" spans="2:8" ht="15.75" thickBot="1" x14ac:dyDescent="0.3"/>
    <row r="73" spans="2:8" ht="15.75" thickBot="1" x14ac:dyDescent="0.3">
      <c r="B73" s="39"/>
      <c r="C73" s="42" t="s">
        <v>50</v>
      </c>
      <c r="D73" s="32" t="s">
        <v>51</v>
      </c>
      <c r="E73" s="37" t="s">
        <v>52</v>
      </c>
      <c r="F73" s="34" t="s">
        <v>53</v>
      </c>
    </row>
    <row r="74" spans="2:8" x14ac:dyDescent="0.25">
      <c r="B74" s="104" t="s">
        <v>55</v>
      </c>
      <c r="C74" s="101">
        <f>K8*(K7/5)</f>
        <v>20</v>
      </c>
      <c r="D74" s="51" t="str">
        <f>'US402'!B10</f>
        <v>Capoto</v>
      </c>
      <c r="E74" s="52">
        <f>('US402'!D10 * 10^-3) / ('US402'!C10 * C74)</f>
        <v>0.10869565217391305</v>
      </c>
      <c r="F74" s="123">
        <f>SUM(E74:E76)</f>
        <v>0.16737542745481193</v>
      </c>
    </row>
    <row r="75" spans="2:8" x14ac:dyDescent="0.25">
      <c r="B75" s="105"/>
      <c r="C75" s="102"/>
      <c r="D75" s="53" t="str">
        <f>'US402'!B12</f>
        <v>Wallmate</v>
      </c>
      <c r="E75" s="54">
        <f>('US402'!D12 * 10^-3) / ('US402'!C12 * C74)</f>
        <v>5.6179775280898882E-2</v>
      </c>
      <c r="F75" s="123"/>
    </row>
    <row r="76" spans="2:8" ht="15.75" thickBot="1" x14ac:dyDescent="0.3">
      <c r="B76" s="106"/>
      <c r="C76" s="103"/>
      <c r="D76" s="55" t="str">
        <f>'US402'!B13</f>
        <v>Gesso cartonado</v>
      </c>
      <c r="E76" s="74">
        <f>('US402'!D13 * 10^-3) / ('US402'!C13 * C74)</f>
        <v>2.5000000000000001E-3</v>
      </c>
      <c r="F76" s="124"/>
    </row>
    <row r="77" spans="2:8" ht="15.75" thickBot="1" x14ac:dyDescent="0.3"/>
    <row r="78" spans="2:8" ht="15.75" thickBot="1" x14ac:dyDescent="0.3">
      <c r="E78" s="36" t="s">
        <v>64</v>
      </c>
      <c r="F78" s="43">
        <f>F62+F67+2*F74</f>
        <v>0.47849375475353867</v>
      </c>
      <c r="H78" t="s">
        <v>65</v>
      </c>
    </row>
    <row r="81" spans="2:6" ht="15.75" x14ac:dyDescent="0.25">
      <c r="B81" s="4" t="s">
        <v>66</v>
      </c>
    </row>
    <row r="83" spans="2:6" ht="15.75" x14ac:dyDescent="0.25">
      <c r="B83" s="1" t="s">
        <v>67</v>
      </c>
    </row>
    <row r="84" spans="2:6" ht="16.5" thickBot="1" x14ac:dyDescent="0.3">
      <c r="B84" s="1"/>
    </row>
    <row r="85" spans="2:6" ht="15.75" thickBot="1" x14ac:dyDescent="0.3">
      <c r="B85" s="39"/>
      <c r="C85" s="42" t="s">
        <v>50</v>
      </c>
      <c r="D85" s="32" t="s">
        <v>51</v>
      </c>
      <c r="E85" s="37" t="s">
        <v>52</v>
      </c>
      <c r="F85" s="34" t="s">
        <v>53</v>
      </c>
    </row>
    <row r="86" spans="2:6" x14ac:dyDescent="0.25">
      <c r="B86" s="104" t="s">
        <v>55</v>
      </c>
      <c r="C86" s="101">
        <f>K6*K8-C89</f>
        <v>46</v>
      </c>
      <c r="D86" s="51" t="str">
        <f>'US402'!B10</f>
        <v>Capoto</v>
      </c>
      <c r="E86" s="52">
        <f>('US402'!D10 * 10^-3) / ('US402'!C10 * C86)</f>
        <v>4.725897920604915E-2</v>
      </c>
      <c r="F86" s="94">
        <f>1/( (1/SUM(E86:E88)) + (1/E89) )</f>
        <v>5.6364819357184341E-2</v>
      </c>
    </row>
    <row r="87" spans="2:6" x14ac:dyDescent="0.25">
      <c r="B87" s="105"/>
      <c r="C87" s="102"/>
      <c r="D87" s="53" t="str">
        <f>'US402'!B12</f>
        <v>Wallmate</v>
      </c>
      <c r="E87" s="54">
        <f>('US402'!D12 * 10^-3) / ('US402'!C12 * C86)</f>
        <v>2.4425989252564732E-2</v>
      </c>
      <c r="F87" s="95"/>
    </row>
    <row r="88" spans="2:6" ht="15.75" thickBot="1" x14ac:dyDescent="0.3">
      <c r="B88" s="106"/>
      <c r="C88" s="103"/>
      <c r="D88" s="61" t="str">
        <f>'US402'!B13</f>
        <v>Gesso cartonado</v>
      </c>
      <c r="E88" s="62">
        <f>('US402'!D13 * 10^-3) / ('US402'!C13 * C86)</f>
        <v>1.0869565217391304E-3</v>
      </c>
      <c r="F88" s="95"/>
    </row>
    <row r="89" spans="2:6" ht="15.75" thickBot="1" x14ac:dyDescent="0.3">
      <c r="B89" s="31" t="s">
        <v>68</v>
      </c>
      <c r="C89" s="70">
        <f>N9*N10</f>
        <v>4</v>
      </c>
      <c r="D89" s="71" t="str">
        <f>'US402'!B32</f>
        <v>Madeira Leve</v>
      </c>
      <c r="E89" s="72">
        <f>('US402'!D32 * 10^-3) / ('US402'!C32 * 1)</f>
        <v>0.25</v>
      </c>
      <c r="F89" s="96"/>
    </row>
    <row r="90" spans="2:6" x14ac:dyDescent="0.25">
      <c r="B90" s="80"/>
      <c r="C90" s="28"/>
      <c r="F90" s="81"/>
    </row>
    <row r="91" spans="2:6" ht="15.75" x14ac:dyDescent="0.25">
      <c r="B91" s="1" t="s">
        <v>69</v>
      </c>
      <c r="C91" s="28"/>
      <c r="F91" s="81"/>
    </row>
    <row r="92" spans="2:6" ht="15.75" thickBot="1" x14ac:dyDescent="0.3"/>
    <row r="93" spans="2:6" ht="15.75" thickBot="1" x14ac:dyDescent="0.3">
      <c r="B93" s="39"/>
      <c r="C93" s="42" t="s">
        <v>50</v>
      </c>
      <c r="D93" s="32" t="s">
        <v>51</v>
      </c>
      <c r="E93" s="37" t="s">
        <v>52</v>
      </c>
      <c r="F93" s="34" t="s">
        <v>53</v>
      </c>
    </row>
    <row r="94" spans="2:6" x14ac:dyDescent="0.25">
      <c r="B94" s="104" t="s">
        <v>55</v>
      </c>
      <c r="C94" s="101">
        <f>K6*K8-C97</f>
        <v>36</v>
      </c>
      <c r="D94" s="51" t="str">
        <f>'US402'!B10</f>
        <v>Capoto</v>
      </c>
      <c r="E94" s="52">
        <f>('US402'!D10 * 10^-3) / ('US402'!C10 * C94)</f>
        <v>6.0386473429951695E-2</v>
      </c>
      <c r="F94" s="94">
        <f>1/( (1/SUM(E94:E96)) + (1/E97) )</f>
        <v>3.0137660914871199E-6</v>
      </c>
    </row>
    <row r="95" spans="2:6" x14ac:dyDescent="0.25">
      <c r="B95" s="105"/>
      <c r="C95" s="102"/>
      <c r="D95" s="53" t="str">
        <f>'US402'!B12</f>
        <v>Wallmate</v>
      </c>
      <c r="E95" s="54">
        <f>('US402'!D12 * 10^-3) / ('US402'!C12 * C94)</f>
        <v>3.1210986267166042E-2</v>
      </c>
      <c r="F95" s="95"/>
    </row>
    <row r="96" spans="2:6" ht="15.75" thickBot="1" x14ac:dyDescent="0.3">
      <c r="B96" s="106"/>
      <c r="C96" s="103"/>
      <c r="D96" s="61" t="str">
        <f>'US402'!B13</f>
        <v>Gesso cartonado</v>
      </c>
      <c r="E96" s="62">
        <f>('US402'!D13 * 10^-3) / ('US402'!C13 * C94)</f>
        <v>1.3888888888888889E-3</v>
      </c>
      <c r="F96" s="95"/>
    </row>
    <row r="97" spans="2:6" ht="15.75" thickBot="1" x14ac:dyDescent="0.3">
      <c r="B97" s="31" t="s">
        <v>68</v>
      </c>
      <c r="C97" s="70">
        <f>N6*N7</f>
        <v>14</v>
      </c>
      <c r="D97" s="71" t="str">
        <f>'US402'!B32</f>
        <v>Madeira Leve</v>
      </c>
      <c r="E97" s="73">
        <f>('US402'!D40 * 10^-3) / ('US402'!C40 * C97)</f>
        <v>3.0138637733574443E-6</v>
      </c>
      <c r="F97" s="96"/>
    </row>
    <row r="98" spans="2:6" x14ac:dyDescent="0.25">
      <c r="B98" s="80"/>
      <c r="C98" s="80"/>
      <c r="F98" s="81"/>
    </row>
    <row r="99" spans="2:6" ht="15.75" x14ac:dyDescent="0.25">
      <c r="B99" s="1" t="s">
        <v>70</v>
      </c>
      <c r="C99" s="80"/>
      <c r="F99" s="81"/>
    </row>
    <row r="100" spans="2:6" ht="15.75" thickBot="1" x14ac:dyDescent="0.3">
      <c r="B100" s="80"/>
      <c r="C100" s="80"/>
      <c r="F100" s="81"/>
    </row>
    <row r="101" spans="2:6" ht="15.75" thickBot="1" x14ac:dyDescent="0.3">
      <c r="B101" s="39"/>
      <c r="C101" s="42" t="s">
        <v>50</v>
      </c>
      <c r="D101" s="32" t="s">
        <v>51</v>
      </c>
      <c r="E101" s="37" t="s">
        <v>52</v>
      </c>
      <c r="F101" s="34" t="s">
        <v>53</v>
      </c>
    </row>
    <row r="102" spans="2:6" x14ac:dyDescent="0.25">
      <c r="B102" s="104" t="s">
        <v>55</v>
      </c>
      <c r="C102" s="101">
        <f>K7*K8</f>
        <v>100</v>
      </c>
      <c r="D102" s="51" t="str">
        <f>'US402'!B10</f>
        <v>Capoto</v>
      </c>
      <c r="E102" s="52">
        <f>('US402'!D10 * 10^-3) / ('US402'!C10 * C102)</f>
        <v>2.1739130434782612E-2</v>
      </c>
      <c r="F102" s="94">
        <f>SUM(E102:E104)</f>
        <v>3.3475085490962384E-2</v>
      </c>
    </row>
    <row r="103" spans="2:6" x14ac:dyDescent="0.25">
      <c r="B103" s="105"/>
      <c r="C103" s="102"/>
      <c r="D103" s="53" t="str">
        <f>'US402'!B12</f>
        <v>Wallmate</v>
      </c>
      <c r="E103" s="54">
        <f>('US402'!D12 * 10^-3) / ('US402'!C12 * C102)</f>
        <v>1.1235955056179775E-2</v>
      </c>
      <c r="F103" s="95"/>
    </row>
    <row r="104" spans="2:6" ht="15.75" thickBot="1" x14ac:dyDescent="0.3">
      <c r="B104" s="106"/>
      <c r="C104" s="103"/>
      <c r="D104" s="55" t="str">
        <f>'US402'!B13</f>
        <v>Gesso cartonado</v>
      </c>
      <c r="E104" s="74">
        <f>('US402'!D13 * 10^-3) / ('US402'!C13 * C102)</f>
        <v>5.0000000000000001E-4</v>
      </c>
      <c r="F104" s="96"/>
    </row>
    <row r="105" spans="2:6" x14ac:dyDescent="0.25">
      <c r="C105" s="80"/>
      <c r="F105" s="81"/>
    </row>
    <row r="106" spans="2:6" ht="15.75" x14ac:dyDescent="0.25">
      <c r="B106" s="1" t="s">
        <v>71</v>
      </c>
      <c r="C106" s="80"/>
      <c r="F106" s="81"/>
    </row>
    <row r="107" spans="2:6" ht="15.75" thickBot="1" x14ac:dyDescent="0.3">
      <c r="B107" s="80"/>
      <c r="C107" s="80"/>
      <c r="F107" s="81"/>
    </row>
    <row r="108" spans="2:6" ht="15.75" thickBot="1" x14ac:dyDescent="0.3">
      <c r="B108" s="39"/>
      <c r="C108" s="42" t="s">
        <v>50</v>
      </c>
      <c r="D108" s="32" t="s">
        <v>51</v>
      </c>
      <c r="E108" s="37" t="s">
        <v>52</v>
      </c>
      <c r="F108" s="34" t="s">
        <v>53</v>
      </c>
    </row>
    <row r="109" spans="2:6" x14ac:dyDescent="0.25">
      <c r="B109" s="104" t="s">
        <v>55</v>
      </c>
      <c r="C109" s="101">
        <f>K7*K8-C112</f>
        <v>96</v>
      </c>
      <c r="D109" s="51" t="str">
        <f>'US402'!B10</f>
        <v>Capoto</v>
      </c>
      <c r="E109" s="52">
        <f>('US402'!D10 * 10^-3) / ('US402'!C10 * C109)</f>
        <v>2.2644927536231884E-2</v>
      </c>
      <c r="F109" s="94">
        <f>1/(1/SUM(E109:E111) + 2*(1/SUM(E112:E114)))</f>
        <v>3.3323169520263381E-2</v>
      </c>
    </row>
    <row r="110" spans="2:6" x14ac:dyDescent="0.25">
      <c r="B110" s="105"/>
      <c r="C110" s="102"/>
      <c r="D110" s="53" t="str">
        <f>'US402'!B12</f>
        <v>Wallmate</v>
      </c>
      <c r="E110" s="54">
        <f>('US402'!D12 * 10^-3) / ('US402'!C12 * C109)</f>
        <v>1.1704119850187265E-2</v>
      </c>
      <c r="F110" s="95"/>
    </row>
    <row r="111" spans="2:6" ht="15.75" thickBot="1" x14ac:dyDescent="0.3">
      <c r="B111" s="106"/>
      <c r="C111" s="103"/>
      <c r="D111" s="55" t="str">
        <f>'US402'!B13</f>
        <v>Gesso cartonado</v>
      </c>
      <c r="E111" s="56">
        <f>('US402'!D13 * 10^-3) / ('US402'!C13 * C109)</f>
        <v>5.2083333333333333E-4</v>
      </c>
      <c r="F111" s="95"/>
    </row>
    <row r="112" spans="2:6" x14ac:dyDescent="0.25">
      <c r="B112" s="113" t="s">
        <v>73</v>
      </c>
      <c r="C112" s="91">
        <f>N12*N13</f>
        <v>4</v>
      </c>
      <c r="D112" s="26" t="str">
        <f>'US402'!B40</f>
        <v>Alumínio</v>
      </c>
      <c r="E112" s="44">
        <f>('US402'!D40 * 10^-3) / ('US402'!C40 *C112)</f>
        <v>1.0548523206751054E-5</v>
      </c>
      <c r="F112" s="95"/>
    </row>
    <row r="113" spans="2:8" x14ac:dyDescent="0.25">
      <c r="B113" s="114"/>
      <c r="C113" s="92"/>
      <c r="D113" s="23" t="str">
        <f>'US402'!B41</f>
        <v>Vidro</v>
      </c>
      <c r="E113" s="82">
        <f>('US402'!D41 * 10^-3) / ('US402'!C41 * C112)</f>
        <v>2.5000000000000001E-3</v>
      </c>
      <c r="F113" s="95"/>
    </row>
    <row r="114" spans="2:8" ht="15.75" thickBot="1" x14ac:dyDescent="0.3">
      <c r="B114" s="115"/>
      <c r="C114" s="93"/>
      <c r="D114" s="24" t="str">
        <f>'US402'!B42</f>
        <v>Ar</v>
      </c>
      <c r="E114" s="83">
        <f>('US402'!D42 * 10^-3) / ('US402'!C42 * C112)</f>
        <v>1.4999999999999998</v>
      </c>
      <c r="F114" s="96"/>
      <c r="H114" t="s">
        <v>72</v>
      </c>
    </row>
    <row r="115" spans="2:8" x14ac:dyDescent="0.25">
      <c r="B115" s="80"/>
    </row>
    <row r="116" spans="2:8" ht="15.75" x14ac:dyDescent="0.25">
      <c r="B116" s="1" t="s">
        <v>13</v>
      </c>
    </row>
    <row r="117" spans="2:8" ht="16.5" thickBot="1" x14ac:dyDescent="0.3">
      <c r="B117" s="1"/>
    </row>
    <row r="118" spans="2:8" ht="15.75" thickBot="1" x14ac:dyDescent="0.3">
      <c r="B118" s="39"/>
      <c r="C118" s="42" t="s">
        <v>50</v>
      </c>
      <c r="D118" s="85" t="s">
        <v>51</v>
      </c>
      <c r="E118" s="84" t="s">
        <v>52</v>
      </c>
      <c r="F118" s="34" t="s">
        <v>53</v>
      </c>
      <c r="H118" s="90"/>
    </row>
    <row r="119" spans="2:8" x14ac:dyDescent="0.25">
      <c r="B119" s="107" t="s">
        <v>13</v>
      </c>
      <c r="C119" s="99">
        <f>2*(K13*K14)</f>
        <v>203.96078054371139</v>
      </c>
      <c r="D119" s="87" t="str">
        <f>'US402'!B22</f>
        <v>Zinco</v>
      </c>
      <c r="E119" s="86">
        <f>('US402'!D22 * 10^-3) / ('US402'!C22 * C119)</f>
        <v>6.6857773342562742E-8</v>
      </c>
      <c r="F119" s="97">
        <f>1/(2*(1/(SUM(E119:E120))))</f>
        <v>2.4514851181139715E-3</v>
      </c>
    </row>
    <row r="120" spans="2:8" ht="15.75" thickBot="1" x14ac:dyDescent="0.3">
      <c r="B120" s="108"/>
      <c r="C120" s="100"/>
      <c r="D120" s="88" t="str">
        <f>'US402'!B23</f>
        <v>Polistereno</v>
      </c>
      <c r="E120" s="56">
        <f>('US402'!D23 * 10^-3) / ('US402'!C23 * C119)</f>
        <v>4.9029033784546002E-3</v>
      </c>
      <c r="F120" s="98"/>
      <c r="H120" t="s">
        <v>78</v>
      </c>
    </row>
    <row r="121" spans="2:8" ht="15.75" thickBot="1" x14ac:dyDescent="0.3"/>
    <row r="122" spans="2:8" ht="15.75" thickBot="1" x14ac:dyDescent="0.3">
      <c r="E122" s="36" t="s">
        <v>74</v>
      </c>
      <c r="F122" s="43">
        <f>SUM(F86,F94,F102,F109,F119)</f>
        <v>0.12561757325261555</v>
      </c>
      <c r="H122" s="90"/>
    </row>
  </sheetData>
  <mergeCells count="45">
    <mergeCell ref="C74:C76"/>
    <mergeCell ref="F74:F76"/>
    <mergeCell ref="B64:B66"/>
    <mergeCell ref="C64:C66"/>
    <mergeCell ref="F62:F66"/>
    <mergeCell ref="B67:B69"/>
    <mergeCell ref="C67:C69"/>
    <mergeCell ref="F67:F69"/>
    <mergeCell ref="B62:B63"/>
    <mergeCell ref="C62:C63"/>
    <mergeCell ref="C48:C50"/>
    <mergeCell ref="F48:F50"/>
    <mergeCell ref="B39:B41"/>
    <mergeCell ref="C39:C41"/>
    <mergeCell ref="F39:F43"/>
    <mergeCell ref="B42:B43"/>
    <mergeCell ref="C42:C43"/>
    <mergeCell ref="J5:K5"/>
    <mergeCell ref="F16:F20"/>
    <mergeCell ref="F25:F27"/>
    <mergeCell ref="C19:C20"/>
    <mergeCell ref="C16:C18"/>
    <mergeCell ref="C25:C27"/>
    <mergeCell ref="B119:B120"/>
    <mergeCell ref="B25:B27"/>
    <mergeCell ref="B16:B18"/>
    <mergeCell ref="B19:B20"/>
    <mergeCell ref="B86:B88"/>
    <mergeCell ref="B102:B104"/>
    <mergeCell ref="B112:B114"/>
    <mergeCell ref="B48:B50"/>
    <mergeCell ref="B74:B76"/>
    <mergeCell ref="B109:B111"/>
    <mergeCell ref="C86:C88"/>
    <mergeCell ref="F86:F89"/>
    <mergeCell ref="B94:B96"/>
    <mergeCell ref="C94:C96"/>
    <mergeCell ref="F94:F97"/>
    <mergeCell ref="C112:C114"/>
    <mergeCell ref="F109:F114"/>
    <mergeCell ref="F119:F120"/>
    <mergeCell ref="C119:C120"/>
    <mergeCell ref="C102:C104"/>
    <mergeCell ref="F102:F104"/>
    <mergeCell ref="C109:C111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8318C820E4E148A73B2C724734A29A" ma:contentTypeVersion="2" ma:contentTypeDescription="Create a new document." ma:contentTypeScope="" ma:versionID="6d95033351cb56f6ed5079bc21308205">
  <xsd:schema xmlns:xsd="http://www.w3.org/2001/XMLSchema" xmlns:xs="http://www.w3.org/2001/XMLSchema" xmlns:p="http://schemas.microsoft.com/office/2006/metadata/properties" xmlns:ns2="991d7cf4-43a3-4fa3-bf3d-d666fd1dfb56" targetNamespace="http://schemas.microsoft.com/office/2006/metadata/properties" ma:root="true" ma:fieldsID="96d6d9efa6358b7693b73863d0933a58" ns2:_="">
    <xsd:import namespace="991d7cf4-43a3-4fa3-bf3d-d666fd1dfb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d7cf4-43a3-4fa3-bf3d-d666fd1dfb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79656F-2D88-41C8-9978-3B0AF85B3326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991d7cf4-43a3-4fa3-bf3d-d666fd1dfb56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F8C1A2-5751-495D-AF1A-19769030E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1d7cf4-43a3-4fa3-bf3d-d666fd1dfb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C18B0F-E77C-46D4-B63B-B6E206808E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US401</vt:lpstr>
      <vt:lpstr>US402</vt:lpstr>
      <vt:lpstr>US403</vt:lpstr>
      <vt:lpstr>US404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Tomás Russo</dc:creator>
  <cp:keywords/>
  <dc:description/>
  <cp:lastModifiedBy>Ricardo  Moreira</cp:lastModifiedBy>
  <cp:revision/>
  <dcterms:created xsi:type="dcterms:W3CDTF">2022-11-24T14:35:26Z</dcterms:created>
  <dcterms:modified xsi:type="dcterms:W3CDTF">2022-12-04T20:10:06Z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0x010100738318C820E4E148A73B2C724734A29A</vt:lpwstr>
  </property>
</Properties>
</file>